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APP\PA\PAForum\Web Publications\FINANCE\Sources and Uses\2025\"/>
    </mc:Choice>
  </mc:AlternateContent>
  <xr:revisionPtr revIDLastSave="0" documentId="13_ncr:1_{AB737DE1-54D2-44C4-9AB9-EEFFD7B289B3}" xr6:coauthVersionLast="47" xr6:coauthVersionMax="47" xr10:uidLastSave="{00000000-0000-0000-0000-000000000000}"/>
  <bookViews>
    <workbookView xWindow="-108" yWindow="-108" windowWidth="23256" windowHeight="12456" tabRatio="978" xr2:uid="{00000000-000D-0000-FFFF-FFFF00000000}"/>
  </bookViews>
  <sheets>
    <sheet name="Table of Contents" sheetId="28" r:id="rId1"/>
    <sheet name="Contact Information" sheetId="19" r:id="rId2"/>
    <sheet name="Definitions" sheetId="38" r:id="rId3"/>
    <sheet name="Fund Group Detail" sheetId="17" r:id="rId4"/>
    <sheet name="Summary (by Institution)" sheetId="20" r:id="rId5"/>
    <sheet name="Summary (by System)" sheetId="22" r:id="rId6"/>
    <sheet name="Summary (by Institution Type)" sheetId="21" r:id="rId7"/>
    <sheet name="Comparison (by Institution)" sheetId="23" r:id="rId8"/>
    <sheet name="Sources (Revenue)" sheetId="32" r:id="rId9"/>
    <sheet name="Uses (Expenditures)" sheetId="33" r:id="rId10"/>
    <sheet name="Academic Cost Study" sheetId="18" r:id="rId11"/>
    <sheet name="Tuition &amp; Fees" sheetId="29" r:id="rId12"/>
    <sheet name="FTSE | FTFE" sheetId="31" r:id="rId13"/>
    <sheet name="Sources &amp; Uses Input" sheetId="16" state="veryHidden" r:id="rId14"/>
    <sheet name="Hidden" sheetId="13" state="veryHidden" r:id="rId15"/>
  </sheets>
  <definedNames>
    <definedName name="_xlnm._FilterDatabase" localSheetId="14" hidden="1">Hidden!$A$1:$C$80</definedName>
    <definedName name="Inst_Type">Hidden!$G$26:$I$30</definedName>
    <definedName name="Peer_Groups">Hidden!$G$34:$H$39</definedName>
    <definedName name="ResearchAll">Hidden!$A$4:$A$82</definedName>
    <definedName name="System">Hidden!$G$16:$I$23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X51" i="16" l="1"/>
  <c r="AO7" i="19"/>
  <c r="AO8" i="19"/>
  <c r="AO9" i="19"/>
  <c r="AO10" i="19"/>
  <c r="AO11" i="19"/>
  <c r="AO12" i="19"/>
  <c r="AO13" i="19"/>
  <c r="AO14" i="19"/>
  <c r="AO15" i="19"/>
  <c r="AO16" i="19"/>
  <c r="AO17" i="19"/>
  <c r="AO18" i="19"/>
  <c r="AO19" i="19"/>
  <c r="AO20" i="19"/>
  <c r="AO21" i="19"/>
  <c r="AO22" i="19"/>
  <c r="AO23" i="19"/>
  <c r="AO24" i="19"/>
  <c r="AO25" i="19"/>
  <c r="AO26" i="19"/>
  <c r="AO27" i="19"/>
  <c r="AO28" i="19"/>
  <c r="AO29" i="19"/>
  <c r="AO30" i="19"/>
  <c r="AO31" i="19"/>
  <c r="AO32" i="19"/>
  <c r="AO33" i="19"/>
  <c r="AO34" i="19"/>
  <c r="AO35" i="19"/>
  <c r="AO36" i="19"/>
  <c r="AO37" i="19"/>
  <c r="AO38" i="19"/>
  <c r="AO39" i="19"/>
  <c r="AO40" i="19"/>
  <c r="AO41" i="19"/>
  <c r="AO42" i="19"/>
  <c r="AO43" i="19"/>
  <c r="AO44" i="19"/>
  <c r="AO45" i="19"/>
  <c r="AO46" i="19"/>
  <c r="AO47" i="19"/>
  <c r="AO48" i="19"/>
  <c r="AO49" i="19"/>
  <c r="AO50" i="19"/>
  <c r="AO51" i="19"/>
  <c r="AO52" i="19"/>
  <c r="AO53" i="19"/>
  <c r="AO54" i="19"/>
  <c r="AO55" i="19"/>
  <c r="AO56" i="19"/>
  <c r="AO57" i="19"/>
  <c r="AO58" i="19"/>
  <c r="AO59" i="19"/>
  <c r="AO60" i="19"/>
  <c r="AO61" i="19"/>
  <c r="AO62" i="19"/>
  <c r="AO63" i="19"/>
  <c r="AO64" i="19"/>
  <c r="AO65" i="19"/>
  <c r="AO66" i="19"/>
  <c r="AO67" i="19"/>
  <c r="AO68" i="19"/>
  <c r="AO69" i="19"/>
  <c r="AO6" i="19"/>
  <c r="AK7" i="19"/>
  <c r="AK8" i="19"/>
  <c r="AK9" i="19"/>
  <c r="AK10" i="19"/>
  <c r="AK11" i="19"/>
  <c r="AK12" i="19"/>
  <c r="AK13" i="19"/>
  <c r="AK14" i="19"/>
  <c r="AK15" i="19"/>
  <c r="AK16" i="19"/>
  <c r="AK17" i="19"/>
  <c r="AK18" i="19"/>
  <c r="AK19" i="19"/>
  <c r="AK20" i="19"/>
  <c r="AK21" i="19"/>
  <c r="AK22" i="19"/>
  <c r="AK23" i="19"/>
  <c r="AK24" i="19"/>
  <c r="AK25" i="19"/>
  <c r="AK26" i="19"/>
  <c r="AK27" i="19"/>
  <c r="AK28" i="19"/>
  <c r="AK29" i="19"/>
  <c r="AK30" i="19"/>
  <c r="AK31" i="19"/>
  <c r="AK32" i="19"/>
  <c r="AK33" i="19"/>
  <c r="AK34" i="19"/>
  <c r="AK35" i="19"/>
  <c r="AK36" i="19"/>
  <c r="AK37" i="19"/>
  <c r="AK38" i="19"/>
  <c r="AK39" i="19"/>
  <c r="AK40" i="19"/>
  <c r="AK41" i="19"/>
  <c r="AK42" i="19"/>
  <c r="AK43" i="19"/>
  <c r="AK44" i="19"/>
  <c r="AK45" i="19"/>
  <c r="AK46" i="19"/>
  <c r="AK47" i="19"/>
  <c r="AK48" i="19"/>
  <c r="AK49" i="19"/>
  <c r="AK50" i="19"/>
  <c r="AK51" i="19"/>
  <c r="AK52" i="19"/>
  <c r="AK53" i="19"/>
  <c r="AK54" i="19"/>
  <c r="AK55" i="19"/>
  <c r="AK56" i="19"/>
  <c r="AK57" i="19"/>
  <c r="AK58" i="19"/>
  <c r="AK59" i="19"/>
  <c r="AK60" i="19"/>
  <c r="AK61" i="19"/>
  <c r="AK62" i="19"/>
  <c r="AK63" i="19"/>
  <c r="AK64" i="19"/>
  <c r="AK65" i="19"/>
  <c r="AK66" i="19"/>
  <c r="AK67" i="19"/>
  <c r="AK68" i="19"/>
  <c r="AK69" i="19"/>
  <c r="AK6" i="19"/>
  <c r="AF7" i="19"/>
  <c r="AF8" i="19"/>
  <c r="AF9" i="19"/>
  <c r="AF10" i="19"/>
  <c r="AF11" i="19"/>
  <c r="AF12" i="19"/>
  <c r="AF13" i="19"/>
  <c r="AF14" i="19"/>
  <c r="AF15" i="19"/>
  <c r="AF16" i="19"/>
  <c r="AF17" i="19"/>
  <c r="AF18" i="19"/>
  <c r="AF19" i="19"/>
  <c r="AF20" i="19"/>
  <c r="AF21" i="19"/>
  <c r="AF22" i="19"/>
  <c r="AF23" i="19"/>
  <c r="AF24" i="19"/>
  <c r="AF25" i="19"/>
  <c r="AF26" i="19"/>
  <c r="AF27" i="19"/>
  <c r="AF28" i="19"/>
  <c r="AF29" i="19"/>
  <c r="AF30" i="19"/>
  <c r="AF31" i="19"/>
  <c r="AF32" i="19"/>
  <c r="AF33" i="19"/>
  <c r="AF34" i="19"/>
  <c r="AF35" i="19"/>
  <c r="AF36" i="19"/>
  <c r="AF37" i="19"/>
  <c r="AF38" i="19"/>
  <c r="AF39" i="19"/>
  <c r="AF40" i="19"/>
  <c r="AF41" i="19"/>
  <c r="AF42" i="19"/>
  <c r="AF43" i="19"/>
  <c r="AF44" i="19"/>
  <c r="AF45" i="19"/>
  <c r="AF46" i="19"/>
  <c r="AF47" i="19"/>
  <c r="AF48" i="19"/>
  <c r="AF49" i="19"/>
  <c r="AF50" i="19"/>
  <c r="AF51" i="19"/>
  <c r="AF52" i="19"/>
  <c r="AF53" i="19"/>
  <c r="AF54" i="19"/>
  <c r="AF55" i="19"/>
  <c r="AF56" i="19"/>
  <c r="AF57" i="19"/>
  <c r="AF58" i="19"/>
  <c r="AF59" i="19"/>
  <c r="AF60" i="19"/>
  <c r="AF61" i="19"/>
  <c r="AF62" i="19"/>
  <c r="AF63" i="19"/>
  <c r="AF64" i="19"/>
  <c r="AF65" i="19"/>
  <c r="AF66" i="19"/>
  <c r="AF67" i="19"/>
  <c r="AF68" i="19"/>
  <c r="AF69" i="19"/>
  <c r="AF6" i="19"/>
  <c r="Z7" i="19"/>
  <c r="Z8" i="19"/>
  <c r="Z9" i="19"/>
  <c r="Z10" i="19"/>
  <c r="Z11" i="19"/>
  <c r="Z12" i="19"/>
  <c r="Z13" i="19"/>
  <c r="Z14" i="19"/>
  <c r="Z15" i="19"/>
  <c r="Z16" i="19"/>
  <c r="Z17" i="19"/>
  <c r="Z18" i="19"/>
  <c r="Z19" i="19"/>
  <c r="Z20" i="19"/>
  <c r="Z21" i="19"/>
  <c r="Z22" i="19"/>
  <c r="Z23" i="19"/>
  <c r="Z24" i="19"/>
  <c r="Z25" i="19"/>
  <c r="Z26" i="19"/>
  <c r="Z27" i="19"/>
  <c r="Z28" i="19"/>
  <c r="Z29" i="19"/>
  <c r="Z30" i="19"/>
  <c r="Z31" i="19"/>
  <c r="Z32" i="19"/>
  <c r="Z33" i="19"/>
  <c r="Z34" i="19"/>
  <c r="Z35" i="19"/>
  <c r="Z36" i="19"/>
  <c r="Z37" i="19"/>
  <c r="Z38" i="19"/>
  <c r="Z39" i="19"/>
  <c r="Z40" i="19"/>
  <c r="Z41" i="19"/>
  <c r="Z42" i="19"/>
  <c r="Z43" i="19"/>
  <c r="Z44" i="19"/>
  <c r="Z45" i="19"/>
  <c r="Z46" i="19"/>
  <c r="Z47" i="19"/>
  <c r="Z48" i="19"/>
  <c r="Z49" i="19"/>
  <c r="Z50" i="19"/>
  <c r="Z51" i="19"/>
  <c r="Z52" i="19"/>
  <c r="Z53" i="19"/>
  <c r="Z54" i="19"/>
  <c r="Z55" i="19"/>
  <c r="Z56" i="19"/>
  <c r="Z57" i="19"/>
  <c r="Z58" i="19"/>
  <c r="Z59" i="19"/>
  <c r="Z60" i="19"/>
  <c r="Z61" i="19"/>
  <c r="Z62" i="19"/>
  <c r="Z63" i="19"/>
  <c r="Z64" i="19"/>
  <c r="Z65" i="19"/>
  <c r="Z66" i="19"/>
  <c r="Z67" i="19"/>
  <c r="Z68" i="19"/>
  <c r="Z69" i="19"/>
  <c r="Z6" i="19"/>
  <c r="V7" i="19"/>
  <c r="V8" i="19"/>
  <c r="V9" i="19"/>
  <c r="V10" i="19"/>
  <c r="V11" i="19"/>
  <c r="V12" i="19"/>
  <c r="V13" i="19"/>
  <c r="V14" i="19"/>
  <c r="V15" i="19"/>
  <c r="V16" i="19"/>
  <c r="V17" i="19"/>
  <c r="V18" i="19"/>
  <c r="V19" i="19"/>
  <c r="V20" i="19"/>
  <c r="V21" i="19"/>
  <c r="V22" i="19"/>
  <c r="V23" i="19"/>
  <c r="V24" i="19"/>
  <c r="V25" i="19"/>
  <c r="V26" i="19"/>
  <c r="V27" i="19"/>
  <c r="V28" i="19"/>
  <c r="V29" i="19"/>
  <c r="V30" i="19"/>
  <c r="V31" i="19"/>
  <c r="V32" i="19"/>
  <c r="V33" i="19"/>
  <c r="V34" i="19"/>
  <c r="V35" i="19"/>
  <c r="V36" i="19"/>
  <c r="V37" i="19"/>
  <c r="V38" i="19"/>
  <c r="V39" i="19"/>
  <c r="V40" i="19"/>
  <c r="V41" i="19"/>
  <c r="V42" i="19"/>
  <c r="V43" i="19"/>
  <c r="V44" i="19"/>
  <c r="V45" i="19"/>
  <c r="V46" i="19"/>
  <c r="V47" i="19"/>
  <c r="V48" i="19"/>
  <c r="V49" i="19"/>
  <c r="V50" i="19"/>
  <c r="V51" i="19"/>
  <c r="V52" i="19"/>
  <c r="V53" i="19"/>
  <c r="V54" i="19"/>
  <c r="V55" i="19"/>
  <c r="V56" i="19"/>
  <c r="V57" i="19"/>
  <c r="V58" i="19"/>
  <c r="V59" i="19"/>
  <c r="V60" i="19"/>
  <c r="V61" i="19"/>
  <c r="V62" i="19"/>
  <c r="V63" i="19"/>
  <c r="V64" i="19"/>
  <c r="V65" i="19"/>
  <c r="V66" i="19"/>
  <c r="V67" i="19"/>
  <c r="V68" i="19"/>
  <c r="V69" i="19"/>
  <c r="V6" i="19"/>
  <c r="Q6" i="19"/>
  <c r="Q7" i="19"/>
  <c r="Q8" i="19"/>
  <c r="Q9" i="19"/>
  <c r="Q10" i="19"/>
  <c r="Q11" i="19"/>
  <c r="Q12" i="19"/>
  <c r="Q13" i="19"/>
  <c r="Q14" i="19"/>
  <c r="Q15" i="19"/>
  <c r="Q16" i="19"/>
  <c r="Q17" i="19"/>
  <c r="Q18" i="19"/>
  <c r="Q19" i="19"/>
  <c r="Q20" i="19"/>
  <c r="Q21" i="19"/>
  <c r="Q22" i="19"/>
  <c r="Q23" i="19"/>
  <c r="Q24" i="19"/>
  <c r="Q25" i="19"/>
  <c r="Q26" i="19"/>
  <c r="Q27" i="19"/>
  <c r="Q28" i="19"/>
  <c r="Q29" i="19"/>
  <c r="Q30" i="19"/>
  <c r="Q31" i="19"/>
  <c r="Q32" i="19"/>
  <c r="Q33" i="19"/>
  <c r="Q34" i="19"/>
  <c r="Q35" i="19"/>
  <c r="Q36" i="19"/>
  <c r="Q37" i="19"/>
  <c r="Q38" i="19"/>
  <c r="Q39" i="19"/>
  <c r="Q40" i="19"/>
  <c r="Q41" i="19"/>
  <c r="Q42" i="19"/>
  <c r="Q43" i="19"/>
  <c r="Q44" i="19"/>
  <c r="Q45" i="19"/>
  <c r="Q46" i="19"/>
  <c r="Q47" i="19"/>
  <c r="Q48" i="19"/>
  <c r="Q49" i="19"/>
  <c r="Q50" i="19"/>
  <c r="Q51" i="19"/>
  <c r="Q52" i="19"/>
  <c r="Q53" i="19"/>
  <c r="Q54" i="19"/>
  <c r="Q55" i="19"/>
  <c r="Q56" i="19"/>
  <c r="Q57" i="19"/>
  <c r="Q58" i="19"/>
  <c r="Q59" i="19"/>
  <c r="Q60" i="19"/>
  <c r="Q61" i="19"/>
  <c r="Q62" i="19"/>
  <c r="Q63" i="19"/>
  <c r="Q64" i="19"/>
  <c r="Q65" i="19"/>
  <c r="Q66" i="19"/>
  <c r="Q67" i="19"/>
  <c r="Q68" i="19"/>
  <c r="Q69" i="19"/>
  <c r="AR113" i="17"/>
  <c r="AR114" i="17"/>
  <c r="H5" i="13" s="1"/>
  <c r="AO104" i="17"/>
  <c r="UY51" i="16" a="1"/>
  <c r="UY51" i="16" s="1"/>
  <c r="UZ51" i="16" a="1"/>
  <c r="UZ51" i="16" s="1"/>
  <c r="UP51" i="16"/>
  <c r="UO51" i="16"/>
  <c r="VA51" i="16"/>
  <c r="VB51" i="16"/>
  <c r="VC51" i="16"/>
  <c r="VD51" i="16"/>
  <c r="VE51" i="16"/>
  <c r="VF51" i="16"/>
  <c r="VG51" i="16"/>
  <c r="VH51" i="16"/>
  <c r="VI51" i="16"/>
  <c r="VJ51" i="16"/>
  <c r="VK51" i="16"/>
  <c r="VL51" i="16"/>
  <c r="VM51" i="16"/>
  <c r="VN51" i="16"/>
  <c r="VO51" i="16"/>
  <c r="VP51" i="16"/>
  <c r="F19" i="16" a="1"/>
  <c r="F19" i="16" s="1"/>
  <c r="F20" i="16" a="1"/>
  <c r="F20" i="16" s="1"/>
  <c r="F21" i="16" a="1"/>
  <c r="F21" i="16" s="1"/>
  <c r="F22" i="16" a="1"/>
  <c r="F22" i="16" s="1"/>
  <c r="F23" i="16" a="1"/>
  <c r="F23" i="16" s="1"/>
  <c r="F24" i="16" a="1"/>
  <c r="F24" i="16" s="1"/>
  <c r="F25" i="16" a="1"/>
  <c r="F25" i="16" s="1"/>
  <c r="F26" i="16" a="1"/>
  <c r="F26" i="16" s="1"/>
  <c r="F29" i="16" a="1"/>
  <c r="F29" i="16" s="1"/>
  <c r="F30" i="16" a="1"/>
  <c r="F30" i="16" s="1"/>
  <c r="F31" i="16" a="1"/>
  <c r="F31" i="16" s="1"/>
  <c r="F32" i="16" a="1"/>
  <c r="F32" i="16" s="1"/>
  <c r="F34" i="16" a="1"/>
  <c r="F34" i="16" s="1"/>
  <c r="F35" i="16" a="1"/>
  <c r="F35" i="16" s="1"/>
  <c r="F36" i="16" a="1"/>
  <c r="F36" i="16" s="1"/>
  <c r="F38" i="16" a="1"/>
  <c r="F38" i="16" s="1"/>
  <c r="F39" i="16" a="1"/>
  <c r="F39" i="16" s="1"/>
  <c r="F40" i="16" a="1"/>
  <c r="F40" i="16" s="1"/>
  <c r="F41" i="16" a="1"/>
  <c r="F41" i="16" s="1"/>
  <c r="F43" i="16" a="1"/>
  <c r="F43" i="16" s="1"/>
  <c r="F48" i="16" a="1"/>
  <c r="F48" i="16" s="1"/>
  <c r="F49" i="16" a="1"/>
  <c r="F49" i="16" s="1"/>
  <c r="F50" i="16" a="1"/>
  <c r="F50" i="16" s="1"/>
  <c r="F67" i="16" a="1"/>
  <c r="F67" i="16" s="1"/>
  <c r="F68" i="16" a="1"/>
  <c r="F68" i="16" s="1"/>
  <c r="F69" i="16" a="1"/>
  <c r="F69" i="16" s="1"/>
  <c r="F70" i="16" a="1"/>
  <c r="F70" i="16" s="1"/>
  <c r="F71" i="16" a="1"/>
  <c r="F71" i="16" s="1"/>
  <c r="F3" i="16" a="1"/>
  <c r="F3" i="16" s="1"/>
  <c r="F5" i="16" a="1"/>
  <c r="F5" i="16" s="1"/>
  <c r="F6" i="16" a="1"/>
  <c r="F6" i="16" s="1"/>
  <c r="F7" i="16" a="1"/>
  <c r="F7" i="16" s="1"/>
  <c r="F9" i="16" a="1"/>
  <c r="F9" i="16" s="1"/>
  <c r="F10" i="16" a="1"/>
  <c r="F10" i="16" s="1"/>
  <c r="F11" i="16" a="1"/>
  <c r="F11" i="16" s="1"/>
  <c r="F12" i="16" a="1"/>
  <c r="F12" i="16" s="1"/>
  <c r="F13" i="16" a="1"/>
  <c r="F13" i="16" s="1"/>
  <c r="F15" i="16" a="1"/>
  <c r="F15" i="16" s="1"/>
  <c r="F16" i="16" a="1"/>
  <c r="F16" i="16" s="1"/>
  <c r="F17" i="16" a="1"/>
  <c r="F17" i="16" s="1"/>
  <c r="F18" i="16" a="1"/>
  <c r="F18" i="16" s="1"/>
  <c r="F66" i="16" a="1"/>
  <c r="F66" i="16" s="1"/>
  <c r="F61" i="16" a="1"/>
  <c r="F61" i="16" s="1"/>
  <c r="F62" i="16" a="1"/>
  <c r="F62" i="16" s="1"/>
  <c r="F63" i="16" a="1"/>
  <c r="F63" i="16" s="1"/>
  <c r="F64" i="16" a="1"/>
  <c r="F64" i="16" s="1"/>
  <c r="F44" i="16" a="1"/>
  <c r="F44" i="16" s="1"/>
  <c r="F45" i="16" a="1"/>
  <c r="F45" i="16" s="1"/>
  <c r="F46" i="16" a="1"/>
  <c r="F46" i="16" s="1"/>
  <c r="F52" i="16" a="1"/>
  <c r="F52" i="16" s="1"/>
  <c r="F53" i="16" a="1"/>
  <c r="F53" i="16" s="1"/>
  <c r="F54" i="16" a="1"/>
  <c r="F54" i="16" s="1"/>
  <c r="F55" i="16" a="1"/>
  <c r="F55" i="16" s="1"/>
  <c r="F56" i="16" a="1"/>
  <c r="F56" i="16" s="1"/>
  <c r="F57" i="16" a="1"/>
  <c r="F57" i="16" s="1"/>
  <c r="F58" i="16" a="1"/>
  <c r="F58" i="16" s="1"/>
  <c r="F59" i="16" a="1"/>
  <c r="F59" i="16" s="1"/>
  <c r="F60" i="16" a="1"/>
  <c r="F60" i="16" s="1"/>
  <c r="F51" i="16" a="1"/>
  <c r="F51" i="16" s="1"/>
  <c r="N8" i="31"/>
  <c r="N13" i="31"/>
  <c r="N19" i="31"/>
  <c r="N29" i="31"/>
  <c r="N40" i="31"/>
  <c r="N44" i="31"/>
  <c r="N53" i="31"/>
  <c r="N60" i="31"/>
  <c r="N67" i="31"/>
  <c r="N72" i="31"/>
  <c r="P8" i="31"/>
  <c r="P13" i="31"/>
  <c r="P19" i="31"/>
  <c r="P29" i="31"/>
  <c r="P40" i="31"/>
  <c r="P44" i="31"/>
  <c r="P53" i="31"/>
  <c r="P60" i="31"/>
  <c r="P67" i="31"/>
  <c r="P72" i="31"/>
  <c r="O71" i="31"/>
  <c r="O70" i="31"/>
  <c r="O69" i="31"/>
  <c r="O68" i="31"/>
  <c r="O52" i="31"/>
  <c r="O39" i="31"/>
  <c r="O77" i="31"/>
  <c r="O76" i="31"/>
  <c r="O75" i="31"/>
  <c r="O74" i="31"/>
  <c r="O73" i="31"/>
  <c r="O66" i="31"/>
  <c r="O65" i="31"/>
  <c r="O64" i="31"/>
  <c r="O63" i="31"/>
  <c r="O62" i="31"/>
  <c r="O61" i="31"/>
  <c r="O59" i="31"/>
  <c r="O58" i="31"/>
  <c r="O57" i="31"/>
  <c r="O56" i="31"/>
  <c r="O55" i="31"/>
  <c r="O54" i="31"/>
  <c r="O49" i="31"/>
  <c r="O48" i="31"/>
  <c r="O47" i="31"/>
  <c r="O51" i="31"/>
  <c r="O50" i="31"/>
  <c r="O46" i="31"/>
  <c r="O45" i="31"/>
  <c r="O43" i="31"/>
  <c r="O42" i="31"/>
  <c r="O41" i="31"/>
  <c r="O38" i="31"/>
  <c r="O37" i="31"/>
  <c r="O36" i="31"/>
  <c r="O35" i="31"/>
  <c r="O34" i="31"/>
  <c r="O33" i="31"/>
  <c r="O32" i="31"/>
  <c r="O31" i="31"/>
  <c r="O30" i="31"/>
  <c r="O28" i="31"/>
  <c r="O27" i="31"/>
  <c r="O26" i="31"/>
  <c r="O25" i="31"/>
  <c r="O24" i="31"/>
  <c r="O23" i="31"/>
  <c r="O22" i="31"/>
  <c r="O21" i="31"/>
  <c r="O20" i="31"/>
  <c r="O18" i="31"/>
  <c r="O17" i="31"/>
  <c r="O16" i="31"/>
  <c r="O15" i="31"/>
  <c r="O14" i="31"/>
  <c r="O10" i="31"/>
  <c r="O11" i="31"/>
  <c r="O12" i="31"/>
  <c r="O9" i="31"/>
  <c r="K72" i="31"/>
  <c r="L72" i="31"/>
  <c r="K67" i="31"/>
  <c r="L67" i="31"/>
  <c r="K60" i="31"/>
  <c r="L60" i="31"/>
  <c r="K53" i="31"/>
  <c r="L53" i="31"/>
  <c r="K44" i="31"/>
  <c r="L44" i="31"/>
  <c r="K40" i="31"/>
  <c r="L40" i="31"/>
  <c r="K29" i="31"/>
  <c r="L29" i="31"/>
  <c r="K19" i="31"/>
  <c r="L19" i="31"/>
  <c r="K13" i="31"/>
  <c r="L13" i="31"/>
  <c r="K8" i="31"/>
  <c r="L8" i="31"/>
  <c r="M39" i="31"/>
  <c r="M71" i="31"/>
  <c r="M70" i="31"/>
  <c r="M69" i="31"/>
  <c r="M68" i="31"/>
  <c r="M23" i="31"/>
  <c r="M22" i="31"/>
  <c r="M74" i="31"/>
  <c r="M73" i="31"/>
  <c r="M66" i="31"/>
  <c r="M65" i="31"/>
  <c r="M64" i="31"/>
  <c r="M63" i="31"/>
  <c r="M62" i="31"/>
  <c r="M61" i="31"/>
  <c r="M48" i="31"/>
  <c r="M47" i="31"/>
  <c r="M46" i="31"/>
  <c r="M45" i="31"/>
  <c r="M27" i="31"/>
  <c r="M26" i="31"/>
  <c r="M25" i="31"/>
  <c r="M24" i="31"/>
  <c r="M21" i="31"/>
  <c r="M20" i="31"/>
  <c r="M17" i="31"/>
  <c r="M59" i="31"/>
  <c r="M58" i="31"/>
  <c r="M57" i="31"/>
  <c r="M56" i="31"/>
  <c r="M55" i="31"/>
  <c r="M54" i="31"/>
  <c r="M49" i="31"/>
  <c r="M43" i="31"/>
  <c r="M42" i="31"/>
  <c r="M41" i="31"/>
  <c r="M38" i="31"/>
  <c r="M37" i="31"/>
  <c r="M36" i="31"/>
  <c r="M35" i="31"/>
  <c r="M34" i="31"/>
  <c r="M33" i="31"/>
  <c r="M32" i="31"/>
  <c r="M31" i="31"/>
  <c r="M30" i="31"/>
  <c r="M28" i="31"/>
  <c r="M18" i="31"/>
  <c r="M10" i="31"/>
  <c r="M11" i="31"/>
  <c r="M12" i="31"/>
  <c r="M9" i="31"/>
  <c r="J8" i="31"/>
  <c r="Q78" i="31"/>
  <c r="J60" i="31"/>
  <c r="J53" i="31"/>
  <c r="J44" i="31"/>
  <c r="J29" i="31"/>
  <c r="J19" i="31"/>
  <c r="J13" i="31"/>
  <c r="H4" i="13" l="1" a="1"/>
  <c r="H4" i="13" s="1"/>
  <c r="H3" i="13"/>
  <c r="K5" i="13" a="1"/>
  <c r="K5" i="13" s="1"/>
  <c r="I5" i="13" a="1"/>
  <c r="I5" i="13" s="1"/>
  <c r="J5" i="13" s="1"/>
  <c r="L5" i="13" s="1"/>
  <c r="M67" i="31"/>
  <c r="M8" i="31"/>
  <c r="M40" i="31"/>
  <c r="N78" i="31"/>
  <c r="M29" i="31"/>
  <c r="O13" i="31"/>
  <c r="O8" i="31"/>
  <c r="M72" i="31"/>
  <c r="M60" i="31"/>
  <c r="O72" i="31"/>
  <c r="O67" i="31"/>
  <c r="O60" i="31"/>
  <c r="M53" i="31"/>
  <c r="O53" i="31"/>
  <c r="M44" i="31"/>
  <c r="O44" i="31"/>
  <c r="O40" i="31"/>
  <c r="O29" i="31"/>
  <c r="M19" i="31"/>
  <c r="O19" i="31"/>
  <c r="M13" i="31"/>
  <c r="P78" i="31"/>
  <c r="K78" i="31"/>
  <c r="L78" i="31"/>
  <c r="UY2" i="16" a="1"/>
  <c r="UY2" i="16" s="1"/>
  <c r="UY3" i="16" a="1"/>
  <c r="UY3" i="16" s="1"/>
  <c r="UY5" i="16" a="1"/>
  <c r="UY5" i="16" s="1"/>
  <c r="UY6" i="16" a="1"/>
  <c r="UY6" i="16" s="1"/>
  <c r="UY7" i="16" a="1"/>
  <c r="UY7" i="16" s="1"/>
  <c r="UY9" i="16" a="1"/>
  <c r="UY9" i="16" s="1"/>
  <c r="UY10" i="16" a="1"/>
  <c r="UY10" i="16" s="1"/>
  <c r="UY11" i="16" a="1"/>
  <c r="UY11" i="16" s="1"/>
  <c r="UY12" i="16" a="1"/>
  <c r="UY12" i="16" s="1"/>
  <c r="UY13" i="16" a="1"/>
  <c r="UY13" i="16" s="1"/>
  <c r="UY14" i="16" a="1"/>
  <c r="UY14" i="16" s="1"/>
  <c r="UY15" i="16" a="1"/>
  <c r="UY15" i="16" s="1"/>
  <c r="UY16" i="16" a="1"/>
  <c r="UY16" i="16" s="1"/>
  <c r="UY17" i="16" a="1"/>
  <c r="UY17" i="16" s="1"/>
  <c r="UY18" i="16" a="1"/>
  <c r="UY18" i="16" s="1"/>
  <c r="UY19" i="16" a="1"/>
  <c r="UY19" i="16" s="1"/>
  <c r="UY20" i="16" a="1"/>
  <c r="UY20" i="16" s="1"/>
  <c r="UY21" i="16" a="1"/>
  <c r="UY21" i="16" s="1"/>
  <c r="UY22" i="16" a="1"/>
  <c r="UY22" i="16" s="1"/>
  <c r="UY23" i="16" a="1"/>
  <c r="UY23" i="16" s="1"/>
  <c r="UY24" i="16" a="1"/>
  <c r="UY24" i="16" s="1"/>
  <c r="UY25" i="16" a="1"/>
  <c r="UY25" i="16" s="1"/>
  <c r="UY26" i="16" a="1"/>
  <c r="UY26" i="16" s="1"/>
  <c r="UY27" i="16" a="1"/>
  <c r="UY27" i="16" s="1"/>
  <c r="UY29" i="16" a="1"/>
  <c r="UY29" i="16" s="1"/>
  <c r="UY30" i="16" a="1"/>
  <c r="UY30" i="16" s="1"/>
  <c r="UY31" i="16" a="1"/>
  <c r="UY31" i="16" s="1"/>
  <c r="UY32" i="16" a="1"/>
  <c r="UY32" i="16" s="1"/>
  <c r="UY33" i="16" a="1"/>
  <c r="UY33" i="16" s="1"/>
  <c r="UY34" i="16" a="1"/>
  <c r="UY34" i="16" s="1"/>
  <c r="UY35" i="16" a="1"/>
  <c r="UY35" i="16" s="1"/>
  <c r="UY36" i="16" a="1"/>
  <c r="UY36" i="16" s="1"/>
  <c r="UY37" i="16" a="1"/>
  <c r="UY37" i="16" s="1"/>
  <c r="UY38" i="16" a="1"/>
  <c r="UY38" i="16" s="1"/>
  <c r="UY39" i="16" a="1"/>
  <c r="UY39" i="16" s="1"/>
  <c r="UY40" i="16" a="1"/>
  <c r="UY40" i="16" s="1"/>
  <c r="UY41" i="16" a="1"/>
  <c r="UY41" i="16" s="1"/>
  <c r="UY42" i="16" a="1"/>
  <c r="UY42" i="16" s="1"/>
  <c r="UY43" i="16" a="1"/>
  <c r="UY43" i="16" s="1"/>
  <c r="UY44" i="16" a="1"/>
  <c r="UY44" i="16" s="1"/>
  <c r="UY45" i="16" a="1"/>
  <c r="UY45" i="16" s="1"/>
  <c r="UY46" i="16" a="1"/>
  <c r="UY46" i="16" s="1"/>
  <c r="UY48" i="16" a="1"/>
  <c r="UY48" i="16" s="1"/>
  <c r="UY49" i="16" a="1"/>
  <c r="UY49" i="16" s="1"/>
  <c r="UY50" i="16" a="1"/>
  <c r="UY50" i="16" s="1"/>
  <c r="UY56" i="16" a="1"/>
  <c r="UY56" i="16" s="1"/>
  <c r="UY65" i="16" a="1"/>
  <c r="UY65" i="16" s="1"/>
  <c r="UY66" i="16" a="1"/>
  <c r="UY66" i="16" s="1"/>
  <c r="UY67" i="16" a="1"/>
  <c r="UY67" i="16" s="1"/>
  <c r="UY68" i="16" a="1"/>
  <c r="UY68" i="16" s="1"/>
  <c r="UY69" i="16" a="1"/>
  <c r="UY69" i="16" s="1"/>
  <c r="UY70" i="16" a="1"/>
  <c r="UY70" i="16" s="1"/>
  <c r="UY71" i="16" a="1"/>
  <c r="UY71" i="16" s="1"/>
  <c r="UY72" i="16" a="1"/>
  <c r="UY72" i="16" s="1"/>
  <c r="UY73" i="16" a="1"/>
  <c r="UY73" i="16" s="1"/>
  <c r="UY74" i="16" a="1"/>
  <c r="UY74" i="16" s="1"/>
  <c r="UY75" i="16" a="1"/>
  <c r="UY75" i="16" s="1"/>
  <c r="UY76" i="16" a="1"/>
  <c r="UY76" i="16" s="1"/>
  <c r="UY77" i="16" a="1"/>
  <c r="UY77" i="16" s="1"/>
  <c r="UY78" i="16" a="1"/>
  <c r="UY78" i="16" s="1"/>
  <c r="UY79" i="16" a="1"/>
  <c r="UY79" i="16" s="1"/>
  <c r="UY80" i="16" a="1"/>
  <c r="UY80" i="16" s="1"/>
  <c r="Q47" i="32"/>
  <c r="AG10" i="23"/>
  <c r="Q10" i="23"/>
  <c r="UZ3" i="16" a="1"/>
  <c r="UZ3" i="16" s="1"/>
  <c r="UZ4" i="16" a="1"/>
  <c r="UZ4" i="16" s="1"/>
  <c r="UZ5" i="16" a="1"/>
  <c r="UZ5" i="16" s="1"/>
  <c r="UZ6" i="16" a="1"/>
  <c r="UZ6" i="16" s="1"/>
  <c r="UZ7" i="16" a="1"/>
  <c r="UZ7" i="16" s="1"/>
  <c r="UZ8" i="16" a="1"/>
  <c r="UZ8" i="16" s="1"/>
  <c r="UZ9" i="16" a="1"/>
  <c r="UZ9" i="16" s="1"/>
  <c r="UZ10" i="16" a="1"/>
  <c r="UZ10" i="16" s="1"/>
  <c r="UZ11" i="16" a="1"/>
  <c r="UZ11" i="16" s="1"/>
  <c r="UZ12" i="16" a="1"/>
  <c r="UZ12" i="16" s="1"/>
  <c r="UZ13" i="16" a="1"/>
  <c r="UZ13" i="16" s="1"/>
  <c r="UZ14" i="16" a="1"/>
  <c r="UZ14" i="16" s="1"/>
  <c r="UZ15" i="16" a="1"/>
  <c r="UZ15" i="16" s="1"/>
  <c r="UZ16" i="16" a="1"/>
  <c r="UZ16" i="16" s="1"/>
  <c r="UZ17" i="16" a="1"/>
  <c r="UZ17" i="16" s="1"/>
  <c r="UZ18" i="16" a="1"/>
  <c r="UZ18" i="16" s="1"/>
  <c r="UZ19" i="16" a="1"/>
  <c r="UZ19" i="16" s="1"/>
  <c r="UZ20" i="16" a="1"/>
  <c r="UZ20" i="16" s="1"/>
  <c r="UZ21" i="16" a="1"/>
  <c r="UZ21" i="16" s="1"/>
  <c r="UZ22" i="16" a="1"/>
  <c r="UZ22" i="16" s="1"/>
  <c r="UZ23" i="16" a="1"/>
  <c r="UZ23" i="16" s="1"/>
  <c r="UZ24" i="16" a="1"/>
  <c r="UZ24" i="16" s="1"/>
  <c r="UZ25" i="16" a="1"/>
  <c r="UZ25" i="16" s="1"/>
  <c r="UZ26" i="16" a="1"/>
  <c r="UZ26" i="16" s="1"/>
  <c r="UZ27" i="16" a="1"/>
  <c r="UZ27" i="16" s="1"/>
  <c r="UZ28" i="16" a="1"/>
  <c r="UZ28" i="16" s="1"/>
  <c r="UZ29" i="16" a="1"/>
  <c r="UZ29" i="16" s="1"/>
  <c r="UZ30" i="16" a="1"/>
  <c r="UZ30" i="16" s="1"/>
  <c r="UZ31" i="16" a="1"/>
  <c r="UZ31" i="16" s="1"/>
  <c r="UZ32" i="16" a="1"/>
  <c r="UZ32" i="16" s="1"/>
  <c r="UZ33" i="16" a="1"/>
  <c r="UZ33" i="16" s="1"/>
  <c r="UZ34" i="16" a="1"/>
  <c r="UZ34" i="16" s="1"/>
  <c r="UZ35" i="16" a="1"/>
  <c r="UZ35" i="16" s="1"/>
  <c r="UZ36" i="16" a="1"/>
  <c r="UZ36" i="16" s="1"/>
  <c r="UZ37" i="16" a="1"/>
  <c r="UZ37" i="16" s="1"/>
  <c r="UZ38" i="16" a="1"/>
  <c r="UZ38" i="16" s="1"/>
  <c r="UZ39" i="16" a="1"/>
  <c r="UZ39" i="16" s="1"/>
  <c r="UZ40" i="16" a="1"/>
  <c r="UZ40" i="16" s="1"/>
  <c r="UZ41" i="16" a="1"/>
  <c r="UZ41" i="16" s="1"/>
  <c r="UZ42" i="16" a="1"/>
  <c r="UZ42" i="16" s="1"/>
  <c r="UZ43" i="16" a="1"/>
  <c r="UZ43" i="16" s="1"/>
  <c r="UZ44" i="16" a="1"/>
  <c r="UZ44" i="16" s="1"/>
  <c r="UZ45" i="16" a="1"/>
  <c r="UZ45" i="16" s="1"/>
  <c r="UZ46" i="16" a="1"/>
  <c r="UZ46" i="16" s="1"/>
  <c r="UZ47" i="16" a="1"/>
  <c r="UZ47" i="16" s="1"/>
  <c r="UZ48" i="16" a="1"/>
  <c r="UZ48" i="16" s="1"/>
  <c r="UZ49" i="16" a="1"/>
  <c r="UZ49" i="16" s="1"/>
  <c r="UZ50" i="16" a="1"/>
  <c r="UZ50" i="16" s="1"/>
  <c r="UZ52" i="16" a="1"/>
  <c r="UZ52" i="16" s="1"/>
  <c r="UZ53" i="16" a="1"/>
  <c r="UZ53" i="16" s="1"/>
  <c r="UZ54" i="16" a="1"/>
  <c r="UZ54" i="16" s="1"/>
  <c r="UZ55" i="16" a="1"/>
  <c r="UZ55" i="16" s="1"/>
  <c r="UZ56" i="16" a="1"/>
  <c r="UZ56" i="16" s="1"/>
  <c r="UZ57" i="16" a="1"/>
  <c r="UZ57" i="16" s="1"/>
  <c r="UZ58" i="16" a="1"/>
  <c r="UZ58" i="16" s="1"/>
  <c r="UZ59" i="16" a="1"/>
  <c r="UZ59" i="16" s="1"/>
  <c r="UZ60" i="16" a="1"/>
  <c r="UZ60" i="16" s="1"/>
  <c r="UZ61" i="16" a="1"/>
  <c r="UZ61" i="16" s="1"/>
  <c r="UZ62" i="16" a="1"/>
  <c r="UZ62" i="16" s="1"/>
  <c r="UZ63" i="16" a="1"/>
  <c r="UZ63" i="16" s="1"/>
  <c r="UZ64" i="16" a="1"/>
  <c r="UZ64" i="16" s="1"/>
  <c r="UZ65" i="16" a="1"/>
  <c r="UZ65" i="16" s="1"/>
  <c r="UZ66" i="16" a="1"/>
  <c r="UZ66" i="16" s="1"/>
  <c r="UZ67" i="16" a="1"/>
  <c r="UZ67" i="16" s="1"/>
  <c r="UZ68" i="16" a="1"/>
  <c r="UZ68" i="16" s="1"/>
  <c r="UZ69" i="16" a="1"/>
  <c r="UZ69" i="16" s="1"/>
  <c r="UZ70" i="16" a="1"/>
  <c r="UZ70" i="16" s="1"/>
  <c r="UZ71" i="16" a="1"/>
  <c r="UZ71" i="16" s="1"/>
  <c r="UZ72" i="16" a="1"/>
  <c r="UZ72" i="16" s="1"/>
  <c r="UZ73" i="16" a="1"/>
  <c r="UZ73" i="16" s="1"/>
  <c r="UZ74" i="16" a="1"/>
  <c r="UZ74" i="16" s="1"/>
  <c r="UZ75" i="16" a="1"/>
  <c r="UZ75" i="16" s="1"/>
  <c r="UZ76" i="16" a="1"/>
  <c r="UZ76" i="16" s="1"/>
  <c r="UZ77" i="16" a="1"/>
  <c r="UZ77" i="16" s="1"/>
  <c r="UZ78" i="16" a="1"/>
  <c r="UZ78" i="16" s="1"/>
  <c r="UZ79" i="16" a="1"/>
  <c r="UZ79" i="16" s="1"/>
  <c r="UZ80" i="16" a="1"/>
  <c r="UZ80" i="16" s="1"/>
  <c r="UZ2" i="16" a="1"/>
  <c r="UZ2" i="16" s="1"/>
  <c r="Q31" i="32"/>
  <c r="Q82" i="33"/>
  <c r="Q81" i="33"/>
  <c r="Q80" i="33"/>
  <c r="Q79" i="33"/>
  <c r="Q78" i="33"/>
  <c r="Q77" i="33"/>
  <c r="Q76" i="33"/>
  <c r="Q75" i="33"/>
  <c r="Q74" i="33"/>
  <c r="Q73" i="33"/>
  <c r="Q72" i="33"/>
  <c r="Q71" i="33"/>
  <c r="Q70" i="33"/>
  <c r="Q69" i="33"/>
  <c r="Q68" i="33"/>
  <c r="Q67" i="33"/>
  <c r="Q66" i="33"/>
  <c r="Q65" i="33"/>
  <c r="Q64" i="33"/>
  <c r="Q63" i="33"/>
  <c r="Q62" i="33"/>
  <c r="Q61" i="33"/>
  <c r="Q60" i="33"/>
  <c r="Q59" i="33"/>
  <c r="Q58" i="33"/>
  <c r="Q57" i="33"/>
  <c r="Q56" i="33"/>
  <c r="Q55" i="33"/>
  <c r="Q54" i="33"/>
  <c r="Q53" i="33"/>
  <c r="Q52" i="33"/>
  <c r="Q51" i="33"/>
  <c r="Q50" i="33"/>
  <c r="Q49" i="33"/>
  <c r="Q48" i="33"/>
  <c r="Q47" i="33"/>
  <c r="Q39" i="33"/>
  <c r="Q38" i="33"/>
  <c r="Q37" i="33"/>
  <c r="Q36" i="33"/>
  <c r="Q35" i="33"/>
  <c r="Q34" i="33"/>
  <c r="Q33" i="33"/>
  <c r="Q32" i="33"/>
  <c r="Q31" i="33"/>
  <c r="Q15" i="33"/>
  <c r="I4" i="13" l="1" a="1"/>
  <c r="I4" i="13" s="1"/>
  <c r="J4" i="13" s="1"/>
  <c r="L4" i="13" s="1"/>
  <c r="K4" i="13" a="1"/>
  <c r="K4" i="13" s="1"/>
  <c r="K3" i="13" a="1"/>
  <c r="K3" i="13" s="1"/>
  <c r="I3" i="13" a="1"/>
  <c r="I3" i="13" s="1"/>
  <c r="J3" i="13" s="1"/>
  <c r="L3" i="13" s="1"/>
  <c r="M78" i="31"/>
  <c r="Q6" i="23"/>
  <c r="T10" i="23" s="1"/>
  <c r="Q83" i="33"/>
  <c r="Q40" i="33"/>
  <c r="Q14" i="32" l="1"/>
  <c r="J72" i="31"/>
  <c r="Q21" i="32"/>
  <c r="J67" i="31"/>
  <c r="Q20" i="32"/>
  <c r="Q19" i="32"/>
  <c r="J40" i="31"/>
  <c r="Q13" i="32"/>
  <c r="Q12" i="32"/>
  <c r="Q15" i="32"/>
  <c r="VO2" i="16"/>
  <c r="Q48" i="32"/>
  <c r="Q49" i="32"/>
  <c r="Q50" i="32"/>
  <c r="Q51" i="32"/>
  <c r="Q52" i="32"/>
  <c r="Q53" i="32"/>
  <c r="Q54" i="32"/>
  <c r="Q55" i="32"/>
  <c r="Q56" i="32"/>
  <c r="Q57" i="32"/>
  <c r="Q58" i="32"/>
  <c r="Q59" i="32"/>
  <c r="Q60" i="32"/>
  <c r="Q61" i="32"/>
  <c r="Q62" i="32"/>
  <c r="Q63" i="32"/>
  <c r="Q64" i="32"/>
  <c r="Q65" i="32"/>
  <c r="Q66" i="32"/>
  <c r="Q67" i="32"/>
  <c r="Q68" i="32"/>
  <c r="Q69" i="32"/>
  <c r="Q70" i="32"/>
  <c r="Q71" i="32"/>
  <c r="Q72" i="32"/>
  <c r="Q73" i="32"/>
  <c r="Q74" i="32"/>
  <c r="Q75" i="32"/>
  <c r="Q76" i="32"/>
  <c r="Q77" i="32"/>
  <c r="Q78" i="32"/>
  <c r="Q79" i="32"/>
  <c r="Q80" i="32"/>
  <c r="Q81" i="32"/>
  <c r="Q82" i="32"/>
  <c r="Q32" i="32"/>
  <c r="Q33" i="32"/>
  <c r="Q34" i="32"/>
  <c r="Q35" i="32"/>
  <c r="Q36" i="32"/>
  <c r="Q37" i="32"/>
  <c r="Q38" i="32"/>
  <c r="Q39" i="32"/>
  <c r="O78" i="31" l="1"/>
  <c r="J78" i="31"/>
  <c r="H45" i="13"/>
  <c r="UY28" i="16" s="1" a="1"/>
  <c r="UY28" i="16" s="1"/>
  <c r="Q14" i="33"/>
  <c r="H44" i="13"/>
  <c r="UY8" i="16" s="1" a="1"/>
  <c r="UY8" i="16" s="1"/>
  <c r="UY55" i="16" a="1"/>
  <c r="UY55" i="16" s="1"/>
  <c r="UY61" i="16" a="1"/>
  <c r="UY61" i="16" s="1"/>
  <c r="Q20" i="33"/>
  <c r="Q16" i="32"/>
  <c r="Q16" i="33"/>
  <c r="UY57" i="16" a="1"/>
  <c r="UY57" i="16" s="1"/>
  <c r="Q18" i="33"/>
  <c r="UY59" i="16" a="1"/>
  <c r="UY59" i="16" s="1"/>
  <c r="Q18" i="32"/>
  <c r="Q10" i="32"/>
  <c r="Q10" i="33"/>
  <c r="Q19" i="33"/>
  <c r="UY60" i="16" a="1"/>
  <c r="UY60" i="16" s="1"/>
  <c r="Q12" i="33"/>
  <c r="UY53" i="16" a="1"/>
  <c r="UY53" i="16" s="1"/>
  <c r="Q11" i="32"/>
  <c r="UY52" i="16" a="1"/>
  <c r="UY52" i="16" s="1"/>
  <c r="Q11" i="33"/>
  <c r="UY62" i="16" a="1"/>
  <c r="UY62" i="16" s="1"/>
  <c r="Q21" i="33"/>
  <c r="Q13" i="33"/>
  <c r="UY54" i="16" a="1"/>
  <c r="UY54" i="16" s="1"/>
  <c r="Z1" i="20" s="1"/>
  <c r="Q83" i="32"/>
  <c r="Q40" i="32"/>
  <c r="Q140" i="31"/>
  <c r="P140" i="31"/>
  <c r="O140" i="31"/>
  <c r="N140" i="31"/>
  <c r="M140" i="31"/>
  <c r="L140" i="31"/>
  <c r="K140" i="31"/>
  <c r="J140" i="31"/>
  <c r="P97" i="31"/>
  <c r="N97" i="31"/>
  <c r="M97" i="31"/>
  <c r="L97" i="31"/>
  <c r="K97" i="31"/>
  <c r="J97" i="31"/>
  <c r="Q50" i="29" l="1"/>
  <c r="BB85" i="29"/>
  <c r="AY85" i="29"/>
  <c r="AV85" i="29"/>
  <c r="AS85" i="29"/>
  <c r="AP85" i="29"/>
  <c r="AM85" i="29"/>
  <c r="BB84" i="29"/>
  <c r="AY84" i="29"/>
  <c r="AV84" i="29"/>
  <c r="AS84" i="29"/>
  <c r="AP84" i="29"/>
  <c r="AM84" i="29"/>
  <c r="BB83" i="29"/>
  <c r="AY83" i="29"/>
  <c r="AV83" i="29"/>
  <c r="AS83" i="29"/>
  <c r="AP83" i="29"/>
  <c r="AM83" i="29"/>
  <c r="BB82" i="29"/>
  <c r="AY82" i="29"/>
  <c r="AV82" i="29"/>
  <c r="AS82" i="29"/>
  <c r="AP82" i="29"/>
  <c r="AM82" i="29"/>
  <c r="BB81" i="29"/>
  <c r="AY81" i="29"/>
  <c r="AV81" i="29"/>
  <c r="AS81" i="29"/>
  <c r="AP81" i="29"/>
  <c r="AM81" i="29"/>
  <c r="BB80" i="29"/>
  <c r="AY80" i="29"/>
  <c r="AV80" i="29"/>
  <c r="AS80" i="29"/>
  <c r="AP80" i="29"/>
  <c r="AM80" i="29"/>
  <c r="BB79" i="29"/>
  <c r="AY79" i="29"/>
  <c r="AV79" i="29"/>
  <c r="AS79" i="29"/>
  <c r="AP79" i="29"/>
  <c r="AM79" i="29"/>
  <c r="BB78" i="29"/>
  <c r="AY78" i="29"/>
  <c r="AV78" i="29"/>
  <c r="AS78" i="29"/>
  <c r="AP78" i="29"/>
  <c r="AM78" i="29"/>
  <c r="BB77" i="29"/>
  <c r="AY77" i="29"/>
  <c r="AV77" i="29"/>
  <c r="AS77" i="29"/>
  <c r="AP77" i="29"/>
  <c r="AM77" i="29"/>
  <c r="BB76" i="29"/>
  <c r="AY76" i="29"/>
  <c r="AV76" i="29"/>
  <c r="AS76" i="29"/>
  <c r="AP76" i="29"/>
  <c r="AM76" i="29"/>
  <c r="BB75" i="29"/>
  <c r="AY75" i="29"/>
  <c r="AV75" i="29"/>
  <c r="AS75" i="29"/>
  <c r="AP75" i="29"/>
  <c r="AM75" i="29"/>
  <c r="BB74" i="29"/>
  <c r="AY74" i="29"/>
  <c r="AV74" i="29"/>
  <c r="AS74" i="29"/>
  <c r="AP74" i="29"/>
  <c r="AM74" i="29"/>
  <c r="BB73" i="29"/>
  <c r="AY73" i="29"/>
  <c r="AV73" i="29"/>
  <c r="AS73" i="29"/>
  <c r="AP73" i="29"/>
  <c r="AM73" i="29"/>
  <c r="BB72" i="29"/>
  <c r="AY72" i="29"/>
  <c r="AV72" i="29"/>
  <c r="AS72" i="29"/>
  <c r="AP72" i="29"/>
  <c r="AM72" i="29"/>
  <c r="BB71" i="29"/>
  <c r="AY71" i="29"/>
  <c r="AV71" i="29"/>
  <c r="AS71" i="29"/>
  <c r="AP71" i="29"/>
  <c r="AM71" i="29"/>
  <c r="BB70" i="29"/>
  <c r="AY70" i="29"/>
  <c r="AV70" i="29"/>
  <c r="AS70" i="29"/>
  <c r="AP70" i="29"/>
  <c r="AM70" i="29"/>
  <c r="BB69" i="29"/>
  <c r="AY69" i="29"/>
  <c r="AV69" i="29"/>
  <c r="AS69" i="29"/>
  <c r="AP69" i="29"/>
  <c r="AM69" i="29"/>
  <c r="BB68" i="29"/>
  <c r="AY68" i="29"/>
  <c r="AV68" i="29"/>
  <c r="AS68" i="29"/>
  <c r="AP68" i="29"/>
  <c r="AM68" i="29"/>
  <c r="BB67" i="29"/>
  <c r="AY67" i="29"/>
  <c r="AV67" i="29"/>
  <c r="AS67" i="29"/>
  <c r="AP67" i="29"/>
  <c r="AM67" i="29"/>
  <c r="BB66" i="29"/>
  <c r="AY66" i="29"/>
  <c r="AV66" i="29"/>
  <c r="AS66" i="29"/>
  <c r="AP66" i="29"/>
  <c r="AM66" i="29"/>
  <c r="BB65" i="29"/>
  <c r="AY65" i="29"/>
  <c r="AV65" i="29"/>
  <c r="AS65" i="29"/>
  <c r="AP65" i="29"/>
  <c r="AM65" i="29"/>
  <c r="BB64" i="29"/>
  <c r="AY64" i="29"/>
  <c r="AV64" i="29"/>
  <c r="AS64" i="29"/>
  <c r="AP64" i="29"/>
  <c r="AM64" i="29"/>
  <c r="BB63" i="29"/>
  <c r="AY63" i="29"/>
  <c r="AV63" i="29"/>
  <c r="AS63" i="29"/>
  <c r="AP63" i="29"/>
  <c r="AM63" i="29"/>
  <c r="BB62" i="29"/>
  <c r="AY62" i="29"/>
  <c r="AV62" i="29"/>
  <c r="AS62" i="29"/>
  <c r="AP62" i="29"/>
  <c r="AM62" i="29"/>
  <c r="BB61" i="29"/>
  <c r="AY61" i="29"/>
  <c r="AV61" i="29"/>
  <c r="AS61" i="29"/>
  <c r="AP61" i="29"/>
  <c r="AM61" i="29"/>
  <c r="BB60" i="29"/>
  <c r="AY60" i="29"/>
  <c r="AV60" i="29"/>
  <c r="AS60" i="29"/>
  <c r="AP60" i="29"/>
  <c r="AM60" i="29"/>
  <c r="BB59" i="29"/>
  <c r="AY59" i="29"/>
  <c r="AV59" i="29"/>
  <c r="AS59" i="29"/>
  <c r="AP59" i="29"/>
  <c r="AM59" i="29"/>
  <c r="BB58" i="29"/>
  <c r="AY58" i="29"/>
  <c r="AV58" i="29"/>
  <c r="AS58" i="29"/>
  <c r="AP58" i="29"/>
  <c r="AM58" i="29"/>
  <c r="BB57" i="29"/>
  <c r="AY57" i="29"/>
  <c r="AV57" i="29"/>
  <c r="AS57" i="29"/>
  <c r="AP57" i="29"/>
  <c r="AM57" i="29"/>
  <c r="BB56" i="29"/>
  <c r="AY56" i="29"/>
  <c r="AV56" i="29"/>
  <c r="AS56" i="29"/>
  <c r="AP56" i="29"/>
  <c r="AM56" i="29"/>
  <c r="BB55" i="29"/>
  <c r="AY55" i="29"/>
  <c r="AV55" i="29"/>
  <c r="AS55" i="29"/>
  <c r="AP55" i="29"/>
  <c r="AM55" i="29"/>
  <c r="BB54" i="29"/>
  <c r="AY54" i="29"/>
  <c r="AV54" i="29"/>
  <c r="AS54" i="29"/>
  <c r="AP54" i="29"/>
  <c r="AM54" i="29"/>
  <c r="BB53" i="29"/>
  <c r="AY53" i="29"/>
  <c r="AV53" i="29"/>
  <c r="AS53" i="29"/>
  <c r="AP53" i="29"/>
  <c r="AM53" i="29"/>
  <c r="BB52" i="29"/>
  <c r="AY52" i="29"/>
  <c r="AV52" i="29"/>
  <c r="AS52" i="29"/>
  <c r="AP52" i="29"/>
  <c r="AM52" i="29"/>
  <c r="BB51" i="29"/>
  <c r="AY51" i="29"/>
  <c r="AV51" i="29"/>
  <c r="AS51" i="29"/>
  <c r="AP51" i="29"/>
  <c r="AM51" i="29"/>
  <c r="BB50" i="29"/>
  <c r="AY50" i="29"/>
  <c r="AV50" i="29"/>
  <c r="AS50" i="29"/>
  <c r="AP50" i="29"/>
  <c r="AM50" i="29"/>
  <c r="BB41" i="29"/>
  <c r="AY41" i="29"/>
  <c r="AV41" i="29"/>
  <c r="AS41" i="29"/>
  <c r="AP41" i="29"/>
  <c r="AM41" i="29"/>
  <c r="BB40" i="29"/>
  <c r="AY40" i="29"/>
  <c r="AV40" i="29"/>
  <c r="AS40" i="29"/>
  <c r="AP40" i="29"/>
  <c r="AM40" i="29"/>
  <c r="BB39" i="29"/>
  <c r="AY39" i="29"/>
  <c r="AV39" i="29"/>
  <c r="AS39" i="29"/>
  <c r="AP39" i="29"/>
  <c r="AM39" i="29"/>
  <c r="BB38" i="29"/>
  <c r="AY38" i="29"/>
  <c r="AV38" i="29"/>
  <c r="AS38" i="29"/>
  <c r="AP38" i="29"/>
  <c r="AM38" i="29"/>
  <c r="BB37" i="29"/>
  <c r="AY37" i="29"/>
  <c r="AV37" i="29"/>
  <c r="AS37" i="29"/>
  <c r="AP37" i="29"/>
  <c r="AM37" i="29"/>
  <c r="BB36" i="29"/>
  <c r="AY36" i="29"/>
  <c r="AV36" i="29"/>
  <c r="AS36" i="29"/>
  <c r="AP36" i="29"/>
  <c r="AM36" i="29"/>
  <c r="BB35" i="29"/>
  <c r="AY35" i="29"/>
  <c r="AV35" i="29"/>
  <c r="AS35" i="29"/>
  <c r="AP35" i="29"/>
  <c r="AM35" i="29"/>
  <c r="BB34" i="29"/>
  <c r="AY34" i="29"/>
  <c r="AV34" i="29"/>
  <c r="AS34" i="29"/>
  <c r="AP34" i="29"/>
  <c r="AM34" i="29"/>
  <c r="BB33" i="29"/>
  <c r="AY33" i="29"/>
  <c r="AV33" i="29"/>
  <c r="AS33" i="29"/>
  <c r="AP33" i="29"/>
  <c r="AM33" i="29"/>
  <c r="BB12" i="29"/>
  <c r="BB13" i="29"/>
  <c r="BB14" i="29"/>
  <c r="BB15" i="29"/>
  <c r="BB16" i="29"/>
  <c r="BB17" i="29"/>
  <c r="BB18" i="29"/>
  <c r="BB19" i="29"/>
  <c r="BB20" i="29"/>
  <c r="BB21" i="29"/>
  <c r="BB22" i="29"/>
  <c r="BB23" i="29"/>
  <c r="BB24" i="29"/>
  <c r="BB11" i="29"/>
  <c r="AV12" i="29"/>
  <c r="AY12" i="29"/>
  <c r="AV13" i="29"/>
  <c r="AY13" i="29"/>
  <c r="AV14" i="29"/>
  <c r="AY14" i="29"/>
  <c r="AV15" i="29"/>
  <c r="AY15" i="29"/>
  <c r="AV16" i="29"/>
  <c r="AY16" i="29"/>
  <c r="AV17" i="29"/>
  <c r="AY17" i="29"/>
  <c r="AV18" i="29"/>
  <c r="AY18" i="29"/>
  <c r="AV19" i="29"/>
  <c r="AY19" i="29"/>
  <c r="AV20" i="29"/>
  <c r="AY20" i="29"/>
  <c r="AV21" i="29"/>
  <c r="AY21" i="29"/>
  <c r="AV22" i="29"/>
  <c r="AY22" i="29"/>
  <c r="AV23" i="29"/>
  <c r="AY23" i="29"/>
  <c r="AV24" i="29"/>
  <c r="AY24" i="29"/>
  <c r="AY11" i="29"/>
  <c r="AV11" i="29"/>
  <c r="AF85" i="29"/>
  <c r="AC85" i="29"/>
  <c r="Z85" i="29"/>
  <c r="W85" i="29"/>
  <c r="T85" i="29"/>
  <c r="Q85" i="29"/>
  <c r="AF84" i="29"/>
  <c r="AC84" i="29"/>
  <c r="Z84" i="29"/>
  <c r="W84" i="29"/>
  <c r="T84" i="29"/>
  <c r="Q84" i="29"/>
  <c r="AF83" i="29"/>
  <c r="AC83" i="29"/>
  <c r="Z83" i="29"/>
  <c r="W83" i="29"/>
  <c r="T83" i="29"/>
  <c r="Q83" i="29"/>
  <c r="AF82" i="29"/>
  <c r="AC82" i="29"/>
  <c r="Z82" i="29"/>
  <c r="W82" i="29"/>
  <c r="T82" i="29"/>
  <c r="Q82" i="29"/>
  <c r="AF81" i="29"/>
  <c r="AC81" i="29"/>
  <c r="Z81" i="29"/>
  <c r="W81" i="29"/>
  <c r="T81" i="29"/>
  <c r="Q81" i="29"/>
  <c r="AF80" i="29"/>
  <c r="AC80" i="29"/>
  <c r="Z80" i="29"/>
  <c r="W80" i="29"/>
  <c r="T80" i="29"/>
  <c r="Q80" i="29"/>
  <c r="AF79" i="29"/>
  <c r="AC79" i="29"/>
  <c r="Z79" i="29"/>
  <c r="W79" i="29"/>
  <c r="T79" i="29"/>
  <c r="Q79" i="29"/>
  <c r="AF78" i="29"/>
  <c r="AC78" i="29"/>
  <c r="Z78" i="29"/>
  <c r="W78" i="29"/>
  <c r="T78" i="29"/>
  <c r="Q78" i="29"/>
  <c r="AF77" i="29"/>
  <c r="AC77" i="29"/>
  <c r="Z77" i="29"/>
  <c r="W77" i="29"/>
  <c r="T77" i="29"/>
  <c r="Q77" i="29"/>
  <c r="AF76" i="29"/>
  <c r="AC76" i="29"/>
  <c r="Z76" i="29"/>
  <c r="W76" i="29"/>
  <c r="T76" i="29"/>
  <c r="Q76" i="29"/>
  <c r="AF75" i="29"/>
  <c r="AC75" i="29"/>
  <c r="Z75" i="29"/>
  <c r="W75" i="29"/>
  <c r="T75" i="29"/>
  <c r="Q75" i="29"/>
  <c r="AF74" i="29"/>
  <c r="AC74" i="29"/>
  <c r="Z74" i="29"/>
  <c r="W74" i="29"/>
  <c r="T74" i="29"/>
  <c r="Q74" i="29"/>
  <c r="AF73" i="29"/>
  <c r="AC73" i="29"/>
  <c r="Z73" i="29"/>
  <c r="W73" i="29"/>
  <c r="T73" i="29"/>
  <c r="Q73" i="29"/>
  <c r="AF72" i="29"/>
  <c r="AC72" i="29"/>
  <c r="Z72" i="29"/>
  <c r="W72" i="29"/>
  <c r="T72" i="29"/>
  <c r="Q72" i="29"/>
  <c r="AF71" i="29"/>
  <c r="AC71" i="29"/>
  <c r="Z71" i="29"/>
  <c r="W71" i="29"/>
  <c r="T71" i="29"/>
  <c r="Q71" i="29"/>
  <c r="AF70" i="29"/>
  <c r="AC70" i="29"/>
  <c r="Z70" i="29"/>
  <c r="W70" i="29"/>
  <c r="T70" i="29"/>
  <c r="Q70" i="29"/>
  <c r="AF69" i="29"/>
  <c r="AC69" i="29"/>
  <c r="Z69" i="29"/>
  <c r="W69" i="29"/>
  <c r="T69" i="29"/>
  <c r="Q69" i="29"/>
  <c r="AF68" i="29"/>
  <c r="AC68" i="29"/>
  <c r="Z68" i="29"/>
  <c r="W68" i="29"/>
  <c r="T68" i="29"/>
  <c r="Q68" i="29"/>
  <c r="AF67" i="29"/>
  <c r="AC67" i="29"/>
  <c r="Z67" i="29"/>
  <c r="W67" i="29"/>
  <c r="T67" i="29"/>
  <c r="Q67" i="29"/>
  <c r="AF66" i="29"/>
  <c r="AC66" i="29"/>
  <c r="Z66" i="29"/>
  <c r="W66" i="29"/>
  <c r="T66" i="29"/>
  <c r="Q66" i="29"/>
  <c r="AF65" i="29"/>
  <c r="AC65" i="29"/>
  <c r="Z65" i="29"/>
  <c r="W65" i="29"/>
  <c r="T65" i="29"/>
  <c r="Q65" i="29"/>
  <c r="AF64" i="29"/>
  <c r="AC64" i="29"/>
  <c r="Z64" i="29"/>
  <c r="W64" i="29"/>
  <c r="T64" i="29"/>
  <c r="Q64" i="29"/>
  <c r="AF63" i="29"/>
  <c r="AC63" i="29"/>
  <c r="Z63" i="29"/>
  <c r="W63" i="29"/>
  <c r="T63" i="29"/>
  <c r="Q63" i="29"/>
  <c r="AF62" i="29"/>
  <c r="AC62" i="29"/>
  <c r="Z62" i="29"/>
  <c r="W62" i="29"/>
  <c r="T62" i="29"/>
  <c r="Q62" i="29"/>
  <c r="AF61" i="29"/>
  <c r="AC61" i="29"/>
  <c r="Z61" i="29"/>
  <c r="W61" i="29"/>
  <c r="T61" i="29"/>
  <c r="Q61" i="29"/>
  <c r="AF60" i="29"/>
  <c r="AC60" i="29"/>
  <c r="Z60" i="29"/>
  <c r="W60" i="29"/>
  <c r="T60" i="29"/>
  <c r="Q60" i="29"/>
  <c r="AF59" i="29"/>
  <c r="AC59" i="29"/>
  <c r="Z59" i="29"/>
  <c r="W59" i="29"/>
  <c r="T59" i="29"/>
  <c r="Q59" i="29"/>
  <c r="AF58" i="29"/>
  <c r="AC58" i="29"/>
  <c r="Z58" i="29"/>
  <c r="W58" i="29"/>
  <c r="T58" i="29"/>
  <c r="Q58" i="29"/>
  <c r="AF57" i="29"/>
  <c r="AC57" i="29"/>
  <c r="Z57" i="29"/>
  <c r="W57" i="29"/>
  <c r="T57" i="29"/>
  <c r="Q57" i="29"/>
  <c r="AF56" i="29"/>
  <c r="AC56" i="29"/>
  <c r="Z56" i="29"/>
  <c r="W56" i="29"/>
  <c r="T56" i="29"/>
  <c r="Q56" i="29"/>
  <c r="AF55" i="29"/>
  <c r="AC55" i="29"/>
  <c r="Z55" i="29"/>
  <c r="W55" i="29"/>
  <c r="T55" i="29"/>
  <c r="Q55" i="29"/>
  <c r="AF54" i="29"/>
  <c r="AC54" i="29"/>
  <c r="Z54" i="29"/>
  <c r="W54" i="29"/>
  <c r="T54" i="29"/>
  <c r="Q54" i="29"/>
  <c r="AF53" i="29"/>
  <c r="AC53" i="29"/>
  <c r="Z53" i="29"/>
  <c r="W53" i="29"/>
  <c r="T53" i="29"/>
  <c r="Q53" i="29"/>
  <c r="AF52" i="29"/>
  <c r="AC52" i="29"/>
  <c r="Z52" i="29"/>
  <c r="W52" i="29"/>
  <c r="T52" i="29"/>
  <c r="Q52" i="29"/>
  <c r="AF51" i="29"/>
  <c r="AC51" i="29"/>
  <c r="Z51" i="29"/>
  <c r="W51" i="29"/>
  <c r="T51" i="29"/>
  <c r="Q51" i="29"/>
  <c r="AF50" i="29"/>
  <c r="AC50" i="29"/>
  <c r="Z50" i="29"/>
  <c r="W50" i="29"/>
  <c r="T50" i="29"/>
  <c r="AF41" i="29"/>
  <c r="AC41" i="29"/>
  <c r="Z41" i="29"/>
  <c r="W41" i="29"/>
  <c r="T41" i="29"/>
  <c r="Q41" i="29"/>
  <c r="AF40" i="29"/>
  <c r="AC40" i="29"/>
  <c r="Z40" i="29"/>
  <c r="W40" i="29"/>
  <c r="T40" i="29"/>
  <c r="Q40" i="29"/>
  <c r="AF39" i="29"/>
  <c r="AC39" i="29"/>
  <c r="Z39" i="29"/>
  <c r="W39" i="29"/>
  <c r="T39" i="29"/>
  <c r="Q39" i="29"/>
  <c r="AF38" i="29"/>
  <c r="AC38" i="29"/>
  <c r="Z38" i="29"/>
  <c r="W38" i="29"/>
  <c r="T38" i="29"/>
  <c r="Q38" i="29"/>
  <c r="AF37" i="29"/>
  <c r="AC37" i="29"/>
  <c r="Z37" i="29"/>
  <c r="W37" i="29"/>
  <c r="T37" i="29"/>
  <c r="Q37" i="29"/>
  <c r="AF36" i="29"/>
  <c r="AC36" i="29"/>
  <c r="Z36" i="29"/>
  <c r="W36" i="29"/>
  <c r="T36" i="29"/>
  <c r="Q36" i="29"/>
  <c r="AF35" i="29"/>
  <c r="AC35" i="29"/>
  <c r="Z35" i="29"/>
  <c r="W35" i="29"/>
  <c r="T35" i="29"/>
  <c r="Q35" i="29"/>
  <c r="AF34" i="29"/>
  <c r="AC34" i="29"/>
  <c r="Z34" i="29"/>
  <c r="W34" i="29"/>
  <c r="T34" i="29"/>
  <c r="Q34" i="29"/>
  <c r="AF33" i="29"/>
  <c r="AC33" i="29"/>
  <c r="Z33" i="29"/>
  <c r="W33" i="29"/>
  <c r="T33" i="29"/>
  <c r="Q33" i="29"/>
  <c r="AS12" i="29"/>
  <c r="AS13" i="29"/>
  <c r="AS14" i="29"/>
  <c r="AS15" i="29"/>
  <c r="AS16" i="29"/>
  <c r="AS17" i="29"/>
  <c r="AS18" i="29"/>
  <c r="AS19" i="29"/>
  <c r="AS20" i="29"/>
  <c r="AS21" i="29"/>
  <c r="AS22" i="29"/>
  <c r="AS23" i="29"/>
  <c r="AS24" i="29"/>
  <c r="AS11" i="29"/>
  <c r="AP12" i="29"/>
  <c r="AP13" i="29"/>
  <c r="AP14" i="29"/>
  <c r="AP15" i="29"/>
  <c r="AP16" i="29"/>
  <c r="AP17" i="29"/>
  <c r="AP18" i="29"/>
  <c r="AP19" i="29"/>
  <c r="AP20" i="29"/>
  <c r="AP21" i="29"/>
  <c r="AP22" i="29"/>
  <c r="AP23" i="29"/>
  <c r="AP24" i="29"/>
  <c r="AP11" i="29"/>
  <c r="AF12" i="29"/>
  <c r="AF13" i="29"/>
  <c r="AF14" i="29"/>
  <c r="AF15" i="29"/>
  <c r="AF16" i="29"/>
  <c r="AF17" i="29"/>
  <c r="AF18" i="29"/>
  <c r="AF19" i="29"/>
  <c r="AF20" i="29"/>
  <c r="AF21" i="29"/>
  <c r="AF22" i="29"/>
  <c r="AF23" i="29"/>
  <c r="AF24" i="29"/>
  <c r="AF11" i="29"/>
  <c r="AM12" i="29"/>
  <c r="AM13" i="29"/>
  <c r="AM14" i="29"/>
  <c r="AM15" i="29"/>
  <c r="AM16" i="29"/>
  <c r="AM17" i="29"/>
  <c r="AM18" i="29"/>
  <c r="AM19" i="29"/>
  <c r="AM20" i="29"/>
  <c r="AM21" i="29"/>
  <c r="AM22" i="29"/>
  <c r="AM23" i="29"/>
  <c r="AM24" i="29"/>
  <c r="AM11" i="29"/>
  <c r="AI36" i="29" l="1"/>
  <c r="AI38" i="29"/>
  <c r="AI40" i="29"/>
  <c r="AF42" i="29"/>
  <c r="T86" i="29"/>
  <c r="AF86" i="29"/>
  <c r="T42" i="29"/>
  <c r="W86" i="29"/>
  <c r="AI53" i="29"/>
  <c r="W42" i="29"/>
  <c r="Z42" i="29"/>
  <c r="AI34" i="29"/>
  <c r="Z86" i="29"/>
  <c r="BE80" i="29"/>
  <c r="BE84" i="29"/>
  <c r="AM25" i="29"/>
  <c r="BE56" i="29"/>
  <c r="BE68" i="29"/>
  <c r="BE74" i="29"/>
  <c r="AI83" i="29"/>
  <c r="AI85" i="29"/>
  <c r="BE35" i="29"/>
  <c r="BE37" i="29"/>
  <c r="BE39" i="29"/>
  <c r="BE41" i="29"/>
  <c r="BE51" i="29"/>
  <c r="BE55" i="29"/>
  <c r="BE57" i="29"/>
  <c r="BE61" i="29"/>
  <c r="BE63" i="29"/>
  <c r="BE67" i="29"/>
  <c r="BE69" i="29"/>
  <c r="BE73" i="29"/>
  <c r="BE75" i="29"/>
  <c r="BE79" i="29"/>
  <c r="BE81" i="29"/>
  <c r="BE83" i="29"/>
  <c r="BE85" i="29"/>
  <c r="AC86" i="29"/>
  <c r="BE62" i="29"/>
  <c r="AI35" i="29"/>
  <c r="Q42" i="29"/>
  <c r="AI41" i="29"/>
  <c r="AC42" i="29"/>
  <c r="AI56" i="29"/>
  <c r="AI62" i="29"/>
  <c r="AI74" i="29"/>
  <c r="AI76" i="29"/>
  <c r="AI80" i="29"/>
  <c r="AI57" i="29"/>
  <c r="AI59" i="29"/>
  <c r="AI61" i="29"/>
  <c r="AI63" i="29"/>
  <c r="AI65" i="29"/>
  <c r="AI67" i="29"/>
  <c r="AI69" i="29"/>
  <c r="AI71" i="29"/>
  <c r="AI73" i="29"/>
  <c r="AI75" i="29"/>
  <c r="AI77" i="29"/>
  <c r="AI79" i="29"/>
  <c r="AI81" i="29"/>
  <c r="AI37" i="29"/>
  <c r="AI51" i="29"/>
  <c r="AI52" i="29"/>
  <c r="AI54" i="29"/>
  <c r="AI39" i="29"/>
  <c r="AV42" i="29"/>
  <c r="AI60" i="29"/>
  <c r="AI82" i="29"/>
  <c r="BE53" i="29"/>
  <c r="BE59" i="29"/>
  <c r="BE65" i="29"/>
  <c r="BE71" i="29"/>
  <c r="BE77" i="29"/>
  <c r="AI64" i="29"/>
  <c r="AI66" i="29"/>
  <c r="AI70" i="29"/>
  <c r="AI72" i="29"/>
  <c r="AI78" i="29"/>
  <c r="AI84" i="29"/>
  <c r="BE36" i="29"/>
  <c r="BE52" i="29"/>
  <c r="BE54" i="29"/>
  <c r="BE58" i="29"/>
  <c r="BE60" i="29"/>
  <c r="BE64" i="29"/>
  <c r="BE66" i="29"/>
  <c r="BE70" i="29"/>
  <c r="BE72" i="29"/>
  <c r="BE76" i="29"/>
  <c r="BE78" i="29"/>
  <c r="BE82" i="29"/>
  <c r="AI58" i="29"/>
  <c r="AI68" i="29"/>
  <c r="BE40" i="29"/>
  <c r="AI33" i="29"/>
  <c r="AI55" i="29"/>
  <c r="BE38" i="29"/>
  <c r="Q86" i="29"/>
  <c r="AI50" i="29"/>
  <c r="AP86" i="29"/>
  <c r="AY86" i="29"/>
  <c r="AV86" i="29"/>
  <c r="BB86" i="29"/>
  <c r="AS86" i="29"/>
  <c r="BE50" i="29"/>
  <c r="AM86" i="29"/>
  <c r="AS42" i="29"/>
  <c r="AM42" i="29"/>
  <c r="AP42" i="29"/>
  <c r="AY42" i="29"/>
  <c r="BB42" i="29"/>
  <c r="BE34" i="29"/>
  <c r="BE33" i="29"/>
  <c r="BB25" i="29"/>
  <c r="AV25" i="29"/>
  <c r="AY25" i="29"/>
  <c r="AS25" i="29"/>
  <c r="AP25" i="29"/>
  <c r="AF25" i="29"/>
  <c r="BE11" i="29"/>
  <c r="BE24" i="29"/>
  <c r="BE23" i="29"/>
  <c r="BE22" i="29"/>
  <c r="BE21" i="29"/>
  <c r="BE20" i="29"/>
  <c r="BE19" i="29"/>
  <c r="BE18" i="29"/>
  <c r="BE17" i="29"/>
  <c r="BE16" i="29"/>
  <c r="BE15" i="29"/>
  <c r="BE14" i="29"/>
  <c r="BE13" i="29"/>
  <c r="BE12" i="29"/>
  <c r="Q12" i="29"/>
  <c r="T12" i="29"/>
  <c r="W12" i="29"/>
  <c r="Z12" i="29"/>
  <c r="AC12" i="29"/>
  <c r="Q13" i="29"/>
  <c r="T13" i="29"/>
  <c r="W13" i="29"/>
  <c r="Z13" i="29"/>
  <c r="AC13" i="29"/>
  <c r="Q14" i="29"/>
  <c r="T14" i="29"/>
  <c r="W14" i="29"/>
  <c r="Z14" i="29"/>
  <c r="AC14" i="29"/>
  <c r="Q15" i="29"/>
  <c r="T15" i="29"/>
  <c r="W15" i="29"/>
  <c r="Z15" i="29"/>
  <c r="AC15" i="29"/>
  <c r="Q16" i="29"/>
  <c r="T16" i="29"/>
  <c r="W16" i="29"/>
  <c r="Z16" i="29"/>
  <c r="AC16" i="29"/>
  <c r="Q17" i="29"/>
  <c r="T17" i="29"/>
  <c r="W17" i="29"/>
  <c r="Z17" i="29"/>
  <c r="AC17" i="29"/>
  <c r="Q18" i="29"/>
  <c r="T18" i="29"/>
  <c r="W18" i="29"/>
  <c r="Z18" i="29"/>
  <c r="AC18" i="29"/>
  <c r="Q19" i="29"/>
  <c r="T19" i="29"/>
  <c r="W19" i="29"/>
  <c r="Z19" i="29"/>
  <c r="AC19" i="29"/>
  <c r="Q20" i="29"/>
  <c r="T20" i="29"/>
  <c r="W20" i="29"/>
  <c r="Z20" i="29"/>
  <c r="AC20" i="29"/>
  <c r="Q21" i="29"/>
  <c r="T21" i="29"/>
  <c r="W21" i="29"/>
  <c r="Z21" i="29"/>
  <c r="AC21" i="29"/>
  <c r="Q22" i="29"/>
  <c r="T22" i="29"/>
  <c r="W22" i="29"/>
  <c r="Z22" i="29"/>
  <c r="AC22" i="29"/>
  <c r="Q23" i="29"/>
  <c r="T23" i="29"/>
  <c r="W23" i="29"/>
  <c r="Z23" i="29"/>
  <c r="AC23" i="29"/>
  <c r="Q24" i="29"/>
  <c r="T24" i="29"/>
  <c r="W24" i="29"/>
  <c r="Z24" i="29"/>
  <c r="AC24" i="29"/>
  <c r="Q11" i="29"/>
  <c r="AC11" i="29"/>
  <c r="Z11" i="29"/>
  <c r="W11" i="29"/>
  <c r="T11" i="29"/>
  <c r="BI69" i="29" l="1"/>
  <c r="BI36" i="29"/>
  <c r="BI67" i="29"/>
  <c r="BI54" i="29"/>
  <c r="BI78" i="29"/>
  <c r="BI40" i="29"/>
  <c r="BI59" i="29"/>
  <c r="BI53" i="29"/>
  <c r="BI37" i="29"/>
  <c r="BI72" i="29"/>
  <c r="BI81" i="29"/>
  <c r="BI83" i="29"/>
  <c r="BI38" i="29"/>
  <c r="BI63" i="29"/>
  <c r="BI65" i="29"/>
  <c r="BI68" i="29"/>
  <c r="BI52" i="29"/>
  <c r="BI41" i="29"/>
  <c r="BI75" i="29"/>
  <c r="BI76" i="29"/>
  <c r="BI39" i="29"/>
  <c r="BI34" i="29"/>
  <c r="BI85" i="29"/>
  <c r="AI19" i="29"/>
  <c r="BI19" i="29" s="1"/>
  <c r="BI82" i="29"/>
  <c r="BI84" i="29"/>
  <c r="BI57" i="29"/>
  <c r="BI80" i="29"/>
  <c r="BI73" i="29"/>
  <c r="BI35" i="29"/>
  <c r="BI56" i="29"/>
  <c r="BI64" i="29"/>
  <c r="BI55" i="29"/>
  <c r="AI23" i="29"/>
  <c r="BI23" i="29" s="1"/>
  <c r="BI74" i="29"/>
  <c r="AI21" i="29"/>
  <c r="BI21" i="29" s="1"/>
  <c r="AI14" i="29"/>
  <c r="BI14" i="29" s="1"/>
  <c r="BI66" i="29"/>
  <c r="Z25" i="29"/>
  <c r="AI16" i="29"/>
  <c r="BI16" i="29" s="1"/>
  <c r="AI11" i="29"/>
  <c r="BI11" i="29" s="1"/>
  <c r="BI61" i="29"/>
  <c r="BI62" i="29"/>
  <c r="AI42" i="29"/>
  <c r="BI60" i="29"/>
  <c r="BI77" i="29"/>
  <c r="BI51" i="29"/>
  <c r="BI79" i="29"/>
  <c r="AI13" i="29"/>
  <c r="BI13" i="29" s="1"/>
  <c r="BI70" i="29"/>
  <c r="AI24" i="29"/>
  <c r="BI24" i="29" s="1"/>
  <c r="BI71" i="29"/>
  <c r="AI86" i="29"/>
  <c r="AI15" i="29"/>
  <c r="BI15" i="29" s="1"/>
  <c r="AI17" i="29"/>
  <c r="BI17" i="29" s="1"/>
  <c r="AC25" i="29"/>
  <c r="AI12" i="29"/>
  <c r="BI12" i="29" s="1"/>
  <c r="BI58" i="29"/>
  <c r="T25" i="29"/>
  <c r="AI18" i="29"/>
  <c r="BI18" i="29" s="1"/>
  <c r="Q25" i="29"/>
  <c r="AI20" i="29"/>
  <c r="BI20" i="29" s="1"/>
  <c r="W25" i="29"/>
  <c r="AI22" i="29"/>
  <c r="BI22" i="29" s="1"/>
  <c r="BI50" i="29"/>
  <c r="BE86" i="29"/>
  <c r="BE42" i="29"/>
  <c r="BI33" i="29"/>
  <c r="BE25" i="29"/>
  <c r="P52" i="18"/>
  <c r="P44" i="18"/>
  <c r="AW25" i="23"/>
  <c r="AW29" i="23"/>
  <c r="AW28" i="23"/>
  <c r="AW27" i="23"/>
  <c r="AW26" i="23"/>
  <c r="AG25" i="23"/>
  <c r="AG29" i="23"/>
  <c r="AG28" i="23"/>
  <c r="AG27" i="23"/>
  <c r="AG26" i="23"/>
  <c r="Q29" i="23"/>
  <c r="T29" i="23" s="1"/>
  <c r="Q28" i="23"/>
  <c r="T28" i="23" s="1"/>
  <c r="Q27" i="23"/>
  <c r="T27" i="23" s="1"/>
  <c r="Q26" i="23"/>
  <c r="T26" i="23" s="1"/>
  <c r="Q25" i="23"/>
  <c r="T25" i="23" s="1"/>
  <c r="Q25" i="20"/>
  <c r="T25" i="20" s="1"/>
  <c r="Q26" i="20"/>
  <c r="T26" i="20" s="1"/>
  <c r="Q27" i="20"/>
  <c r="T27" i="20" s="1"/>
  <c r="Q28" i="20"/>
  <c r="T28" i="20" s="1"/>
  <c r="Q29" i="20"/>
  <c r="T29" i="20" s="1"/>
  <c r="H2" i="17"/>
  <c r="AN2" i="23"/>
  <c r="AW10" i="23"/>
  <c r="AW11" i="23"/>
  <c r="AW12" i="23"/>
  <c r="AW13" i="23"/>
  <c r="AW19" i="23"/>
  <c r="AW20" i="23"/>
  <c r="AW21" i="23"/>
  <c r="AW22" i="23"/>
  <c r="AW23" i="23"/>
  <c r="AW34" i="23"/>
  <c r="AW35" i="23"/>
  <c r="AW36" i="23"/>
  <c r="AW37" i="23"/>
  <c r="AW38" i="23"/>
  <c r="AW40" i="23"/>
  <c r="AW41" i="23"/>
  <c r="AW42" i="23"/>
  <c r="AW43" i="23"/>
  <c r="AW44" i="23"/>
  <c r="AW50" i="23"/>
  <c r="AW53" i="23"/>
  <c r="AW56" i="23"/>
  <c r="AW59" i="23"/>
  <c r="AW60" i="23"/>
  <c r="AW61" i="23"/>
  <c r="AW62" i="23"/>
  <c r="AW63" i="23"/>
  <c r="AW64" i="23"/>
  <c r="AW71" i="23"/>
  <c r="AW72" i="23"/>
  <c r="AW73" i="23"/>
  <c r="AW74" i="23"/>
  <c r="AW75" i="23"/>
  <c r="AW76" i="23"/>
  <c r="AW77" i="23"/>
  <c r="AW78" i="23"/>
  <c r="AW79" i="23"/>
  <c r="AW80" i="23"/>
  <c r="AW81" i="23"/>
  <c r="AW82" i="23"/>
  <c r="AW86" i="23"/>
  <c r="AW87" i="23"/>
  <c r="AW88" i="23"/>
  <c r="AW89" i="23"/>
  <c r="AW93" i="23"/>
  <c r="AW94" i="23"/>
  <c r="AW100" i="23"/>
  <c r="AW101" i="23"/>
  <c r="AW102" i="23"/>
  <c r="AW103" i="23"/>
  <c r="AW104" i="23"/>
  <c r="AW105" i="23"/>
  <c r="H2" i="23"/>
  <c r="Q11" i="23"/>
  <c r="T11" i="23" s="1"/>
  <c r="Q12" i="23"/>
  <c r="T12" i="23" s="1"/>
  <c r="Q13" i="23"/>
  <c r="T13" i="23" s="1"/>
  <c r="Q19" i="23"/>
  <c r="T19" i="23" s="1"/>
  <c r="Q20" i="23"/>
  <c r="T20" i="23" s="1"/>
  <c r="Q21" i="23"/>
  <c r="T21" i="23" s="1"/>
  <c r="Q22" i="23"/>
  <c r="T22" i="23" s="1"/>
  <c r="Q23" i="23"/>
  <c r="T23" i="23" s="1"/>
  <c r="Q34" i="23"/>
  <c r="T34" i="23" s="1"/>
  <c r="Q35" i="23"/>
  <c r="T35" i="23" s="1"/>
  <c r="Q36" i="23"/>
  <c r="T36" i="23" s="1"/>
  <c r="Q37" i="23"/>
  <c r="T37" i="23" s="1"/>
  <c r="Q38" i="23"/>
  <c r="T38" i="23" s="1"/>
  <c r="Q40" i="23"/>
  <c r="T40" i="23" s="1"/>
  <c r="Q41" i="23"/>
  <c r="T41" i="23" s="1"/>
  <c r="Q42" i="23"/>
  <c r="T42" i="23" s="1"/>
  <c r="Q43" i="23"/>
  <c r="T43" i="23" s="1"/>
  <c r="Q44" i="23"/>
  <c r="T44" i="23" s="1"/>
  <c r="Q50" i="23"/>
  <c r="T50" i="23" s="1"/>
  <c r="Q53" i="23"/>
  <c r="T53" i="23" s="1"/>
  <c r="Q56" i="23"/>
  <c r="T56" i="23" s="1"/>
  <c r="Q59" i="23"/>
  <c r="T59" i="23" s="1"/>
  <c r="Q60" i="23"/>
  <c r="T60" i="23" s="1"/>
  <c r="Q61" i="23"/>
  <c r="T61" i="23" s="1"/>
  <c r="Q62" i="23"/>
  <c r="T62" i="23" s="1"/>
  <c r="Q63" i="23"/>
  <c r="T63" i="23" s="1"/>
  <c r="Q64" i="23"/>
  <c r="T64" i="23" s="1"/>
  <c r="Q71" i="23"/>
  <c r="T71" i="23" s="1"/>
  <c r="Q72" i="23"/>
  <c r="T72" i="23" s="1"/>
  <c r="Q73" i="23"/>
  <c r="T73" i="23" s="1"/>
  <c r="Q74" i="23"/>
  <c r="T74" i="23" s="1"/>
  <c r="Q75" i="23"/>
  <c r="T75" i="23" s="1"/>
  <c r="Q76" i="23"/>
  <c r="T76" i="23" s="1"/>
  <c r="Q77" i="23"/>
  <c r="T77" i="23" s="1"/>
  <c r="Q78" i="23"/>
  <c r="T78" i="23" s="1"/>
  <c r="Q79" i="23"/>
  <c r="T79" i="23" s="1"/>
  <c r="Q80" i="23"/>
  <c r="T80" i="23" s="1"/>
  <c r="Q81" i="23"/>
  <c r="T81" i="23" s="1"/>
  <c r="Q82" i="23"/>
  <c r="T82" i="23" s="1"/>
  <c r="Q86" i="23"/>
  <c r="T86" i="23" s="1"/>
  <c r="Q87" i="23"/>
  <c r="T87" i="23" s="1"/>
  <c r="Q88" i="23"/>
  <c r="T88" i="23" s="1"/>
  <c r="Q89" i="23"/>
  <c r="T89" i="23" s="1"/>
  <c r="Q93" i="23"/>
  <c r="T93" i="23" s="1"/>
  <c r="Q94" i="23"/>
  <c r="T94" i="23" s="1"/>
  <c r="Q100" i="23"/>
  <c r="T100" i="23" s="1"/>
  <c r="Q101" i="23"/>
  <c r="T101" i="23" s="1"/>
  <c r="Q102" i="23"/>
  <c r="T102" i="23" s="1"/>
  <c r="Q103" i="23"/>
  <c r="T103" i="23" s="1"/>
  <c r="Q104" i="23"/>
  <c r="T104" i="23" s="1"/>
  <c r="Q105" i="23"/>
  <c r="T105" i="23" s="1"/>
  <c r="AG105" i="23"/>
  <c r="AG104" i="23"/>
  <c r="AG103" i="23"/>
  <c r="AG102" i="23"/>
  <c r="AG101" i="23"/>
  <c r="AG100" i="23"/>
  <c r="AG94" i="23"/>
  <c r="AG93" i="23"/>
  <c r="AG89" i="23"/>
  <c r="AG88" i="23"/>
  <c r="AG87" i="23"/>
  <c r="AG86" i="23"/>
  <c r="AG82" i="23"/>
  <c r="AG81" i="23"/>
  <c r="AG80" i="23"/>
  <c r="AG79" i="23"/>
  <c r="AG78" i="23"/>
  <c r="AG77" i="23"/>
  <c r="AG76" i="23"/>
  <c r="AG75" i="23"/>
  <c r="AG74" i="23"/>
  <c r="AG73" i="23"/>
  <c r="AG72" i="23"/>
  <c r="AG71" i="23"/>
  <c r="AG64" i="23"/>
  <c r="AG63" i="23"/>
  <c r="AG62" i="23"/>
  <c r="AG61" i="23"/>
  <c r="AG60" i="23"/>
  <c r="AG59" i="23"/>
  <c r="AG56" i="23"/>
  <c r="AG53" i="23"/>
  <c r="AG50" i="23"/>
  <c r="AG44" i="23"/>
  <c r="AG43" i="23"/>
  <c r="AG42" i="23"/>
  <c r="AG41" i="23"/>
  <c r="AG40" i="23"/>
  <c r="AG38" i="23"/>
  <c r="AG37" i="23"/>
  <c r="AG36" i="23"/>
  <c r="AG35" i="23"/>
  <c r="AG34" i="23"/>
  <c r="AG23" i="23"/>
  <c r="AG22" i="23"/>
  <c r="AG21" i="23"/>
  <c r="AG20" i="23"/>
  <c r="AG19" i="23"/>
  <c r="AG13" i="23"/>
  <c r="AG12" i="23"/>
  <c r="AG11" i="23"/>
  <c r="X2" i="23"/>
  <c r="H2" i="22"/>
  <c r="Z2" i="22"/>
  <c r="AM10" i="22" s="1" a="1"/>
  <c r="AM10" i="22" s="1"/>
  <c r="AH81" i="22"/>
  <c r="AH80" i="22"/>
  <c r="AH79" i="22"/>
  <c r="AH78" i="22"/>
  <c r="AH77" i="22"/>
  <c r="AH76" i="22"/>
  <c r="AH75" i="22"/>
  <c r="AH74" i="22"/>
  <c r="AH73" i="22"/>
  <c r="AH72" i="22"/>
  <c r="AH71" i="22"/>
  <c r="X29" i="22"/>
  <c r="H2" i="21"/>
  <c r="X29" i="21"/>
  <c r="Z2" i="21"/>
  <c r="AM10" i="21" s="1" a="1"/>
  <c r="AM10" i="21" s="1"/>
  <c r="AH81" i="21"/>
  <c r="AH80" i="21"/>
  <c r="AH79" i="21"/>
  <c r="AH78" i="21"/>
  <c r="AH77" i="21"/>
  <c r="AH76" i="21"/>
  <c r="AH75" i="21"/>
  <c r="AH74" i="21"/>
  <c r="AH73" i="21"/>
  <c r="AH72" i="21"/>
  <c r="AH71" i="21"/>
  <c r="AH71" i="20"/>
  <c r="AH72" i="20"/>
  <c r="AH73" i="20"/>
  <c r="AH74" i="20"/>
  <c r="AH75" i="20"/>
  <c r="AH76" i="20"/>
  <c r="AH77" i="20"/>
  <c r="AH78" i="20"/>
  <c r="AH79" i="20"/>
  <c r="AH80" i="20"/>
  <c r="AH81" i="20"/>
  <c r="AE71" i="20"/>
  <c r="AE72" i="20"/>
  <c r="AE73" i="20"/>
  <c r="AE74" i="20"/>
  <c r="AE75" i="20"/>
  <c r="AE76" i="20"/>
  <c r="AE77" i="20"/>
  <c r="AE78" i="20"/>
  <c r="AE79" i="20"/>
  <c r="AE80" i="20"/>
  <c r="AL19" i="20"/>
  <c r="Q100" i="20"/>
  <c r="T100" i="20" s="1"/>
  <c r="Q101" i="20"/>
  <c r="Q102" i="20"/>
  <c r="T102" i="20" s="1"/>
  <c r="Q103" i="20"/>
  <c r="T103" i="20" s="1"/>
  <c r="Q104" i="20"/>
  <c r="T104" i="20" s="1"/>
  <c r="Q105" i="20"/>
  <c r="T105" i="20" s="1"/>
  <c r="Q93" i="20"/>
  <c r="T93" i="20" s="1"/>
  <c r="Q94" i="20"/>
  <c r="T94" i="20" s="1"/>
  <c r="Q86" i="20"/>
  <c r="T86" i="20" s="1"/>
  <c r="Q87" i="20"/>
  <c r="T87" i="20" s="1"/>
  <c r="Q88" i="20"/>
  <c r="T88" i="20" s="1"/>
  <c r="Q89" i="20"/>
  <c r="T89" i="20" s="1"/>
  <c r="Q71" i="20"/>
  <c r="T71" i="20" s="1"/>
  <c r="Q72" i="20"/>
  <c r="T72" i="20" s="1"/>
  <c r="Q73" i="20"/>
  <c r="T73" i="20" s="1"/>
  <c r="Q74" i="20"/>
  <c r="T74" i="20" s="1"/>
  <c r="Q75" i="20"/>
  <c r="T75" i="20" s="1"/>
  <c r="Q76" i="20"/>
  <c r="T76" i="20" s="1"/>
  <c r="Q77" i="20"/>
  <c r="T77" i="20" s="1"/>
  <c r="Q78" i="20"/>
  <c r="T78" i="20" s="1"/>
  <c r="Q79" i="20"/>
  <c r="T79" i="20" s="1"/>
  <c r="Q80" i="20"/>
  <c r="T80" i="20" s="1"/>
  <c r="Q81" i="20"/>
  <c r="T81" i="20" s="1"/>
  <c r="Q82" i="20"/>
  <c r="T82" i="20" s="1"/>
  <c r="Q59" i="20"/>
  <c r="Q60" i="20"/>
  <c r="Q61" i="20"/>
  <c r="Q62" i="20"/>
  <c r="Q63" i="20"/>
  <c r="Q64" i="20"/>
  <c r="Q56" i="20"/>
  <c r="Q50" i="20"/>
  <c r="Q53" i="20"/>
  <c r="Q40" i="20"/>
  <c r="T40" i="20" s="1"/>
  <c r="Q41" i="20"/>
  <c r="T41" i="20" s="1"/>
  <c r="Q42" i="20"/>
  <c r="T42" i="20" s="1"/>
  <c r="Q43" i="20"/>
  <c r="T43" i="20" s="1"/>
  <c r="Q44" i="20"/>
  <c r="T44" i="20" s="1"/>
  <c r="Q34" i="20"/>
  <c r="T34" i="20" s="1"/>
  <c r="Q35" i="20"/>
  <c r="T35" i="20" s="1"/>
  <c r="Q36" i="20"/>
  <c r="T36" i="20" s="1"/>
  <c r="Q37" i="20"/>
  <c r="T37" i="20" s="1"/>
  <c r="Q38" i="20"/>
  <c r="T38" i="20" s="1"/>
  <c r="Q19" i="20"/>
  <c r="T19" i="20" s="1"/>
  <c r="Q20" i="20"/>
  <c r="T20" i="20" s="1"/>
  <c r="Q21" i="20"/>
  <c r="T21" i="20" s="1"/>
  <c r="Q22" i="20"/>
  <c r="T22" i="20" s="1"/>
  <c r="Q23" i="20"/>
  <c r="T23" i="20" s="1"/>
  <c r="Q10" i="20"/>
  <c r="Q11" i="20"/>
  <c r="Q12" i="20"/>
  <c r="Q13" i="20"/>
  <c r="H2" i="20"/>
  <c r="AL72" i="20" l="1" a="1"/>
  <c r="AL72" i="20" s="1"/>
  <c r="AS72" i="20" s="1"/>
  <c r="AL74" i="20" a="1"/>
  <c r="AL74" i="20" s="1"/>
  <c r="AS74" i="20" s="1"/>
  <c r="AL73" i="20" a="1"/>
  <c r="AL73" i="20" s="1"/>
  <c r="AS73" i="20" s="1"/>
  <c r="AL75" i="20" a="1"/>
  <c r="AL75" i="20" s="1"/>
  <c r="AS75" i="20" s="1"/>
  <c r="AL71" i="20" a="1"/>
  <c r="AL71" i="20" s="1"/>
  <c r="AS71" i="20" s="1"/>
  <c r="Q105" i="22"/>
  <c r="Q105" i="21"/>
  <c r="T45" i="20"/>
  <c r="T90" i="20"/>
  <c r="T95" i="20"/>
  <c r="AE35" i="20"/>
  <c r="T56" i="20"/>
  <c r="AE41" i="20"/>
  <c r="T64" i="20"/>
  <c r="AE40" i="20"/>
  <c r="T63" i="20"/>
  <c r="AE31" i="20"/>
  <c r="T13" i="20"/>
  <c r="AE39" i="20"/>
  <c r="T62" i="20"/>
  <c r="AE38" i="20"/>
  <c r="T61" i="20"/>
  <c r="AE81" i="20"/>
  <c r="T101" i="20"/>
  <c r="AE12" i="20"/>
  <c r="T50" i="20"/>
  <c r="AE29" i="20"/>
  <c r="T11" i="20"/>
  <c r="AE36" i="20"/>
  <c r="T59" i="20"/>
  <c r="T83" i="20"/>
  <c r="AE34" i="20"/>
  <c r="T53" i="20"/>
  <c r="AE30" i="20"/>
  <c r="T12" i="20"/>
  <c r="AE37" i="20"/>
  <c r="T60" i="20"/>
  <c r="T106" i="23"/>
  <c r="T65" i="23"/>
  <c r="AE28" i="20"/>
  <c r="T10" i="20"/>
  <c r="T90" i="23"/>
  <c r="AW45" i="23"/>
  <c r="AW30" i="23"/>
  <c r="AW14" i="23"/>
  <c r="T30" i="23"/>
  <c r="T83" i="23"/>
  <c r="T45" i="23"/>
  <c r="T14" i="23"/>
  <c r="T95" i="23"/>
  <c r="BI25" i="29"/>
  <c r="BI42" i="29"/>
  <c r="AI25" i="29"/>
  <c r="BI86" i="29"/>
  <c r="Q45" i="20"/>
  <c r="Q30" i="20"/>
  <c r="AW65" i="23"/>
  <c r="AW95" i="23"/>
  <c r="Q30" i="23"/>
  <c r="AW17" i="23" a="1"/>
  <c r="AW17" i="23" s="1"/>
  <c r="AW32" i="23" a="1"/>
  <c r="AW32" i="23" s="1"/>
  <c r="AW90" i="23"/>
  <c r="AW83" i="23"/>
  <c r="Q95" i="23"/>
  <c r="AG90" i="23"/>
  <c r="Q45" i="23"/>
  <c r="Q65" i="23"/>
  <c r="Q32" i="23" a="1"/>
  <c r="Q32" i="23" s="1"/>
  <c r="T32" i="23" s="1"/>
  <c r="Q17" i="23" a="1"/>
  <c r="Q17" i="23" s="1"/>
  <c r="T17" i="23" s="1"/>
  <c r="Q90" i="23"/>
  <c r="Q14" i="23"/>
  <c r="Q83" i="23"/>
  <c r="AG30" i="23"/>
  <c r="AG83" i="23"/>
  <c r="AG95" i="23"/>
  <c r="AG45" i="23"/>
  <c r="AG65" i="23"/>
  <c r="AG17" i="23" a="1"/>
  <c r="AG17" i="23" s="1"/>
  <c r="AG32" i="23" a="1"/>
  <c r="AG32" i="23" s="1"/>
  <c r="AG14" i="23"/>
  <c r="Q63" i="22"/>
  <c r="Q41" i="22"/>
  <c r="AE76" i="22"/>
  <c r="Q89" i="22"/>
  <c r="Q13" i="22"/>
  <c r="Q35" i="22"/>
  <c r="Q59" i="22"/>
  <c r="Q74" i="22"/>
  <c r="Q80" i="22"/>
  <c r="Q102" i="22"/>
  <c r="Q22" i="22"/>
  <c r="Q76" i="22"/>
  <c r="Q43" i="22"/>
  <c r="AE77" i="22"/>
  <c r="Q27" i="22"/>
  <c r="Q72" i="22"/>
  <c r="Q29" i="22"/>
  <c r="Q73" i="22"/>
  <c r="Q100" i="22"/>
  <c r="Q12" i="22"/>
  <c r="Q34" i="22"/>
  <c r="AE73" i="22"/>
  <c r="AE79" i="22"/>
  <c r="Q101" i="22"/>
  <c r="Q19" i="22"/>
  <c r="Q60" i="22"/>
  <c r="AE74" i="22"/>
  <c r="AE80" i="22"/>
  <c r="Q103" i="22"/>
  <c r="Q40" i="22"/>
  <c r="Q86" i="22"/>
  <c r="Q23" i="22"/>
  <c r="Q64" i="22"/>
  <c r="Q87" i="22"/>
  <c r="Q42" i="22"/>
  <c r="Q88" i="22"/>
  <c r="Q93" i="22"/>
  <c r="Q36" i="22"/>
  <c r="Q20" i="22"/>
  <c r="Q37" i="22"/>
  <c r="Q61" i="22"/>
  <c r="Q75" i="22"/>
  <c r="Q104" i="22"/>
  <c r="Q25" i="22"/>
  <c r="Q71" i="22"/>
  <c r="Q77" i="22"/>
  <c r="Q26" i="22"/>
  <c r="AE71" i="22"/>
  <c r="Q44" i="22"/>
  <c r="Q78" i="22"/>
  <c r="Q10" i="22"/>
  <c r="Q28" i="22"/>
  <c r="Q50" i="22"/>
  <c r="AE72" i="22"/>
  <c r="AE78" i="22"/>
  <c r="Q94" i="22"/>
  <c r="Q11" i="22"/>
  <c r="Q53" i="22"/>
  <c r="Q79" i="22"/>
  <c r="Q56" i="22"/>
  <c r="Q81" i="22"/>
  <c r="Q21" i="22"/>
  <c r="Q38" i="22"/>
  <c r="Q62" i="22"/>
  <c r="AE75" i="22"/>
  <c r="Q82" i="22"/>
  <c r="Q22" i="21"/>
  <c r="Q23" i="21"/>
  <c r="Q40" i="21"/>
  <c r="Q41" i="21"/>
  <c r="Q63" i="21"/>
  <c r="Q64" i="21"/>
  <c r="Q76" i="21"/>
  <c r="AE76" i="21"/>
  <c r="Q86" i="21"/>
  <c r="Q87" i="21"/>
  <c r="Q72" i="21"/>
  <c r="Q28" i="21"/>
  <c r="AE78" i="21"/>
  <c r="Q11" i="21"/>
  <c r="Q29" i="21"/>
  <c r="Q53" i="21"/>
  <c r="Q73" i="21"/>
  <c r="Q79" i="21"/>
  <c r="Q100" i="21"/>
  <c r="Q12" i="21"/>
  <c r="Q34" i="21"/>
  <c r="Q56" i="21"/>
  <c r="AE73" i="21"/>
  <c r="AE79" i="21"/>
  <c r="Q101" i="21"/>
  <c r="AE71" i="21"/>
  <c r="Q93" i="21"/>
  <c r="AE72" i="21"/>
  <c r="Q13" i="21"/>
  <c r="Q35" i="21"/>
  <c r="Q59" i="21"/>
  <c r="Q74" i="21"/>
  <c r="Q80" i="21"/>
  <c r="Q102" i="21"/>
  <c r="Q19" i="21"/>
  <c r="Q36" i="21"/>
  <c r="Q60" i="21"/>
  <c r="AE74" i="21"/>
  <c r="AE80" i="21"/>
  <c r="Q103" i="21"/>
  <c r="Q42" i="21"/>
  <c r="Q71" i="21"/>
  <c r="Q88" i="21"/>
  <c r="Q26" i="21"/>
  <c r="Q89" i="21"/>
  <c r="Q27" i="21"/>
  <c r="Q44" i="21"/>
  <c r="Q10" i="21"/>
  <c r="Q94" i="21"/>
  <c r="Q20" i="21"/>
  <c r="Q37" i="21"/>
  <c r="Q61" i="21"/>
  <c r="Q75" i="21"/>
  <c r="Q81" i="21"/>
  <c r="Q104" i="21"/>
  <c r="Q25" i="21"/>
  <c r="Q77" i="21"/>
  <c r="Q43" i="21"/>
  <c r="AE77" i="21"/>
  <c r="Q78" i="21"/>
  <c r="Q50" i="21"/>
  <c r="Q21" i="21"/>
  <c r="Q38" i="21"/>
  <c r="Q62" i="21"/>
  <c r="AE75" i="21"/>
  <c r="Q82" i="21"/>
  <c r="AE18" i="20"/>
  <c r="AE19" i="20"/>
  <c r="AE33" i="20"/>
  <c r="Q14" i="20"/>
  <c r="Q83" i="20"/>
  <c r="Q95" i="20"/>
  <c r="Q65" i="20"/>
  <c r="AE13" i="20" s="1"/>
  <c r="Q32" i="20" a="1"/>
  <c r="Q32" i="20" s="1"/>
  <c r="T32" i="20" s="1"/>
  <c r="Q90" i="20"/>
  <c r="Q17" i="20" a="1"/>
  <c r="Q17" i="20" s="1"/>
  <c r="T17" i="20" s="1"/>
  <c r="AL106" i="17"/>
  <c r="VA14" i="16"/>
  <c r="VA2" i="16"/>
  <c r="VA27" i="16"/>
  <c r="VA33" i="16"/>
  <c r="VA37" i="16"/>
  <c r="VA42" i="16"/>
  <c r="VA65" i="16"/>
  <c r="VB14" i="16"/>
  <c r="VB2" i="16"/>
  <c r="VB27" i="16"/>
  <c r="VB33" i="16"/>
  <c r="VB37" i="16"/>
  <c r="VB42" i="16"/>
  <c r="VB65" i="16"/>
  <c r="VC14" i="16"/>
  <c r="VC2" i="16"/>
  <c r="VC27" i="16"/>
  <c r="VC33" i="16"/>
  <c r="VC37" i="16"/>
  <c r="VC42" i="16"/>
  <c r="VC65" i="16"/>
  <c r="VD14" i="16"/>
  <c r="VD2" i="16"/>
  <c r="VD27" i="16"/>
  <c r="VD33" i="16"/>
  <c r="VD37" i="16"/>
  <c r="VD42" i="16"/>
  <c r="VD65" i="16"/>
  <c r="VE14" i="16"/>
  <c r="VE2" i="16"/>
  <c r="VE27" i="16"/>
  <c r="VE33" i="16"/>
  <c r="VE37" i="16"/>
  <c r="VE42" i="16"/>
  <c r="VE65" i="16"/>
  <c r="VF14" i="16"/>
  <c r="VF2" i="16"/>
  <c r="VF27" i="16"/>
  <c r="VF33" i="16"/>
  <c r="VF37" i="16"/>
  <c r="VF42" i="16"/>
  <c r="VF65" i="16"/>
  <c r="VG14" i="16"/>
  <c r="VG2" i="16"/>
  <c r="VG27" i="16"/>
  <c r="VG33" i="16"/>
  <c r="VG37" i="16"/>
  <c r="VG42" i="16"/>
  <c r="VG65" i="16"/>
  <c r="VH14" i="16"/>
  <c r="VH2" i="16"/>
  <c r="VH27" i="16"/>
  <c r="VH33" i="16"/>
  <c r="VH37" i="16"/>
  <c r="VH42" i="16"/>
  <c r="VH65" i="16"/>
  <c r="VI14" i="16"/>
  <c r="VI2" i="16"/>
  <c r="VI27" i="16"/>
  <c r="VI33" i="16"/>
  <c r="VI37" i="16"/>
  <c r="VI42" i="16"/>
  <c r="VI65" i="16"/>
  <c r="VJ14" i="16"/>
  <c r="VJ2" i="16"/>
  <c r="VJ27" i="16"/>
  <c r="VJ33" i="16"/>
  <c r="VJ37" i="16"/>
  <c r="VJ42" i="16"/>
  <c r="VJ65" i="16"/>
  <c r="VK14" i="16"/>
  <c r="VK2" i="16"/>
  <c r="VK27" i="16"/>
  <c r="VK33" i="16"/>
  <c r="VK37" i="16"/>
  <c r="VK42" i="16"/>
  <c r="VK65" i="16"/>
  <c r="VL14" i="16"/>
  <c r="VL2" i="16"/>
  <c r="VL27" i="16"/>
  <c r="VL33" i="16"/>
  <c r="VL37" i="16"/>
  <c r="VL42" i="16"/>
  <c r="VL65" i="16"/>
  <c r="VM14" i="16"/>
  <c r="VM2" i="16"/>
  <c r="VM27" i="16"/>
  <c r="VM33" i="16"/>
  <c r="VM37" i="16"/>
  <c r="VM42" i="16"/>
  <c r="VM65" i="16"/>
  <c r="VN14" i="16"/>
  <c r="VN2" i="16"/>
  <c r="VN27" i="16"/>
  <c r="VN33" i="16"/>
  <c r="VN37" i="16"/>
  <c r="VN42" i="16"/>
  <c r="VN65" i="16"/>
  <c r="VO14" i="16"/>
  <c r="VO27" i="16"/>
  <c r="VO33" i="16"/>
  <c r="VO37" i="16"/>
  <c r="VO42" i="16"/>
  <c r="VO65" i="16"/>
  <c r="VP14" i="16"/>
  <c r="VP2" i="16"/>
  <c r="VP27" i="16"/>
  <c r="VP33" i="16"/>
  <c r="VP37" i="16"/>
  <c r="VP42" i="16"/>
  <c r="VP65" i="16"/>
  <c r="AD51" i="18"/>
  <c r="AA51" i="18"/>
  <c r="X51" i="18"/>
  <c r="U51" i="18"/>
  <c r="R51" i="18"/>
  <c r="AD50" i="18"/>
  <c r="AA50" i="18"/>
  <c r="X50" i="18"/>
  <c r="U50" i="18"/>
  <c r="R50" i="18"/>
  <c r="AD49" i="18"/>
  <c r="AA49" i="18"/>
  <c r="X49" i="18"/>
  <c r="U49" i="18"/>
  <c r="R49" i="18"/>
  <c r="AD48" i="18"/>
  <c r="AA48" i="18"/>
  <c r="X48" i="18"/>
  <c r="U48" i="18"/>
  <c r="R48" i="18"/>
  <c r="AD43" i="18"/>
  <c r="AA43" i="18"/>
  <c r="X43" i="18"/>
  <c r="U43" i="18"/>
  <c r="R43" i="18"/>
  <c r="AD42" i="18"/>
  <c r="AA42" i="18"/>
  <c r="X42" i="18"/>
  <c r="U42" i="18"/>
  <c r="R42" i="18"/>
  <c r="AD41" i="18"/>
  <c r="AA41" i="18"/>
  <c r="X41" i="18"/>
  <c r="U41" i="18"/>
  <c r="R41" i="18"/>
  <c r="AD40" i="18"/>
  <c r="AA40" i="18"/>
  <c r="X40" i="18"/>
  <c r="U40" i="18"/>
  <c r="R40" i="18"/>
  <c r="AD39" i="18"/>
  <c r="AA39" i="18"/>
  <c r="X39" i="18"/>
  <c r="U39" i="18"/>
  <c r="R39" i="18"/>
  <c r="AD38" i="18"/>
  <c r="AA38" i="18"/>
  <c r="X38" i="18"/>
  <c r="U38" i="18"/>
  <c r="R38" i="18"/>
  <c r="AD37" i="18"/>
  <c r="AA37" i="18"/>
  <c r="X37" i="18"/>
  <c r="U37" i="18"/>
  <c r="R37" i="18"/>
  <c r="AD36" i="18"/>
  <c r="AA36" i="18"/>
  <c r="X36" i="18"/>
  <c r="U36" i="18"/>
  <c r="R36" i="18"/>
  <c r="AD35" i="18"/>
  <c r="AA35" i="18"/>
  <c r="X35" i="18"/>
  <c r="U35" i="18"/>
  <c r="R35" i="18"/>
  <c r="AD34" i="18"/>
  <c r="AA34" i="18"/>
  <c r="X34" i="18"/>
  <c r="U34" i="18"/>
  <c r="R34" i="18"/>
  <c r="AD33" i="18"/>
  <c r="AA33" i="18"/>
  <c r="X33" i="18"/>
  <c r="U33" i="18"/>
  <c r="R33" i="18"/>
  <c r="AD32" i="18"/>
  <c r="AA32" i="18"/>
  <c r="X32" i="18"/>
  <c r="U32" i="18"/>
  <c r="R32" i="18"/>
  <c r="AD31" i="18"/>
  <c r="AA31" i="18"/>
  <c r="X31" i="18"/>
  <c r="U31" i="18"/>
  <c r="R31" i="18"/>
  <c r="AD30" i="18"/>
  <c r="AA30" i="18"/>
  <c r="X30" i="18"/>
  <c r="U30" i="18"/>
  <c r="R30" i="18"/>
  <c r="AD29" i="18"/>
  <c r="AA29" i="18"/>
  <c r="X29" i="18"/>
  <c r="U29" i="18"/>
  <c r="R29" i="18"/>
  <c r="AD28" i="18"/>
  <c r="AA28" i="18"/>
  <c r="X28" i="18"/>
  <c r="U28" i="18"/>
  <c r="R28" i="18"/>
  <c r="AD27" i="18"/>
  <c r="AA27" i="18"/>
  <c r="X27" i="18"/>
  <c r="U27" i="18"/>
  <c r="R27" i="18"/>
  <c r="AD26" i="18"/>
  <c r="AA26" i="18"/>
  <c r="X26" i="18"/>
  <c r="U26" i="18"/>
  <c r="R26" i="18"/>
  <c r="AD25" i="18"/>
  <c r="AA25" i="18"/>
  <c r="X25" i="18"/>
  <c r="U25" i="18"/>
  <c r="R25" i="18"/>
  <c r="AD24" i="18"/>
  <c r="AA24" i="18"/>
  <c r="X24" i="18"/>
  <c r="U24" i="18"/>
  <c r="R24" i="18"/>
  <c r="AD23" i="18"/>
  <c r="AA23" i="18"/>
  <c r="X23" i="18"/>
  <c r="U23" i="18"/>
  <c r="R23" i="18"/>
  <c r="AD22" i="18"/>
  <c r="AA22" i="18"/>
  <c r="X22" i="18"/>
  <c r="U22" i="18"/>
  <c r="R22" i="18"/>
  <c r="AD21" i="18"/>
  <c r="AA21" i="18"/>
  <c r="X21" i="18"/>
  <c r="U21" i="18"/>
  <c r="R21" i="18"/>
  <c r="AD20" i="18"/>
  <c r="AA20" i="18"/>
  <c r="X20" i="18"/>
  <c r="U20" i="18"/>
  <c r="R20" i="18"/>
  <c r="AD19" i="18"/>
  <c r="AA19" i="18"/>
  <c r="X19" i="18"/>
  <c r="U19" i="18"/>
  <c r="R19" i="18"/>
  <c r="AD18" i="18"/>
  <c r="AA18" i="18"/>
  <c r="X18" i="18"/>
  <c r="U18" i="18"/>
  <c r="R18" i="18"/>
  <c r="AD17" i="18"/>
  <c r="AA17" i="18"/>
  <c r="X17" i="18"/>
  <c r="U17" i="18"/>
  <c r="R17" i="18"/>
  <c r="AD16" i="18"/>
  <c r="AA16" i="18"/>
  <c r="X16" i="18"/>
  <c r="U16" i="18"/>
  <c r="R16" i="18"/>
  <c r="AD15" i="18"/>
  <c r="AA15" i="18"/>
  <c r="X15" i="18"/>
  <c r="U15" i="18"/>
  <c r="R15" i="18"/>
  <c r="AD14" i="18"/>
  <c r="AA14" i="18"/>
  <c r="X14" i="18"/>
  <c r="U14" i="18"/>
  <c r="R14" i="18"/>
  <c r="AD13" i="18"/>
  <c r="AA13" i="18"/>
  <c r="X13" i="18"/>
  <c r="U13" i="18"/>
  <c r="R13" i="18"/>
  <c r="AD12" i="18"/>
  <c r="AA12" i="18"/>
  <c r="X12" i="18"/>
  <c r="U12" i="18"/>
  <c r="R12" i="18"/>
  <c r="AD11" i="18"/>
  <c r="AA11" i="18"/>
  <c r="X11" i="18"/>
  <c r="U11" i="18"/>
  <c r="R11" i="18"/>
  <c r="AD10" i="18"/>
  <c r="AA10" i="18"/>
  <c r="X10" i="18"/>
  <c r="U10" i="18"/>
  <c r="R10" i="18"/>
  <c r="AD9" i="18"/>
  <c r="AA9" i="18"/>
  <c r="X9" i="18"/>
  <c r="U9" i="18"/>
  <c r="R9" i="18"/>
  <c r="AD8" i="18"/>
  <c r="AA8" i="18"/>
  <c r="X8" i="18"/>
  <c r="U8" i="18"/>
  <c r="R8" i="18"/>
  <c r="AO108" i="17"/>
  <c r="AL108" i="17"/>
  <c r="AI108" i="17"/>
  <c r="AF108" i="17"/>
  <c r="AC108" i="17"/>
  <c r="Z108" i="17"/>
  <c r="W108" i="17"/>
  <c r="T108" i="17"/>
  <c r="Q108" i="17"/>
  <c r="AO107" i="17"/>
  <c r="AL107" i="17"/>
  <c r="AI107" i="17"/>
  <c r="AF107" i="17"/>
  <c r="AC107" i="17"/>
  <c r="Z107" i="17"/>
  <c r="W107" i="17"/>
  <c r="T107" i="17"/>
  <c r="Q107" i="17"/>
  <c r="AO106" i="17"/>
  <c r="AI106" i="17"/>
  <c r="AF106" i="17"/>
  <c r="AC106" i="17"/>
  <c r="Z106" i="17"/>
  <c r="W106" i="17"/>
  <c r="T106" i="17"/>
  <c r="Q106" i="17"/>
  <c r="AO105" i="17"/>
  <c r="AL105" i="17"/>
  <c r="AI105" i="17"/>
  <c r="AF105" i="17"/>
  <c r="AC105" i="17"/>
  <c r="Z105" i="17"/>
  <c r="W105" i="17"/>
  <c r="T105" i="17"/>
  <c r="Q105" i="17"/>
  <c r="AL104" i="17"/>
  <c r="AI104" i="17"/>
  <c r="AF104" i="17"/>
  <c r="AC104" i="17"/>
  <c r="Z104" i="17"/>
  <c r="W104" i="17"/>
  <c r="T104" i="17"/>
  <c r="Q104" i="17"/>
  <c r="AO103" i="17"/>
  <c r="AL103" i="17"/>
  <c r="AI103" i="17"/>
  <c r="AF103" i="17"/>
  <c r="AC103" i="17"/>
  <c r="Z103" i="17"/>
  <c r="W103" i="17"/>
  <c r="T103" i="17"/>
  <c r="Q103" i="17"/>
  <c r="AO97" i="17"/>
  <c r="AL97" i="17"/>
  <c r="AI97" i="17"/>
  <c r="AF97" i="17"/>
  <c r="AC97" i="17"/>
  <c r="Z97" i="17"/>
  <c r="W97" i="17"/>
  <c r="T97" i="17"/>
  <c r="Q97" i="17"/>
  <c r="AO96" i="17"/>
  <c r="AL96" i="17"/>
  <c r="AI96" i="17"/>
  <c r="AF96" i="17"/>
  <c r="AC96" i="17"/>
  <c r="Z96" i="17"/>
  <c r="W96" i="17"/>
  <c r="T96" i="17"/>
  <c r="Q96" i="17"/>
  <c r="AO92" i="17"/>
  <c r="AL92" i="17"/>
  <c r="AI92" i="17"/>
  <c r="AF92" i="17"/>
  <c r="AC92" i="17"/>
  <c r="Z92" i="17"/>
  <c r="W92" i="17"/>
  <c r="T92" i="17"/>
  <c r="Q92" i="17"/>
  <c r="AO91" i="17"/>
  <c r="AL91" i="17"/>
  <c r="AI91" i="17"/>
  <c r="AF91" i="17"/>
  <c r="AC91" i="17"/>
  <c r="Z91" i="17"/>
  <c r="W91" i="17"/>
  <c r="T91" i="17"/>
  <c r="Q91" i="17"/>
  <c r="AO90" i="17"/>
  <c r="AL90" i="17"/>
  <c r="AI90" i="17"/>
  <c r="AF90" i="17"/>
  <c r="AC90" i="17"/>
  <c r="Z90" i="17"/>
  <c r="W90" i="17"/>
  <c r="T90" i="17"/>
  <c r="Q90" i="17"/>
  <c r="AO89" i="17"/>
  <c r="AL89" i="17"/>
  <c r="AI89" i="17"/>
  <c r="AF89" i="17"/>
  <c r="AC89" i="17"/>
  <c r="Z89" i="17"/>
  <c r="W89" i="17"/>
  <c r="T89" i="17"/>
  <c r="Q89" i="17"/>
  <c r="AO85" i="17"/>
  <c r="AL85" i="17"/>
  <c r="AI85" i="17"/>
  <c r="AF85" i="17"/>
  <c r="AC85" i="17"/>
  <c r="Z85" i="17"/>
  <c r="W85" i="17"/>
  <c r="T85" i="17"/>
  <c r="Q85" i="17"/>
  <c r="AO84" i="17"/>
  <c r="AL84" i="17"/>
  <c r="AI84" i="17"/>
  <c r="AF84" i="17"/>
  <c r="AC84" i="17"/>
  <c r="Z84" i="17"/>
  <c r="W84" i="17"/>
  <c r="T84" i="17"/>
  <c r="Q84" i="17"/>
  <c r="AO83" i="17"/>
  <c r="AL83" i="17"/>
  <c r="AI83" i="17"/>
  <c r="AF83" i="17"/>
  <c r="AC83" i="17"/>
  <c r="Z83" i="17"/>
  <c r="W83" i="17"/>
  <c r="T83" i="17"/>
  <c r="Q83" i="17"/>
  <c r="AO82" i="17"/>
  <c r="AL82" i="17"/>
  <c r="AI82" i="17"/>
  <c r="AF82" i="17"/>
  <c r="AC82" i="17"/>
  <c r="Z82" i="17"/>
  <c r="W82" i="17"/>
  <c r="T82" i="17"/>
  <c r="Q82" i="17"/>
  <c r="AO81" i="17"/>
  <c r="AL81" i="17"/>
  <c r="AI81" i="17"/>
  <c r="AF81" i="17"/>
  <c r="AC81" i="17"/>
  <c r="Z81" i="17"/>
  <c r="W81" i="17"/>
  <c r="T81" i="17"/>
  <c r="Q81" i="17"/>
  <c r="AO80" i="17"/>
  <c r="AL80" i="17"/>
  <c r="AI80" i="17"/>
  <c r="AF80" i="17"/>
  <c r="AC80" i="17"/>
  <c r="Z80" i="17"/>
  <c r="W80" i="17"/>
  <c r="T80" i="17"/>
  <c r="Q80" i="17"/>
  <c r="AO79" i="17"/>
  <c r="AL79" i="17"/>
  <c r="AI79" i="17"/>
  <c r="AF79" i="17"/>
  <c r="AC79" i="17"/>
  <c r="Z79" i="17"/>
  <c r="W79" i="17"/>
  <c r="T79" i="17"/>
  <c r="Q79" i="17"/>
  <c r="AO78" i="17"/>
  <c r="AL78" i="17"/>
  <c r="AI78" i="17"/>
  <c r="AF78" i="17"/>
  <c r="AC78" i="17"/>
  <c r="Z78" i="17"/>
  <c r="W78" i="17"/>
  <c r="T78" i="17"/>
  <c r="Q78" i="17"/>
  <c r="AO77" i="17"/>
  <c r="AL77" i="17"/>
  <c r="AI77" i="17"/>
  <c r="AF77" i="17"/>
  <c r="AC77" i="17"/>
  <c r="Z77" i="17"/>
  <c r="W77" i="17"/>
  <c r="T77" i="17"/>
  <c r="Q77" i="17"/>
  <c r="AO76" i="17"/>
  <c r="AL76" i="17"/>
  <c r="AI76" i="17"/>
  <c r="AF76" i="17"/>
  <c r="AC76" i="17"/>
  <c r="Z76" i="17"/>
  <c r="W76" i="17"/>
  <c r="T76" i="17"/>
  <c r="Q76" i="17"/>
  <c r="AO75" i="17"/>
  <c r="AL75" i="17"/>
  <c r="AI75" i="17"/>
  <c r="AF75" i="17"/>
  <c r="AC75" i="17"/>
  <c r="Z75" i="17"/>
  <c r="W75" i="17"/>
  <c r="T75" i="17"/>
  <c r="Q75" i="17"/>
  <c r="AO74" i="17"/>
  <c r="AL74" i="17"/>
  <c r="AI74" i="17"/>
  <c r="AF74" i="17"/>
  <c r="AC74" i="17"/>
  <c r="Z74" i="17"/>
  <c r="W74" i="17"/>
  <c r="T74" i="17"/>
  <c r="Q74" i="17"/>
  <c r="AO65" i="17"/>
  <c r="AL65" i="17"/>
  <c r="AI65" i="17"/>
  <c r="AF65" i="17"/>
  <c r="AC65" i="17"/>
  <c r="Z65" i="17"/>
  <c r="W65" i="17"/>
  <c r="T65" i="17"/>
  <c r="Q65" i="17"/>
  <c r="AO64" i="17"/>
  <c r="AL64" i="17"/>
  <c r="AI64" i="17"/>
  <c r="AF64" i="17"/>
  <c r="AC64" i="17"/>
  <c r="Z64" i="17"/>
  <c r="W64" i="17"/>
  <c r="T64" i="17"/>
  <c r="Q64" i="17"/>
  <c r="AO63" i="17"/>
  <c r="AL63" i="17"/>
  <c r="AI63" i="17"/>
  <c r="AF63" i="17"/>
  <c r="AC63" i="17"/>
  <c r="Z63" i="17"/>
  <c r="W63" i="17"/>
  <c r="T63" i="17"/>
  <c r="Q63" i="17"/>
  <c r="AO62" i="17"/>
  <c r="AL62" i="17"/>
  <c r="AI62" i="17"/>
  <c r="AF62" i="17"/>
  <c r="AC62" i="17"/>
  <c r="Z62" i="17"/>
  <c r="W62" i="17"/>
  <c r="T62" i="17"/>
  <c r="Q62" i="17"/>
  <c r="AO61" i="17"/>
  <c r="AL61" i="17"/>
  <c r="AI61" i="17"/>
  <c r="AF61" i="17"/>
  <c r="AC61" i="17"/>
  <c r="Z61" i="17"/>
  <c r="W61" i="17"/>
  <c r="T61" i="17"/>
  <c r="Q61" i="17"/>
  <c r="AO60" i="17"/>
  <c r="AL60" i="17"/>
  <c r="AI60" i="17"/>
  <c r="AF60" i="17"/>
  <c r="AC60" i="17"/>
  <c r="Z60" i="17"/>
  <c r="W60" i="17"/>
  <c r="T60" i="17"/>
  <c r="Q60" i="17"/>
  <c r="AO57" i="17"/>
  <c r="AL57" i="17"/>
  <c r="AI57" i="17"/>
  <c r="AF57" i="17"/>
  <c r="AC57" i="17"/>
  <c r="Z57" i="17"/>
  <c r="W57" i="17"/>
  <c r="T57" i="17"/>
  <c r="Q57" i="17"/>
  <c r="AO54" i="17"/>
  <c r="AL54" i="17"/>
  <c r="AI54" i="17"/>
  <c r="AF54" i="17"/>
  <c r="AC54" i="17"/>
  <c r="Z54" i="17"/>
  <c r="W54" i="17"/>
  <c r="T54" i="17"/>
  <c r="Q54" i="17"/>
  <c r="AO51" i="17"/>
  <c r="AL51" i="17"/>
  <c r="AI51" i="17"/>
  <c r="AF51" i="17"/>
  <c r="AC51" i="17"/>
  <c r="Z51" i="17"/>
  <c r="W51" i="17"/>
  <c r="T51" i="17"/>
  <c r="Q51" i="17"/>
  <c r="AO45" i="17"/>
  <c r="AL45" i="17"/>
  <c r="AI45" i="17"/>
  <c r="AF45" i="17"/>
  <c r="AC45" i="17"/>
  <c r="Z45" i="17"/>
  <c r="W45" i="17"/>
  <c r="T45" i="17"/>
  <c r="Q45" i="17"/>
  <c r="AO44" i="17"/>
  <c r="AL44" i="17"/>
  <c r="AI44" i="17"/>
  <c r="AF44" i="17"/>
  <c r="AC44" i="17"/>
  <c r="Z44" i="17"/>
  <c r="W44" i="17"/>
  <c r="T44" i="17"/>
  <c r="Q44" i="17"/>
  <c r="AO43" i="17"/>
  <c r="AL43" i="17"/>
  <c r="AI43" i="17"/>
  <c r="AF43" i="17"/>
  <c r="AC43" i="17"/>
  <c r="Z43" i="17"/>
  <c r="W43" i="17"/>
  <c r="T43" i="17"/>
  <c r="Q43" i="17"/>
  <c r="AO42" i="17"/>
  <c r="AL42" i="17"/>
  <c r="AI42" i="17"/>
  <c r="AF42" i="17"/>
  <c r="AC42" i="17"/>
  <c r="Z42" i="17"/>
  <c r="W42" i="17"/>
  <c r="T42" i="17"/>
  <c r="Q42" i="17"/>
  <c r="AO41" i="17"/>
  <c r="AL41" i="17"/>
  <c r="AI41" i="17"/>
  <c r="AF41" i="17"/>
  <c r="AC41" i="17"/>
  <c r="Z41" i="17"/>
  <c r="W41" i="17"/>
  <c r="T41" i="17"/>
  <c r="Q41" i="17"/>
  <c r="AO39" i="17"/>
  <c r="AL39" i="17"/>
  <c r="AI39" i="17"/>
  <c r="AF39" i="17"/>
  <c r="AC39" i="17"/>
  <c r="Z39" i="17"/>
  <c r="W39" i="17"/>
  <c r="T39" i="17"/>
  <c r="Q39" i="17"/>
  <c r="AO38" i="17"/>
  <c r="AL38" i="17"/>
  <c r="AI38" i="17"/>
  <c r="AF38" i="17"/>
  <c r="AC38" i="17"/>
  <c r="Z38" i="17"/>
  <c r="W38" i="17"/>
  <c r="T38" i="17"/>
  <c r="Q38" i="17"/>
  <c r="AO37" i="17"/>
  <c r="AL37" i="17"/>
  <c r="AI37" i="17"/>
  <c r="AF37" i="17"/>
  <c r="AC37" i="17"/>
  <c r="Z37" i="17"/>
  <c r="W37" i="17"/>
  <c r="T37" i="17"/>
  <c r="Q37" i="17"/>
  <c r="AO36" i="17"/>
  <c r="AL36" i="17"/>
  <c r="AI36" i="17"/>
  <c r="AF36" i="17"/>
  <c r="AC36" i="17"/>
  <c r="Z36" i="17"/>
  <c r="W36" i="17"/>
  <c r="T36" i="17"/>
  <c r="Q36" i="17"/>
  <c r="AO35" i="17"/>
  <c r="AL35" i="17"/>
  <c r="AI35" i="17"/>
  <c r="AF35" i="17"/>
  <c r="AC35" i="17"/>
  <c r="Z35" i="17"/>
  <c r="W35" i="17"/>
  <c r="T35" i="17"/>
  <c r="Q35" i="17"/>
  <c r="AO30" i="17"/>
  <c r="AL30" i="17"/>
  <c r="AI30" i="17"/>
  <c r="AF30" i="17"/>
  <c r="AC30" i="17"/>
  <c r="Z30" i="17"/>
  <c r="W30" i="17"/>
  <c r="T30" i="17"/>
  <c r="Q30" i="17"/>
  <c r="AO29" i="17"/>
  <c r="AL29" i="17"/>
  <c r="AI29" i="17"/>
  <c r="AF29" i="17"/>
  <c r="AC29" i="17"/>
  <c r="Z29" i="17"/>
  <c r="W29" i="17"/>
  <c r="T29" i="17"/>
  <c r="Q29" i="17"/>
  <c r="AO28" i="17"/>
  <c r="AL28" i="17"/>
  <c r="AI28" i="17"/>
  <c r="AF28" i="17"/>
  <c r="AC28" i="17"/>
  <c r="Z28" i="17"/>
  <c r="W28" i="17"/>
  <c r="T28" i="17"/>
  <c r="Q28" i="17"/>
  <c r="AO27" i="17"/>
  <c r="AL27" i="17"/>
  <c r="AI27" i="17"/>
  <c r="AF27" i="17"/>
  <c r="AC27" i="17"/>
  <c r="Z27" i="17"/>
  <c r="W27" i="17"/>
  <c r="T27" i="17"/>
  <c r="Q27" i="17"/>
  <c r="AO26" i="17"/>
  <c r="AL26" i="17"/>
  <c r="AI26" i="17"/>
  <c r="AF26" i="17"/>
  <c r="AC26" i="17"/>
  <c r="Z26" i="17"/>
  <c r="W26" i="17"/>
  <c r="T26" i="17"/>
  <c r="Q26" i="17"/>
  <c r="AO24" i="17"/>
  <c r="AL24" i="17"/>
  <c r="AI24" i="17"/>
  <c r="AF24" i="17"/>
  <c r="AC24" i="17"/>
  <c r="Z24" i="17"/>
  <c r="W24" i="17"/>
  <c r="T24" i="17"/>
  <c r="Q24" i="17"/>
  <c r="AO23" i="17"/>
  <c r="AL23" i="17"/>
  <c r="AI23" i="17"/>
  <c r="AF23" i="17"/>
  <c r="AC23" i="17"/>
  <c r="Z23" i="17"/>
  <c r="W23" i="17"/>
  <c r="T23" i="17"/>
  <c r="Q23" i="17"/>
  <c r="AO22" i="17"/>
  <c r="AL22" i="17"/>
  <c r="AI22" i="17"/>
  <c r="AF22" i="17"/>
  <c r="AC22" i="17"/>
  <c r="Z22" i="17"/>
  <c r="W22" i="17"/>
  <c r="T22" i="17"/>
  <c r="Q22" i="17"/>
  <c r="AO21" i="17"/>
  <c r="AL21" i="17"/>
  <c r="AI21" i="17"/>
  <c r="AF21" i="17"/>
  <c r="AC21" i="17"/>
  <c r="Z21" i="17"/>
  <c r="W21" i="17"/>
  <c r="T21" i="17"/>
  <c r="Q21" i="17"/>
  <c r="AO20" i="17"/>
  <c r="AL20" i="17"/>
  <c r="AI20" i="17"/>
  <c r="AF20" i="17"/>
  <c r="AC20" i="17"/>
  <c r="Z20" i="17"/>
  <c r="W20" i="17"/>
  <c r="T20" i="17"/>
  <c r="Q20" i="17"/>
  <c r="AO14" i="17"/>
  <c r="AL14" i="17"/>
  <c r="AI14" i="17"/>
  <c r="AF14" i="17"/>
  <c r="AC14" i="17"/>
  <c r="Z14" i="17"/>
  <c r="W14" i="17"/>
  <c r="T14" i="17"/>
  <c r="Q14" i="17"/>
  <c r="AO13" i="17"/>
  <c r="AL13" i="17"/>
  <c r="AI13" i="17"/>
  <c r="AF13" i="17"/>
  <c r="AC13" i="17"/>
  <c r="Z13" i="17"/>
  <c r="W13" i="17"/>
  <c r="T13" i="17"/>
  <c r="Q13" i="17"/>
  <c r="AO12" i="17"/>
  <c r="AL12" i="17"/>
  <c r="AI12" i="17"/>
  <c r="AF12" i="17"/>
  <c r="AC12" i="17"/>
  <c r="Z12" i="17"/>
  <c r="W12" i="17"/>
  <c r="T12" i="17"/>
  <c r="Q12" i="17"/>
  <c r="AO11" i="17"/>
  <c r="AL11" i="17"/>
  <c r="AI11" i="17"/>
  <c r="AF11" i="17"/>
  <c r="AC11" i="17"/>
  <c r="Z11" i="17"/>
  <c r="W11" i="17"/>
  <c r="T11" i="17"/>
  <c r="Q11" i="17"/>
  <c r="VP24" i="16"/>
  <c r="VO24" i="16"/>
  <c r="VN24" i="16"/>
  <c r="VM24" i="16"/>
  <c r="VL24" i="16"/>
  <c r="VK24" i="16"/>
  <c r="VJ24" i="16"/>
  <c r="VI24" i="16"/>
  <c r="VH24" i="16"/>
  <c r="VG24" i="16"/>
  <c r="VF24" i="16"/>
  <c r="VE24" i="16"/>
  <c r="VD24" i="16"/>
  <c r="VC24" i="16"/>
  <c r="VB24" i="16"/>
  <c r="VA24" i="16"/>
  <c r="UP24" i="16"/>
  <c r="UO24" i="16"/>
  <c r="VP60" i="16"/>
  <c r="AX19" i="33" s="1"/>
  <c r="BA19" i="33" s="1"/>
  <c r="VO60" i="16"/>
  <c r="VN60" i="16"/>
  <c r="VM60" i="16"/>
  <c r="VL60" i="16"/>
  <c r="AL19" i="33" s="1"/>
  <c r="AO19" i="33" s="1"/>
  <c r="VK60" i="16"/>
  <c r="AR19" i="33" s="1"/>
  <c r="AU19" i="33" s="1"/>
  <c r="VJ60" i="16"/>
  <c r="AF19" i="33" s="1"/>
  <c r="AI19" i="33" s="1"/>
  <c r="VI60" i="16"/>
  <c r="Z19" i="33" s="1"/>
  <c r="AC19" i="33" s="1"/>
  <c r="VH60" i="16"/>
  <c r="T19" i="33" s="1"/>
  <c r="VG60" i="16"/>
  <c r="VF60" i="16"/>
  <c r="VE60" i="16"/>
  <c r="VD60" i="16"/>
  <c r="VC60" i="16"/>
  <c r="VB60" i="16"/>
  <c r="VA60" i="16"/>
  <c r="UP60" i="16"/>
  <c r="UO60" i="16"/>
  <c r="VP35" i="16"/>
  <c r="VO35" i="16"/>
  <c r="VN35" i="16"/>
  <c r="VM35" i="16"/>
  <c r="VL35" i="16"/>
  <c r="VK35" i="16"/>
  <c r="VJ35" i="16"/>
  <c r="VI35" i="16"/>
  <c r="VH35" i="16"/>
  <c r="VG35" i="16"/>
  <c r="VF35" i="16"/>
  <c r="VE35" i="16"/>
  <c r="VD35" i="16"/>
  <c r="VC35" i="16"/>
  <c r="VB35" i="16"/>
  <c r="VA35" i="16"/>
  <c r="UP35" i="16"/>
  <c r="UO35" i="16"/>
  <c r="VP34" i="16"/>
  <c r="VO34" i="16"/>
  <c r="VN34" i="16"/>
  <c r="VM34" i="16"/>
  <c r="VL34" i="16"/>
  <c r="VK34" i="16"/>
  <c r="VJ34" i="16"/>
  <c r="VI34" i="16"/>
  <c r="VH34" i="16"/>
  <c r="VG34" i="16"/>
  <c r="VF34" i="16"/>
  <c r="VE34" i="16"/>
  <c r="VD34" i="16"/>
  <c r="VC34" i="16"/>
  <c r="VB34" i="16"/>
  <c r="VA34" i="16"/>
  <c r="VP63" i="16"/>
  <c r="AX22" i="33" s="1"/>
  <c r="VO63" i="16"/>
  <c r="VN63" i="16"/>
  <c r="VM63" i="16"/>
  <c r="VL63" i="16"/>
  <c r="AL22" i="33" s="1"/>
  <c r="VK63" i="16"/>
  <c r="AR22" i="33" s="1"/>
  <c r="VJ63" i="16"/>
  <c r="AF22" i="33" s="1"/>
  <c r="VI63" i="16"/>
  <c r="Z22" i="33" s="1"/>
  <c r="VH63" i="16"/>
  <c r="T22" i="33" s="1"/>
  <c r="VG63" i="16"/>
  <c r="VF63" i="16"/>
  <c r="VE63" i="16"/>
  <c r="VD63" i="16"/>
  <c r="VC63" i="16"/>
  <c r="VB63" i="16"/>
  <c r="VA63" i="16"/>
  <c r="UP63" i="16"/>
  <c r="UO63" i="16"/>
  <c r="VP28" i="16"/>
  <c r="VO28" i="16"/>
  <c r="VN28" i="16"/>
  <c r="VM28" i="16"/>
  <c r="VL28" i="16"/>
  <c r="VK28" i="16"/>
  <c r="VJ28" i="16"/>
  <c r="VI28" i="16"/>
  <c r="VH28" i="16"/>
  <c r="VG28" i="16"/>
  <c r="VF28" i="16"/>
  <c r="VE28" i="16"/>
  <c r="VD28" i="16"/>
  <c r="VC28" i="16"/>
  <c r="VB28" i="16"/>
  <c r="VA28" i="16"/>
  <c r="UP28" i="16"/>
  <c r="UO28" i="16"/>
  <c r="VP29" i="16"/>
  <c r="VO29" i="16"/>
  <c r="VN29" i="16"/>
  <c r="VM29" i="16"/>
  <c r="VL29" i="16"/>
  <c r="VK29" i="16"/>
  <c r="VJ29" i="16"/>
  <c r="VI29" i="16"/>
  <c r="VH29" i="16"/>
  <c r="VG29" i="16"/>
  <c r="VF29" i="16"/>
  <c r="VE29" i="16"/>
  <c r="VD29" i="16"/>
  <c r="VC29" i="16"/>
  <c r="VB29" i="16"/>
  <c r="VA29" i="16"/>
  <c r="UP29" i="16"/>
  <c r="UO29" i="16"/>
  <c r="VP32" i="16"/>
  <c r="VO32" i="16"/>
  <c r="VN32" i="16"/>
  <c r="VM32" i="16"/>
  <c r="VL32" i="16"/>
  <c r="VK32" i="16"/>
  <c r="VJ32" i="16"/>
  <c r="VI32" i="16"/>
  <c r="VH32" i="16"/>
  <c r="VG32" i="16"/>
  <c r="VF32" i="16"/>
  <c r="VE32" i="16"/>
  <c r="VD32" i="16"/>
  <c r="VC32" i="16"/>
  <c r="VB32" i="16"/>
  <c r="VA32" i="16"/>
  <c r="UP32" i="16"/>
  <c r="UO32" i="16"/>
  <c r="VP31" i="16"/>
  <c r="VO31" i="16"/>
  <c r="VN31" i="16"/>
  <c r="VM31" i="16"/>
  <c r="VL31" i="16"/>
  <c r="VK31" i="16"/>
  <c r="VJ31" i="16"/>
  <c r="VI31" i="16"/>
  <c r="VH31" i="16"/>
  <c r="VG31" i="16"/>
  <c r="VF31" i="16"/>
  <c r="VE31" i="16"/>
  <c r="VD31" i="16"/>
  <c r="VC31" i="16"/>
  <c r="VB31" i="16"/>
  <c r="VA31" i="16"/>
  <c r="UP31" i="16"/>
  <c r="UO31" i="16"/>
  <c r="VP30" i="16"/>
  <c r="VO30" i="16"/>
  <c r="VN30" i="16"/>
  <c r="VM30" i="16"/>
  <c r="VL30" i="16"/>
  <c r="VK30" i="16"/>
  <c r="VJ30" i="16"/>
  <c r="VI30" i="16"/>
  <c r="VH30" i="16"/>
  <c r="VG30" i="16"/>
  <c r="VF30" i="16"/>
  <c r="VE30" i="16"/>
  <c r="VD30" i="16"/>
  <c r="VC30" i="16"/>
  <c r="VB30" i="16"/>
  <c r="VA30" i="16"/>
  <c r="UP30" i="16"/>
  <c r="UO30" i="16"/>
  <c r="AX10" i="33"/>
  <c r="AL10" i="33"/>
  <c r="AR10" i="33"/>
  <c r="AF10" i="33"/>
  <c r="Z10" i="33"/>
  <c r="T10" i="33"/>
  <c r="VP10" i="16"/>
  <c r="VO10" i="16"/>
  <c r="VN10" i="16"/>
  <c r="VM10" i="16"/>
  <c r="VL10" i="16"/>
  <c r="VK10" i="16"/>
  <c r="VJ10" i="16"/>
  <c r="VI10" i="16"/>
  <c r="VH10" i="16"/>
  <c r="VG10" i="16"/>
  <c r="VF10" i="16"/>
  <c r="VE10" i="16"/>
  <c r="VD10" i="16"/>
  <c r="VC10" i="16"/>
  <c r="VB10" i="16"/>
  <c r="VA10" i="16"/>
  <c r="UP10" i="16"/>
  <c r="UO10" i="16"/>
  <c r="VP52" i="16"/>
  <c r="AX11" i="33" s="1"/>
  <c r="BA11" i="33" s="1"/>
  <c r="VO52" i="16"/>
  <c r="VN52" i="16"/>
  <c r="VM52" i="16"/>
  <c r="VL52" i="16"/>
  <c r="AL11" i="33" s="1"/>
  <c r="AO11" i="33" s="1"/>
  <c r="VK52" i="16"/>
  <c r="AR11" i="33" s="1"/>
  <c r="AU11" i="33" s="1"/>
  <c r="VJ52" i="16"/>
  <c r="AF11" i="33" s="1"/>
  <c r="AI11" i="33" s="1"/>
  <c r="VI52" i="16"/>
  <c r="Z11" i="33" s="1"/>
  <c r="AC11" i="33" s="1"/>
  <c r="VH52" i="16"/>
  <c r="T11" i="33" s="1"/>
  <c r="VG52" i="16"/>
  <c r="VF52" i="16"/>
  <c r="VE52" i="16"/>
  <c r="VD52" i="16"/>
  <c r="VC52" i="16"/>
  <c r="VB52" i="16"/>
  <c r="VA52" i="16"/>
  <c r="UP52" i="16"/>
  <c r="UO52" i="16"/>
  <c r="VP56" i="16"/>
  <c r="AX15" i="33" s="1"/>
  <c r="BA15" i="33" s="1"/>
  <c r="VO56" i="16"/>
  <c r="VN56" i="16"/>
  <c r="VM56" i="16"/>
  <c r="VL56" i="16"/>
  <c r="AL15" i="33" s="1"/>
  <c r="AO15" i="33" s="1"/>
  <c r="VK56" i="16"/>
  <c r="AR15" i="33" s="1"/>
  <c r="AU15" i="33" s="1"/>
  <c r="VJ56" i="16"/>
  <c r="AF15" i="33" s="1"/>
  <c r="AI15" i="33" s="1"/>
  <c r="VI56" i="16"/>
  <c r="Z15" i="33" s="1"/>
  <c r="AC15" i="33" s="1"/>
  <c r="VH56" i="16"/>
  <c r="T15" i="33" s="1"/>
  <c r="VG56" i="16"/>
  <c r="VF56" i="16"/>
  <c r="VE56" i="16"/>
  <c r="VD56" i="16"/>
  <c r="VC56" i="16"/>
  <c r="VB56" i="16"/>
  <c r="VA56" i="16"/>
  <c r="UP56" i="16"/>
  <c r="UO56" i="16"/>
  <c r="VP57" i="16"/>
  <c r="AX16" i="33" s="1"/>
  <c r="BA16" i="33" s="1"/>
  <c r="VO57" i="16"/>
  <c r="VN57" i="16"/>
  <c r="VM57" i="16"/>
  <c r="VL57" i="16"/>
  <c r="AL16" i="33" s="1"/>
  <c r="AO16" i="33" s="1"/>
  <c r="VK57" i="16"/>
  <c r="AR16" i="33" s="1"/>
  <c r="AU16" i="33" s="1"/>
  <c r="VJ57" i="16"/>
  <c r="AF16" i="33" s="1"/>
  <c r="AI16" i="33" s="1"/>
  <c r="VI57" i="16"/>
  <c r="Z16" i="33" s="1"/>
  <c r="AC16" i="33" s="1"/>
  <c r="VH57" i="16"/>
  <c r="T16" i="33" s="1"/>
  <c r="VG57" i="16"/>
  <c r="VF57" i="16"/>
  <c r="VE57" i="16"/>
  <c r="VD57" i="16"/>
  <c r="VC57" i="16"/>
  <c r="VB57" i="16"/>
  <c r="VA57" i="16"/>
  <c r="UP57" i="16"/>
  <c r="UO57" i="16"/>
  <c r="VP54" i="16"/>
  <c r="AX13" i="33" s="1"/>
  <c r="BA13" i="33" s="1"/>
  <c r="VO54" i="16"/>
  <c r="VN54" i="16"/>
  <c r="VM54" i="16"/>
  <c r="VL54" i="16"/>
  <c r="AL13" i="33" s="1"/>
  <c r="AO13" i="33" s="1"/>
  <c r="VK54" i="16"/>
  <c r="AR13" i="33" s="1"/>
  <c r="AU13" i="33" s="1"/>
  <c r="VJ54" i="16"/>
  <c r="AF13" i="33" s="1"/>
  <c r="AI13" i="33" s="1"/>
  <c r="VI54" i="16"/>
  <c r="Z13" i="33" s="1"/>
  <c r="AC13" i="33" s="1"/>
  <c r="VH54" i="16"/>
  <c r="T13" i="33" s="1"/>
  <c r="VG54" i="16"/>
  <c r="VF54" i="16"/>
  <c r="VE54" i="16"/>
  <c r="VD54" i="16"/>
  <c r="VC54" i="16"/>
  <c r="VB54" i="16"/>
  <c r="VA54" i="16"/>
  <c r="UP54" i="16"/>
  <c r="UO54" i="16"/>
  <c r="VP53" i="16"/>
  <c r="AX12" i="33" s="1"/>
  <c r="BA12" i="33" s="1"/>
  <c r="VO53" i="16"/>
  <c r="VN53" i="16"/>
  <c r="VM53" i="16"/>
  <c r="VL53" i="16"/>
  <c r="AL12" i="33" s="1"/>
  <c r="AO12" i="33" s="1"/>
  <c r="VK53" i="16"/>
  <c r="AR12" i="33" s="1"/>
  <c r="AU12" i="33" s="1"/>
  <c r="VJ53" i="16"/>
  <c r="AF12" i="33" s="1"/>
  <c r="AI12" i="33" s="1"/>
  <c r="VI53" i="16"/>
  <c r="Z12" i="33" s="1"/>
  <c r="AC12" i="33" s="1"/>
  <c r="VH53" i="16"/>
  <c r="T12" i="33" s="1"/>
  <c r="VG53" i="16"/>
  <c r="VF53" i="16"/>
  <c r="VE53" i="16"/>
  <c r="VD53" i="16"/>
  <c r="VC53" i="16"/>
  <c r="VB53" i="16"/>
  <c r="VA53" i="16"/>
  <c r="UP53" i="16"/>
  <c r="UO53" i="16"/>
  <c r="VP12" i="16"/>
  <c r="VO12" i="16"/>
  <c r="VN12" i="16"/>
  <c r="VM12" i="16"/>
  <c r="VL12" i="16"/>
  <c r="VK12" i="16"/>
  <c r="VJ12" i="16"/>
  <c r="VI12" i="16"/>
  <c r="VH12" i="16"/>
  <c r="VG12" i="16"/>
  <c r="VF12" i="16"/>
  <c r="VE12" i="16"/>
  <c r="VD12" i="16"/>
  <c r="VC12" i="16"/>
  <c r="VB12" i="16"/>
  <c r="VA12" i="16"/>
  <c r="UP12" i="16"/>
  <c r="UO12" i="16"/>
  <c r="VP11" i="16"/>
  <c r="VO11" i="16"/>
  <c r="VN11" i="16"/>
  <c r="VM11" i="16"/>
  <c r="VL11" i="16"/>
  <c r="VK11" i="16"/>
  <c r="VJ11" i="16"/>
  <c r="VI11" i="16"/>
  <c r="VH11" i="16"/>
  <c r="VG11" i="16"/>
  <c r="VF11" i="16"/>
  <c r="VE11" i="16"/>
  <c r="VD11" i="16"/>
  <c r="VC11" i="16"/>
  <c r="VB11" i="16"/>
  <c r="VA11" i="16"/>
  <c r="UP11" i="16"/>
  <c r="UO11" i="16"/>
  <c r="VP55" i="16"/>
  <c r="AX14" i="33" s="1"/>
  <c r="BA14" i="33" s="1"/>
  <c r="VO55" i="16"/>
  <c r="VN55" i="16"/>
  <c r="VM55" i="16"/>
  <c r="VL55" i="16"/>
  <c r="AL14" i="33" s="1"/>
  <c r="AO14" i="33" s="1"/>
  <c r="VK55" i="16"/>
  <c r="AR14" i="33" s="1"/>
  <c r="AU14" i="33" s="1"/>
  <c r="VJ55" i="16"/>
  <c r="AF14" i="33" s="1"/>
  <c r="AI14" i="33" s="1"/>
  <c r="VI55" i="16"/>
  <c r="Z14" i="33" s="1"/>
  <c r="AC14" i="33" s="1"/>
  <c r="VH55" i="16"/>
  <c r="T14" i="33" s="1"/>
  <c r="VG55" i="16"/>
  <c r="VF55" i="16"/>
  <c r="VE55" i="16"/>
  <c r="VD55" i="16"/>
  <c r="VC55" i="16"/>
  <c r="VB55" i="16"/>
  <c r="VA55" i="16"/>
  <c r="UP55" i="16"/>
  <c r="UO55" i="16"/>
  <c r="VP8" i="16"/>
  <c r="VO8" i="16"/>
  <c r="VN8" i="16"/>
  <c r="VM8" i="16"/>
  <c r="VL8" i="16"/>
  <c r="VK8" i="16"/>
  <c r="VJ8" i="16"/>
  <c r="VI8" i="16"/>
  <c r="VH8" i="16"/>
  <c r="VG8" i="16"/>
  <c r="VF8" i="16"/>
  <c r="VE8" i="16"/>
  <c r="VD8" i="16"/>
  <c r="VC8" i="16"/>
  <c r="VB8" i="16"/>
  <c r="VA8" i="16"/>
  <c r="UP8" i="16"/>
  <c r="UO8" i="16"/>
  <c r="VP9" i="16"/>
  <c r="VO9" i="16"/>
  <c r="VN9" i="16"/>
  <c r="VM9" i="16"/>
  <c r="VL9" i="16"/>
  <c r="VK9" i="16"/>
  <c r="VJ9" i="16"/>
  <c r="VI9" i="16"/>
  <c r="VH9" i="16"/>
  <c r="VG9" i="16"/>
  <c r="VF9" i="16"/>
  <c r="VE9" i="16"/>
  <c r="VD9" i="16"/>
  <c r="VC9" i="16"/>
  <c r="VB9" i="16"/>
  <c r="VA9" i="16"/>
  <c r="UP9" i="16"/>
  <c r="UO9" i="16"/>
  <c r="VP7" i="16"/>
  <c r="VO7" i="16"/>
  <c r="VN7" i="16"/>
  <c r="VM7" i="16"/>
  <c r="VL7" i="16"/>
  <c r="VK7" i="16"/>
  <c r="VJ7" i="16"/>
  <c r="VI7" i="16"/>
  <c r="VH7" i="16"/>
  <c r="VG7" i="16"/>
  <c r="VF7" i="16"/>
  <c r="VE7" i="16"/>
  <c r="VD7" i="16"/>
  <c r="VC7" i="16"/>
  <c r="VB7" i="16"/>
  <c r="VA7" i="16"/>
  <c r="UP7" i="16"/>
  <c r="UO7" i="16"/>
  <c r="VP6" i="16"/>
  <c r="VO6" i="16"/>
  <c r="VN6" i="16"/>
  <c r="VM6" i="16"/>
  <c r="VL6" i="16"/>
  <c r="VK6" i="16"/>
  <c r="VJ6" i="16"/>
  <c r="VI6" i="16"/>
  <c r="VH6" i="16"/>
  <c r="VG6" i="16"/>
  <c r="VF6" i="16"/>
  <c r="VE6" i="16"/>
  <c r="VD6" i="16"/>
  <c r="VC6" i="16"/>
  <c r="VB6" i="16"/>
  <c r="VA6" i="16"/>
  <c r="UP6" i="16"/>
  <c r="UO6" i="16"/>
  <c r="VP58" i="16"/>
  <c r="AX17" i="33" s="1"/>
  <c r="VO58" i="16"/>
  <c r="VN58" i="16"/>
  <c r="VM58" i="16"/>
  <c r="VL58" i="16"/>
  <c r="AL17" i="33" s="1"/>
  <c r="VK58" i="16"/>
  <c r="AR17" i="33" s="1"/>
  <c r="VJ58" i="16"/>
  <c r="AF17" i="33" s="1"/>
  <c r="VI58" i="16"/>
  <c r="Z17" i="33" s="1"/>
  <c r="VH58" i="16"/>
  <c r="T17" i="33" s="1"/>
  <c r="VG58" i="16"/>
  <c r="VF58" i="16"/>
  <c r="VE58" i="16"/>
  <c r="VD58" i="16"/>
  <c r="VC58" i="16"/>
  <c r="VB58" i="16"/>
  <c r="VA58" i="16"/>
  <c r="UP58" i="16"/>
  <c r="UO58" i="16"/>
  <c r="VP4" i="16"/>
  <c r="VO4" i="16"/>
  <c r="VN4" i="16"/>
  <c r="VM4" i="16"/>
  <c r="VL4" i="16"/>
  <c r="VK4" i="16"/>
  <c r="VJ4" i="16"/>
  <c r="VI4" i="16"/>
  <c r="VH4" i="16"/>
  <c r="VG4" i="16"/>
  <c r="VF4" i="16"/>
  <c r="VE4" i="16"/>
  <c r="VD4" i="16"/>
  <c r="VC4" i="16"/>
  <c r="VB4" i="16"/>
  <c r="VA4" i="16"/>
  <c r="UP4" i="16"/>
  <c r="UO4" i="16"/>
  <c r="VP5" i="16"/>
  <c r="VO5" i="16"/>
  <c r="VN5" i="16"/>
  <c r="VM5" i="16"/>
  <c r="VL5" i="16"/>
  <c r="VK5" i="16"/>
  <c r="VJ5" i="16"/>
  <c r="VI5" i="16"/>
  <c r="VH5" i="16"/>
  <c r="VG5" i="16"/>
  <c r="VF5" i="16"/>
  <c r="VE5" i="16"/>
  <c r="VD5" i="16"/>
  <c r="VC5" i="16"/>
  <c r="VB5" i="16"/>
  <c r="VA5" i="16"/>
  <c r="UP5" i="16"/>
  <c r="UO5" i="16"/>
  <c r="VP3" i="16"/>
  <c r="VO3" i="16"/>
  <c r="VN3" i="16"/>
  <c r="VM3" i="16"/>
  <c r="VL3" i="16"/>
  <c r="VK3" i="16"/>
  <c r="VJ3" i="16"/>
  <c r="VI3" i="16"/>
  <c r="VH3" i="16"/>
  <c r="VG3" i="16"/>
  <c r="VF3" i="16"/>
  <c r="VE3" i="16"/>
  <c r="VD3" i="16"/>
  <c r="VC3" i="16"/>
  <c r="VB3" i="16"/>
  <c r="VA3" i="16"/>
  <c r="UP3" i="16"/>
  <c r="UO3" i="16"/>
  <c r="VP41" i="16"/>
  <c r="VO41" i="16"/>
  <c r="VN41" i="16"/>
  <c r="VM41" i="16"/>
  <c r="VL41" i="16"/>
  <c r="VK41" i="16"/>
  <c r="VJ41" i="16"/>
  <c r="VI41" i="16"/>
  <c r="VH41" i="16"/>
  <c r="VG41" i="16"/>
  <c r="VF41" i="16"/>
  <c r="VE41" i="16"/>
  <c r="VD41" i="16"/>
  <c r="VC41" i="16"/>
  <c r="VB41" i="16"/>
  <c r="VA41" i="16"/>
  <c r="VP62" i="16"/>
  <c r="AX21" i="33" s="1"/>
  <c r="BA21" i="33" s="1"/>
  <c r="VO62" i="16"/>
  <c r="VN62" i="16"/>
  <c r="VM62" i="16"/>
  <c r="VL62" i="16"/>
  <c r="AL21" i="33" s="1"/>
  <c r="AO21" i="33" s="1"/>
  <c r="VK62" i="16"/>
  <c r="AR21" i="33" s="1"/>
  <c r="AU21" i="33" s="1"/>
  <c r="VJ62" i="16"/>
  <c r="AF21" i="33" s="1"/>
  <c r="AI21" i="33" s="1"/>
  <c r="VI62" i="16"/>
  <c r="Z21" i="33" s="1"/>
  <c r="AC21" i="33" s="1"/>
  <c r="VH62" i="16"/>
  <c r="T21" i="33" s="1"/>
  <c r="VG62" i="16"/>
  <c r="VF62" i="16"/>
  <c r="VE62" i="16"/>
  <c r="VD62" i="16"/>
  <c r="VC62" i="16"/>
  <c r="VB62" i="16"/>
  <c r="VA62" i="16"/>
  <c r="UP62" i="16"/>
  <c r="UO62" i="16"/>
  <c r="VP61" i="16"/>
  <c r="AX20" i="33" s="1"/>
  <c r="BA20" i="33" s="1"/>
  <c r="VO61" i="16"/>
  <c r="VN61" i="16"/>
  <c r="VM61" i="16"/>
  <c r="VL61" i="16"/>
  <c r="AL20" i="33" s="1"/>
  <c r="AO20" i="33" s="1"/>
  <c r="VK61" i="16"/>
  <c r="AR20" i="33" s="1"/>
  <c r="AU20" i="33" s="1"/>
  <c r="VJ61" i="16"/>
  <c r="AF20" i="33" s="1"/>
  <c r="AI20" i="33" s="1"/>
  <c r="VI61" i="16"/>
  <c r="Z20" i="33" s="1"/>
  <c r="AC20" i="33" s="1"/>
  <c r="VH61" i="16"/>
  <c r="T20" i="33" s="1"/>
  <c r="VG61" i="16"/>
  <c r="VF61" i="16"/>
  <c r="VE61" i="16"/>
  <c r="VD61" i="16"/>
  <c r="VC61" i="16"/>
  <c r="VB61" i="16"/>
  <c r="VA61" i="16"/>
  <c r="UP61" i="16"/>
  <c r="UO61" i="16"/>
  <c r="VP38" i="16"/>
  <c r="VO38" i="16"/>
  <c r="VN38" i="16"/>
  <c r="VM38" i="16"/>
  <c r="VL38" i="16"/>
  <c r="VK38" i="16"/>
  <c r="VJ38" i="16"/>
  <c r="VI38" i="16"/>
  <c r="VH38" i="16"/>
  <c r="VG38" i="16"/>
  <c r="VF38" i="16"/>
  <c r="VE38" i="16"/>
  <c r="VD38" i="16"/>
  <c r="VC38" i="16"/>
  <c r="VB38" i="16"/>
  <c r="VA38" i="16"/>
  <c r="UP38" i="16"/>
  <c r="UO38" i="16"/>
  <c r="VP49" i="16"/>
  <c r="VO49" i="16"/>
  <c r="VN49" i="16"/>
  <c r="VM49" i="16"/>
  <c r="VL49" i="16"/>
  <c r="VK49" i="16"/>
  <c r="VJ49" i="16"/>
  <c r="VI49" i="16"/>
  <c r="VH49" i="16"/>
  <c r="VG49" i="16"/>
  <c r="VF49" i="16"/>
  <c r="VE49" i="16"/>
  <c r="VD49" i="16"/>
  <c r="VC49" i="16"/>
  <c r="VB49" i="16"/>
  <c r="VA49" i="16"/>
  <c r="VP67" i="16"/>
  <c r="AX35" i="33" s="1"/>
  <c r="BA35" i="33" s="1"/>
  <c r="VO67" i="16"/>
  <c r="VN67" i="16"/>
  <c r="VM67" i="16"/>
  <c r="VL67" i="16"/>
  <c r="VK67" i="16"/>
  <c r="AR35" i="33" s="1"/>
  <c r="AU35" i="33" s="1"/>
  <c r="VJ67" i="16"/>
  <c r="VI67" i="16"/>
  <c r="VH67" i="16"/>
  <c r="VG67" i="16"/>
  <c r="VF67" i="16"/>
  <c r="VE67" i="16"/>
  <c r="VD67" i="16"/>
  <c r="VC67" i="16"/>
  <c r="VB67" i="16"/>
  <c r="VA67" i="16"/>
  <c r="UP67" i="16"/>
  <c r="UO67" i="16"/>
  <c r="VP69" i="16"/>
  <c r="AX37" i="33" s="1"/>
  <c r="BA37" i="33" s="1"/>
  <c r="VO69" i="16"/>
  <c r="VN69" i="16"/>
  <c r="VM69" i="16"/>
  <c r="VL69" i="16"/>
  <c r="VK69" i="16"/>
  <c r="AR37" i="33" s="1"/>
  <c r="AU37" i="33" s="1"/>
  <c r="VJ69" i="16"/>
  <c r="VI69" i="16"/>
  <c r="VH69" i="16"/>
  <c r="VG69" i="16"/>
  <c r="VF69" i="16"/>
  <c r="VE69" i="16"/>
  <c r="VD69" i="16"/>
  <c r="VC69" i="16"/>
  <c r="VB69" i="16"/>
  <c r="VA69" i="16"/>
  <c r="UP69" i="16"/>
  <c r="UO69" i="16"/>
  <c r="VP71" i="16"/>
  <c r="AX39" i="33" s="1"/>
  <c r="BA39" i="33" s="1"/>
  <c r="VO71" i="16"/>
  <c r="VN71" i="16"/>
  <c r="VM71" i="16"/>
  <c r="VL71" i="16"/>
  <c r="VK71" i="16"/>
  <c r="AR39" i="33" s="1"/>
  <c r="AU39" i="33" s="1"/>
  <c r="VJ71" i="16"/>
  <c r="VI71" i="16"/>
  <c r="VH71" i="16"/>
  <c r="VG71" i="16"/>
  <c r="VF71" i="16"/>
  <c r="VE71" i="16"/>
  <c r="VD71" i="16"/>
  <c r="VC71" i="16"/>
  <c r="VB71" i="16"/>
  <c r="VA71" i="16"/>
  <c r="UP71" i="16"/>
  <c r="UO71" i="16"/>
  <c r="VP68" i="16"/>
  <c r="AX36" i="33" s="1"/>
  <c r="BA36" i="33" s="1"/>
  <c r="VO68" i="16"/>
  <c r="VN68" i="16"/>
  <c r="VM68" i="16"/>
  <c r="VL68" i="16"/>
  <c r="VK68" i="16"/>
  <c r="AR36" i="33" s="1"/>
  <c r="AU36" i="33" s="1"/>
  <c r="VJ68" i="16"/>
  <c r="VI68" i="16"/>
  <c r="VH68" i="16"/>
  <c r="VG68" i="16"/>
  <c r="VF68" i="16"/>
  <c r="VE68" i="16"/>
  <c r="VD68" i="16"/>
  <c r="VC68" i="16"/>
  <c r="VB68" i="16"/>
  <c r="VA68" i="16"/>
  <c r="UP68" i="16"/>
  <c r="UO68" i="16"/>
  <c r="VP66" i="16"/>
  <c r="AX34" i="33" s="1"/>
  <c r="BA34" i="33" s="1"/>
  <c r="VO66" i="16"/>
  <c r="VN66" i="16"/>
  <c r="VM66" i="16"/>
  <c r="VL66" i="16"/>
  <c r="VK66" i="16"/>
  <c r="AR34" i="33" s="1"/>
  <c r="AU34" i="33" s="1"/>
  <c r="VJ66" i="16"/>
  <c r="VI66" i="16"/>
  <c r="VH66" i="16"/>
  <c r="VG66" i="16"/>
  <c r="VF66" i="16"/>
  <c r="VE66" i="16"/>
  <c r="VD66" i="16"/>
  <c r="VC66" i="16"/>
  <c r="VB66" i="16"/>
  <c r="VA66" i="16"/>
  <c r="UP66" i="16"/>
  <c r="UO66" i="16"/>
  <c r="VP70" i="16"/>
  <c r="AX38" i="33" s="1"/>
  <c r="BA38" i="33" s="1"/>
  <c r="VO70" i="16"/>
  <c r="VN70" i="16"/>
  <c r="VM70" i="16"/>
  <c r="VL70" i="16"/>
  <c r="VK70" i="16"/>
  <c r="AR38" i="33" s="1"/>
  <c r="AU38" i="33" s="1"/>
  <c r="VJ70" i="16"/>
  <c r="VI70" i="16"/>
  <c r="VH70" i="16"/>
  <c r="VG70" i="16"/>
  <c r="VF70" i="16"/>
  <c r="VE70" i="16"/>
  <c r="VD70" i="16"/>
  <c r="VC70" i="16"/>
  <c r="VB70" i="16"/>
  <c r="VA70" i="16"/>
  <c r="UP70" i="16"/>
  <c r="UO70" i="16"/>
  <c r="VP36" i="16"/>
  <c r="VO36" i="16"/>
  <c r="VN36" i="16"/>
  <c r="VM36" i="16"/>
  <c r="VL36" i="16"/>
  <c r="VK36" i="16"/>
  <c r="VJ36" i="16"/>
  <c r="VI36" i="16"/>
  <c r="VH36" i="16"/>
  <c r="VG36" i="16"/>
  <c r="VF36" i="16"/>
  <c r="VE36" i="16"/>
  <c r="VD36" i="16"/>
  <c r="VC36" i="16"/>
  <c r="VB36" i="16"/>
  <c r="VA36" i="16"/>
  <c r="VP80" i="16"/>
  <c r="VO80" i="16"/>
  <c r="VN80" i="16"/>
  <c r="VM80" i="16"/>
  <c r="VL80" i="16"/>
  <c r="VK80" i="16"/>
  <c r="VJ80" i="16"/>
  <c r="VI80" i="16"/>
  <c r="VH80" i="16"/>
  <c r="VG80" i="16"/>
  <c r="VF80" i="16"/>
  <c r="VE80" i="16"/>
  <c r="VD80" i="16"/>
  <c r="VC80" i="16"/>
  <c r="VB80" i="16"/>
  <c r="VA80" i="16"/>
  <c r="UP80" i="16"/>
  <c r="UO80" i="16"/>
  <c r="VP79" i="16"/>
  <c r="VO79" i="16"/>
  <c r="VN79" i="16"/>
  <c r="VM79" i="16"/>
  <c r="VL79" i="16"/>
  <c r="VK79" i="16"/>
  <c r="VJ79" i="16"/>
  <c r="VI79" i="16"/>
  <c r="VH79" i="16"/>
  <c r="VG79" i="16"/>
  <c r="VF79" i="16"/>
  <c r="VE79" i="16"/>
  <c r="VD79" i="16"/>
  <c r="VC79" i="16"/>
  <c r="VB79" i="16"/>
  <c r="VA79" i="16"/>
  <c r="UP79" i="16"/>
  <c r="UO79" i="16"/>
  <c r="VP16" i="16"/>
  <c r="VO16" i="16"/>
  <c r="VN16" i="16"/>
  <c r="VM16" i="16"/>
  <c r="VL16" i="16"/>
  <c r="VK16" i="16"/>
  <c r="VJ16" i="16"/>
  <c r="VI16" i="16"/>
  <c r="VH16" i="16"/>
  <c r="VG16" i="16"/>
  <c r="VF16" i="16"/>
  <c r="VE16" i="16"/>
  <c r="VD16" i="16"/>
  <c r="VC16" i="16"/>
  <c r="VB16" i="16"/>
  <c r="VA16" i="16"/>
  <c r="UP16" i="16"/>
  <c r="UO16" i="16"/>
  <c r="VP26" i="16"/>
  <c r="VO26" i="16"/>
  <c r="VN26" i="16"/>
  <c r="VM26" i="16"/>
  <c r="VL26" i="16"/>
  <c r="VK26" i="16"/>
  <c r="VJ26" i="16"/>
  <c r="VI26" i="16"/>
  <c r="VH26" i="16"/>
  <c r="VG26" i="16"/>
  <c r="VF26" i="16"/>
  <c r="VE26" i="16"/>
  <c r="VD26" i="16"/>
  <c r="VC26" i="16"/>
  <c r="VB26" i="16"/>
  <c r="VA26" i="16"/>
  <c r="UP26" i="16"/>
  <c r="UO26" i="16"/>
  <c r="VP59" i="16"/>
  <c r="AX18" i="33" s="1"/>
  <c r="BA18" i="33" s="1"/>
  <c r="VO59" i="16"/>
  <c r="VN59" i="16"/>
  <c r="VM59" i="16"/>
  <c r="VL59" i="16"/>
  <c r="AL18" i="33" s="1"/>
  <c r="AO18" i="33" s="1"/>
  <c r="VK59" i="16"/>
  <c r="AR18" i="33" s="1"/>
  <c r="AU18" i="33" s="1"/>
  <c r="VJ59" i="16"/>
  <c r="AF18" i="33" s="1"/>
  <c r="AI18" i="33" s="1"/>
  <c r="VI59" i="16"/>
  <c r="Z18" i="33" s="1"/>
  <c r="AC18" i="33" s="1"/>
  <c r="VH59" i="16"/>
  <c r="T18" i="33" s="1"/>
  <c r="VG59" i="16"/>
  <c r="VF59" i="16"/>
  <c r="VE59" i="16"/>
  <c r="VD59" i="16"/>
  <c r="VC59" i="16"/>
  <c r="VB59" i="16"/>
  <c r="VA59" i="16"/>
  <c r="UP59" i="16"/>
  <c r="UO59" i="16"/>
  <c r="VP22" i="16"/>
  <c r="VO22" i="16"/>
  <c r="VN22" i="16"/>
  <c r="VM22" i="16"/>
  <c r="VL22" i="16"/>
  <c r="VK22" i="16"/>
  <c r="VJ22" i="16"/>
  <c r="VI22" i="16"/>
  <c r="VH22" i="16"/>
  <c r="VG22" i="16"/>
  <c r="VF22" i="16"/>
  <c r="VE22" i="16"/>
  <c r="VD22" i="16"/>
  <c r="VC22" i="16"/>
  <c r="VB22" i="16"/>
  <c r="VA22" i="16"/>
  <c r="UP22" i="16"/>
  <c r="UO22" i="16"/>
  <c r="VP21" i="16"/>
  <c r="VO21" i="16"/>
  <c r="VN21" i="16"/>
  <c r="VM21" i="16"/>
  <c r="VL21" i="16"/>
  <c r="VK21" i="16"/>
  <c r="VJ21" i="16"/>
  <c r="VI21" i="16"/>
  <c r="VH21" i="16"/>
  <c r="VG21" i="16"/>
  <c r="VF21" i="16"/>
  <c r="VE21" i="16"/>
  <c r="VD21" i="16"/>
  <c r="VC21" i="16"/>
  <c r="VB21" i="16"/>
  <c r="VA21" i="16"/>
  <c r="UP21" i="16"/>
  <c r="UO21" i="16"/>
  <c r="VP20" i="16"/>
  <c r="VO20" i="16"/>
  <c r="VN20" i="16"/>
  <c r="VM20" i="16"/>
  <c r="VL20" i="16"/>
  <c r="VK20" i="16"/>
  <c r="VJ20" i="16"/>
  <c r="VI20" i="16"/>
  <c r="VH20" i="16"/>
  <c r="VG20" i="16"/>
  <c r="VF20" i="16"/>
  <c r="VE20" i="16"/>
  <c r="VD20" i="16"/>
  <c r="VC20" i="16"/>
  <c r="VB20" i="16"/>
  <c r="VA20" i="16"/>
  <c r="UP20" i="16"/>
  <c r="UO20" i="16"/>
  <c r="VP19" i="16"/>
  <c r="VO19" i="16"/>
  <c r="VN19" i="16"/>
  <c r="VM19" i="16"/>
  <c r="VL19" i="16"/>
  <c r="VK19" i="16"/>
  <c r="VJ19" i="16"/>
  <c r="VI19" i="16"/>
  <c r="VH19" i="16"/>
  <c r="VG19" i="16"/>
  <c r="VF19" i="16"/>
  <c r="VE19" i="16"/>
  <c r="VD19" i="16"/>
  <c r="VC19" i="16"/>
  <c r="VB19" i="16"/>
  <c r="VA19" i="16"/>
  <c r="UP19" i="16"/>
  <c r="UO19" i="16"/>
  <c r="VP15" i="16"/>
  <c r="VO15" i="16"/>
  <c r="VN15" i="16"/>
  <c r="VM15" i="16"/>
  <c r="VL15" i="16"/>
  <c r="VK15" i="16"/>
  <c r="VJ15" i="16"/>
  <c r="VI15" i="16"/>
  <c r="VH15" i="16"/>
  <c r="VG15" i="16"/>
  <c r="VF15" i="16"/>
  <c r="VE15" i="16"/>
  <c r="VD15" i="16"/>
  <c r="VC15" i="16"/>
  <c r="VB15" i="16"/>
  <c r="VA15" i="16"/>
  <c r="UP15" i="16"/>
  <c r="UO15" i="16"/>
  <c r="VP76" i="16"/>
  <c r="VO76" i="16"/>
  <c r="VN76" i="16"/>
  <c r="VM76" i="16"/>
  <c r="VL76" i="16"/>
  <c r="VK76" i="16"/>
  <c r="VJ76" i="16"/>
  <c r="VI76" i="16"/>
  <c r="VH76" i="16"/>
  <c r="VG76" i="16"/>
  <c r="VF76" i="16"/>
  <c r="VE76" i="16"/>
  <c r="VD76" i="16"/>
  <c r="VC76" i="16"/>
  <c r="VB76" i="16"/>
  <c r="VA76" i="16"/>
  <c r="UP76" i="16"/>
  <c r="UO76" i="16"/>
  <c r="VP72" i="16"/>
  <c r="VO72" i="16"/>
  <c r="VN72" i="16"/>
  <c r="VM72" i="16"/>
  <c r="VL72" i="16"/>
  <c r="VK72" i="16"/>
  <c r="VJ72" i="16"/>
  <c r="VI72" i="16"/>
  <c r="VH72" i="16"/>
  <c r="VG72" i="16"/>
  <c r="VF72" i="16"/>
  <c r="VE72" i="16"/>
  <c r="VD72" i="16"/>
  <c r="VC72" i="16"/>
  <c r="VB72" i="16"/>
  <c r="VA72" i="16"/>
  <c r="UP72" i="16"/>
  <c r="UO72" i="16"/>
  <c r="VP23" i="16"/>
  <c r="VO23" i="16"/>
  <c r="VN23" i="16"/>
  <c r="VM23" i="16"/>
  <c r="VL23" i="16"/>
  <c r="VK23" i="16"/>
  <c r="VJ23" i="16"/>
  <c r="VI23" i="16"/>
  <c r="VH23" i="16"/>
  <c r="VG23" i="16"/>
  <c r="VF23" i="16"/>
  <c r="VE23" i="16"/>
  <c r="VD23" i="16"/>
  <c r="VC23" i="16"/>
  <c r="VB23" i="16"/>
  <c r="VA23" i="16"/>
  <c r="UP23" i="16"/>
  <c r="UO23" i="16"/>
  <c r="VP78" i="16"/>
  <c r="VO78" i="16"/>
  <c r="VN78" i="16"/>
  <c r="VM78" i="16"/>
  <c r="VL78" i="16"/>
  <c r="VK78" i="16"/>
  <c r="VJ78" i="16"/>
  <c r="VI78" i="16"/>
  <c r="VH78" i="16"/>
  <c r="VG78" i="16"/>
  <c r="VF78" i="16"/>
  <c r="VE78" i="16"/>
  <c r="VD78" i="16"/>
  <c r="VC78" i="16"/>
  <c r="VB78" i="16"/>
  <c r="VA78" i="16"/>
  <c r="UP78" i="16"/>
  <c r="UO78" i="16"/>
  <c r="VP77" i="16"/>
  <c r="VO77" i="16"/>
  <c r="VN77" i="16"/>
  <c r="VM77" i="16"/>
  <c r="VL77" i="16"/>
  <c r="VK77" i="16"/>
  <c r="VJ77" i="16"/>
  <c r="VI77" i="16"/>
  <c r="VH77" i="16"/>
  <c r="VG77" i="16"/>
  <c r="VF77" i="16"/>
  <c r="VE77" i="16"/>
  <c r="VD77" i="16"/>
  <c r="VC77" i="16"/>
  <c r="VB77" i="16"/>
  <c r="VA77" i="16"/>
  <c r="UP77" i="16"/>
  <c r="UO77" i="16"/>
  <c r="VP75" i="16"/>
  <c r="VO75" i="16"/>
  <c r="VN75" i="16"/>
  <c r="VM75" i="16"/>
  <c r="VL75" i="16"/>
  <c r="VK75" i="16"/>
  <c r="VJ75" i="16"/>
  <c r="VI75" i="16"/>
  <c r="VH75" i="16"/>
  <c r="VG75" i="16"/>
  <c r="VF75" i="16"/>
  <c r="VE75" i="16"/>
  <c r="VD75" i="16"/>
  <c r="VC75" i="16"/>
  <c r="VB75" i="16"/>
  <c r="VA75" i="16"/>
  <c r="UP75" i="16"/>
  <c r="UO75" i="16"/>
  <c r="VP73" i="16"/>
  <c r="VO73" i="16"/>
  <c r="VN73" i="16"/>
  <c r="VM73" i="16"/>
  <c r="VL73" i="16"/>
  <c r="VK73" i="16"/>
  <c r="VJ73" i="16"/>
  <c r="VI73" i="16"/>
  <c r="VH73" i="16"/>
  <c r="VG73" i="16"/>
  <c r="VF73" i="16"/>
  <c r="VE73" i="16"/>
  <c r="VD73" i="16"/>
  <c r="VC73" i="16"/>
  <c r="VB73" i="16"/>
  <c r="VA73" i="16"/>
  <c r="UP73" i="16"/>
  <c r="UO73" i="16"/>
  <c r="VP74" i="16"/>
  <c r="VO74" i="16"/>
  <c r="VN74" i="16"/>
  <c r="VM74" i="16"/>
  <c r="VL74" i="16"/>
  <c r="VK74" i="16"/>
  <c r="VJ74" i="16"/>
  <c r="VI74" i="16"/>
  <c r="VH74" i="16"/>
  <c r="VG74" i="16"/>
  <c r="VF74" i="16"/>
  <c r="VE74" i="16"/>
  <c r="VD74" i="16"/>
  <c r="VC74" i="16"/>
  <c r="VB74" i="16"/>
  <c r="VA74" i="16"/>
  <c r="UP74" i="16"/>
  <c r="UO74" i="16"/>
  <c r="VP18" i="16"/>
  <c r="VO18" i="16"/>
  <c r="VN18" i="16"/>
  <c r="VM18" i="16"/>
  <c r="VL18" i="16"/>
  <c r="VK18" i="16"/>
  <c r="VJ18" i="16"/>
  <c r="VI18" i="16"/>
  <c r="VH18" i="16"/>
  <c r="VG18" i="16"/>
  <c r="VF18" i="16"/>
  <c r="VE18" i="16"/>
  <c r="VD18" i="16"/>
  <c r="VC18" i="16"/>
  <c r="VB18" i="16"/>
  <c r="VA18" i="16"/>
  <c r="UP18" i="16"/>
  <c r="UO18" i="16"/>
  <c r="VP50" i="16"/>
  <c r="VO50" i="16"/>
  <c r="VN50" i="16"/>
  <c r="VM50" i="16"/>
  <c r="VL50" i="16"/>
  <c r="VK50" i="16"/>
  <c r="VJ50" i="16"/>
  <c r="VI50" i="16"/>
  <c r="VH50" i="16"/>
  <c r="VG50" i="16"/>
  <c r="VF50" i="16"/>
  <c r="VE50" i="16"/>
  <c r="VD50" i="16"/>
  <c r="VC50" i="16"/>
  <c r="VB50" i="16"/>
  <c r="VA50" i="16"/>
  <c r="UP50" i="16"/>
  <c r="UO50" i="16"/>
  <c r="VP13" i="16"/>
  <c r="VO13" i="16"/>
  <c r="VN13" i="16"/>
  <c r="VM13" i="16"/>
  <c r="VL13" i="16"/>
  <c r="VK13" i="16"/>
  <c r="VJ13" i="16"/>
  <c r="VI13" i="16"/>
  <c r="VH13" i="16"/>
  <c r="VG13" i="16"/>
  <c r="VF13" i="16"/>
  <c r="VE13" i="16"/>
  <c r="VD13" i="16"/>
  <c r="VC13" i="16"/>
  <c r="VB13" i="16"/>
  <c r="VA13" i="16"/>
  <c r="UP13" i="16"/>
  <c r="UO13" i="16"/>
  <c r="VP64" i="16"/>
  <c r="AX23" i="33" s="1"/>
  <c r="VO64" i="16"/>
  <c r="VN64" i="16"/>
  <c r="VM64" i="16"/>
  <c r="VL64" i="16"/>
  <c r="AL23" i="33" s="1"/>
  <c r="VK64" i="16"/>
  <c r="AR23" i="33" s="1"/>
  <c r="VJ64" i="16"/>
  <c r="AF23" i="33" s="1"/>
  <c r="VI64" i="16"/>
  <c r="Z23" i="33" s="1"/>
  <c r="VH64" i="16"/>
  <c r="T23" i="33" s="1"/>
  <c r="VG64" i="16"/>
  <c r="VF64" i="16"/>
  <c r="VE64" i="16"/>
  <c r="VD64" i="16"/>
  <c r="VC64" i="16"/>
  <c r="VB64" i="16"/>
  <c r="VA64" i="16"/>
  <c r="UP64" i="16"/>
  <c r="UO64" i="16"/>
  <c r="VP47" i="16"/>
  <c r="VO47" i="16"/>
  <c r="VN47" i="16"/>
  <c r="VM47" i="16"/>
  <c r="VL47" i="16"/>
  <c r="VK47" i="16"/>
  <c r="VJ47" i="16"/>
  <c r="VI47" i="16"/>
  <c r="VH47" i="16"/>
  <c r="VG47" i="16"/>
  <c r="VF47" i="16"/>
  <c r="VE47" i="16"/>
  <c r="VD47" i="16"/>
  <c r="VC47" i="16"/>
  <c r="VB47" i="16"/>
  <c r="VA47" i="16"/>
  <c r="UP47" i="16"/>
  <c r="UO47" i="16"/>
  <c r="VP48" i="16"/>
  <c r="VO48" i="16"/>
  <c r="VN48" i="16"/>
  <c r="VM48" i="16"/>
  <c r="VL48" i="16"/>
  <c r="VK48" i="16"/>
  <c r="VJ48" i="16"/>
  <c r="VI48" i="16"/>
  <c r="VH48" i="16"/>
  <c r="VG48" i="16"/>
  <c r="VF48" i="16"/>
  <c r="VE48" i="16"/>
  <c r="VD48" i="16"/>
  <c r="VC48" i="16"/>
  <c r="VB48" i="16"/>
  <c r="VA48" i="16"/>
  <c r="UP48" i="16"/>
  <c r="UO48" i="16"/>
  <c r="VP17" i="16"/>
  <c r="VO17" i="16"/>
  <c r="VN17" i="16"/>
  <c r="VM17" i="16"/>
  <c r="VL17" i="16"/>
  <c r="VK17" i="16"/>
  <c r="VJ17" i="16"/>
  <c r="VI17" i="16"/>
  <c r="VH17" i="16"/>
  <c r="VG17" i="16"/>
  <c r="VF17" i="16"/>
  <c r="VE17" i="16"/>
  <c r="VD17" i="16"/>
  <c r="VC17" i="16"/>
  <c r="VB17" i="16"/>
  <c r="VA17" i="16"/>
  <c r="UP17" i="16"/>
  <c r="UO17" i="16"/>
  <c r="VP40" i="16"/>
  <c r="VO40" i="16"/>
  <c r="VN40" i="16"/>
  <c r="VM40" i="16"/>
  <c r="VL40" i="16"/>
  <c r="VK40" i="16"/>
  <c r="VJ40" i="16"/>
  <c r="VI40" i="16"/>
  <c r="VH40" i="16"/>
  <c r="VG40" i="16"/>
  <c r="VF40" i="16"/>
  <c r="VE40" i="16"/>
  <c r="VD40" i="16"/>
  <c r="VC40" i="16"/>
  <c r="VB40" i="16"/>
  <c r="VA40" i="16"/>
  <c r="UP40" i="16"/>
  <c r="UO40" i="16"/>
  <c r="VP43" i="16"/>
  <c r="VO43" i="16"/>
  <c r="VN43" i="16"/>
  <c r="VM43" i="16"/>
  <c r="VL43" i="16"/>
  <c r="VK43" i="16"/>
  <c r="VJ43" i="16"/>
  <c r="VI43" i="16"/>
  <c r="VH43" i="16"/>
  <c r="VG43" i="16"/>
  <c r="VF43" i="16"/>
  <c r="VE43" i="16"/>
  <c r="VD43" i="16"/>
  <c r="VC43" i="16"/>
  <c r="VB43" i="16"/>
  <c r="VA43" i="16"/>
  <c r="UP43" i="16"/>
  <c r="UO43" i="16"/>
  <c r="VP46" i="16"/>
  <c r="AX33" i="33" s="1"/>
  <c r="BA33" i="33" s="1"/>
  <c r="VO46" i="16"/>
  <c r="VN46" i="16"/>
  <c r="VM46" i="16"/>
  <c r="VL46" i="16"/>
  <c r="VK46" i="16"/>
  <c r="AR33" i="33" s="1"/>
  <c r="AU33" i="33" s="1"/>
  <c r="VJ46" i="16"/>
  <c r="VI46" i="16"/>
  <c r="VH46" i="16"/>
  <c r="VG46" i="16"/>
  <c r="VF46" i="16"/>
  <c r="VE46" i="16"/>
  <c r="VD46" i="16"/>
  <c r="VC46" i="16"/>
  <c r="VB46" i="16"/>
  <c r="VA46" i="16"/>
  <c r="UP46" i="16"/>
  <c r="UO46" i="16"/>
  <c r="VP45" i="16"/>
  <c r="AX32" i="33" s="1"/>
  <c r="BA32" i="33" s="1"/>
  <c r="VO45" i="16"/>
  <c r="VN45" i="16"/>
  <c r="VM45" i="16"/>
  <c r="VL45" i="16"/>
  <c r="VK45" i="16"/>
  <c r="AR32" i="33" s="1"/>
  <c r="AU32" i="33" s="1"/>
  <c r="VJ45" i="16"/>
  <c r="VI45" i="16"/>
  <c r="VH45" i="16"/>
  <c r="VG45" i="16"/>
  <c r="VF45" i="16"/>
  <c r="VE45" i="16"/>
  <c r="VD45" i="16"/>
  <c r="VC45" i="16"/>
  <c r="VB45" i="16"/>
  <c r="VA45" i="16"/>
  <c r="UP45" i="16"/>
  <c r="UO45" i="16"/>
  <c r="VP44" i="16"/>
  <c r="AX31" i="33" s="1"/>
  <c r="VO44" i="16"/>
  <c r="VN44" i="16"/>
  <c r="VM44" i="16"/>
  <c r="VL44" i="16"/>
  <c r="VK44" i="16"/>
  <c r="AR31" i="33" s="1"/>
  <c r="VJ44" i="16"/>
  <c r="VI44" i="16"/>
  <c r="VH44" i="16"/>
  <c r="VG44" i="16"/>
  <c r="VF44" i="16"/>
  <c r="VE44" i="16"/>
  <c r="VD44" i="16"/>
  <c r="VC44" i="16"/>
  <c r="VB44" i="16"/>
  <c r="VA44" i="16"/>
  <c r="UP44" i="16"/>
  <c r="UO44" i="16"/>
  <c r="VP25" i="16"/>
  <c r="VO25" i="16"/>
  <c r="VN25" i="16"/>
  <c r="VM25" i="16"/>
  <c r="VL25" i="16"/>
  <c r="VK25" i="16"/>
  <c r="VJ25" i="16"/>
  <c r="VI25" i="16"/>
  <c r="VH25" i="16"/>
  <c r="VG25" i="16"/>
  <c r="VF25" i="16"/>
  <c r="VE25" i="16"/>
  <c r="VD25" i="16"/>
  <c r="VC25" i="16"/>
  <c r="VB25" i="16"/>
  <c r="VA25" i="16"/>
  <c r="UP25" i="16"/>
  <c r="UO25" i="16"/>
  <c r="VP39" i="16"/>
  <c r="VO39" i="16"/>
  <c r="VN39" i="16"/>
  <c r="VM39" i="16"/>
  <c r="VL39" i="16"/>
  <c r="VK39" i="16"/>
  <c r="VJ39" i="16"/>
  <c r="VI39" i="16"/>
  <c r="VH39" i="16"/>
  <c r="VG39" i="16"/>
  <c r="VF39" i="16"/>
  <c r="VE39" i="16"/>
  <c r="VD39" i="16"/>
  <c r="VC39" i="16"/>
  <c r="VB39" i="16"/>
  <c r="VA39" i="16"/>
  <c r="UP39" i="16"/>
  <c r="UO39" i="16"/>
  <c r="AL75" i="21" l="1" a="1"/>
  <c r="AL75" i="21" s="1"/>
  <c r="AS75" i="21" s="1"/>
  <c r="AL74" i="21" a="1"/>
  <c r="AL74" i="21" s="1"/>
  <c r="AS74" i="21" s="1"/>
  <c r="AL73" i="21" a="1"/>
  <c r="AL73" i="21" s="1"/>
  <c r="AS73" i="21" s="1"/>
  <c r="AL72" i="21" a="1"/>
  <c r="AL72" i="21" s="1"/>
  <c r="AS72" i="21" s="1"/>
  <c r="AL71" i="21" a="1"/>
  <c r="AL71" i="21" s="1"/>
  <c r="AS71" i="21" s="1"/>
  <c r="AL71" i="22" a="1"/>
  <c r="AL71" i="22" s="1"/>
  <c r="AS71" i="22" s="1"/>
  <c r="AL72" i="22" a="1"/>
  <c r="AL72" i="22" s="1"/>
  <c r="AS72" i="22" s="1"/>
  <c r="AL73" i="22" a="1"/>
  <c r="AL73" i="22" s="1"/>
  <c r="AS73" i="22" s="1"/>
  <c r="AL74" i="22" a="1"/>
  <c r="AL74" i="22" s="1"/>
  <c r="AS74" i="22" s="1"/>
  <c r="AL75" i="22" a="1"/>
  <c r="AL75" i="22" s="1"/>
  <c r="AS75" i="22" s="1"/>
  <c r="AR66" i="33"/>
  <c r="AU66" i="33" s="1"/>
  <c r="Z66" i="33"/>
  <c r="AC66" i="33" s="1"/>
  <c r="AR66" i="32"/>
  <c r="AU66" i="32" s="1"/>
  <c r="AL66" i="32"/>
  <c r="AO66" i="32" s="1"/>
  <c r="Z66" i="32"/>
  <c r="AC66" i="32" s="1"/>
  <c r="T66" i="32"/>
  <c r="W66" i="32" s="1"/>
  <c r="AR19" i="32"/>
  <c r="AU19" i="32" s="1"/>
  <c r="AL19" i="32"/>
  <c r="AO19" i="32" s="1"/>
  <c r="Z19" i="32"/>
  <c r="AC19" i="32" s="1"/>
  <c r="T19" i="32"/>
  <c r="W19" i="32" s="1"/>
  <c r="AR73" i="33"/>
  <c r="AU73" i="33" s="1"/>
  <c r="Z73" i="33"/>
  <c r="AC73" i="33" s="1"/>
  <c r="AR73" i="32"/>
  <c r="AU73" i="32" s="1"/>
  <c r="AL73" i="32"/>
  <c r="AO73" i="32" s="1"/>
  <c r="Z73" i="32"/>
  <c r="AC73" i="32" s="1"/>
  <c r="T73" i="32"/>
  <c r="W73" i="32" s="1"/>
  <c r="AR72" i="33"/>
  <c r="AU72" i="33" s="1"/>
  <c r="Z72" i="33"/>
  <c r="AC72" i="33" s="1"/>
  <c r="AR72" i="32"/>
  <c r="AU72" i="32" s="1"/>
  <c r="AL72" i="32"/>
  <c r="AO72" i="32" s="1"/>
  <c r="Z72" i="32"/>
  <c r="AC72" i="32" s="1"/>
  <c r="T72" i="32"/>
  <c r="W72" i="32" s="1"/>
  <c r="AR22" i="32"/>
  <c r="AL22" i="32"/>
  <c r="Z22" i="32"/>
  <c r="T22" i="32"/>
  <c r="AR68" i="33"/>
  <c r="AU68" i="33" s="1"/>
  <c r="Z68" i="33"/>
  <c r="AC68" i="33" s="1"/>
  <c r="AR68" i="32"/>
  <c r="AU68" i="32" s="1"/>
  <c r="AL68" i="32"/>
  <c r="AO68" i="32" s="1"/>
  <c r="Z68" i="32"/>
  <c r="AC68" i="32" s="1"/>
  <c r="T68" i="32"/>
  <c r="W68" i="32" s="1"/>
  <c r="AR71" i="33"/>
  <c r="AU71" i="33" s="1"/>
  <c r="Z71" i="33"/>
  <c r="AC71" i="33" s="1"/>
  <c r="AR71" i="32"/>
  <c r="AU71" i="32" s="1"/>
  <c r="AL71" i="32"/>
  <c r="AO71" i="32" s="1"/>
  <c r="Z71" i="32"/>
  <c r="AC71" i="32" s="1"/>
  <c r="T71" i="32"/>
  <c r="W71" i="32" s="1"/>
  <c r="AR70" i="33"/>
  <c r="AU70" i="33" s="1"/>
  <c r="Z70" i="33"/>
  <c r="AC70" i="33" s="1"/>
  <c r="AR70" i="32"/>
  <c r="AU70" i="32" s="1"/>
  <c r="AL70" i="32"/>
  <c r="AO70" i="32" s="1"/>
  <c r="Z70" i="32"/>
  <c r="AC70" i="32" s="1"/>
  <c r="T70" i="32"/>
  <c r="W70" i="32" s="1"/>
  <c r="AR69" i="33"/>
  <c r="AU69" i="33" s="1"/>
  <c r="Z69" i="33"/>
  <c r="AC69" i="33" s="1"/>
  <c r="AR69" i="32"/>
  <c r="AU69" i="32" s="1"/>
  <c r="AL69" i="32"/>
  <c r="AO69" i="32" s="1"/>
  <c r="Z69" i="32"/>
  <c r="AC69" i="32" s="1"/>
  <c r="T69" i="32"/>
  <c r="W69" i="32" s="1"/>
  <c r="AR10" i="32"/>
  <c r="AU10" i="32" s="1"/>
  <c r="AL10" i="32"/>
  <c r="Z10" i="32"/>
  <c r="T10" i="32"/>
  <c r="AR52" i="33"/>
  <c r="AU52" i="33" s="1"/>
  <c r="Z52" i="33"/>
  <c r="AC52" i="33" s="1"/>
  <c r="AR52" i="32"/>
  <c r="AU52" i="32" s="1"/>
  <c r="AL52" i="32"/>
  <c r="AO52" i="32" s="1"/>
  <c r="Z52" i="32"/>
  <c r="AC52" i="32" s="1"/>
  <c r="T52" i="32"/>
  <c r="W52" i="32" s="1"/>
  <c r="AR11" i="32"/>
  <c r="AU11" i="32" s="1"/>
  <c r="AL11" i="32"/>
  <c r="AO11" i="32" s="1"/>
  <c r="Z11" i="32"/>
  <c r="AC11" i="32" s="1"/>
  <c r="T11" i="32"/>
  <c r="W11" i="32" s="1"/>
  <c r="AR15" i="32"/>
  <c r="AU15" i="32" s="1"/>
  <c r="AL15" i="32"/>
  <c r="AO15" i="32" s="1"/>
  <c r="Z15" i="32"/>
  <c r="AC15" i="32" s="1"/>
  <c r="T15" i="32"/>
  <c r="W15" i="32" s="1"/>
  <c r="AR16" i="32"/>
  <c r="AU16" i="32" s="1"/>
  <c r="AL16" i="32"/>
  <c r="AO16" i="32" s="1"/>
  <c r="Z16" i="32"/>
  <c r="AC16" i="32" s="1"/>
  <c r="T16" i="32"/>
  <c r="W16" i="32" s="1"/>
  <c r="AR13" i="32"/>
  <c r="AU13" i="32" s="1"/>
  <c r="AL13" i="32"/>
  <c r="AO13" i="32" s="1"/>
  <c r="Z13" i="32"/>
  <c r="AC13" i="32" s="1"/>
  <c r="T13" i="32"/>
  <c r="W13" i="32" s="1"/>
  <c r="AR12" i="32"/>
  <c r="AU12" i="32" s="1"/>
  <c r="AL12" i="32"/>
  <c r="AO12" i="32" s="1"/>
  <c r="Z12" i="32"/>
  <c r="AC12" i="32" s="1"/>
  <c r="T12" i="32"/>
  <c r="W12" i="32" s="1"/>
  <c r="AR54" i="33"/>
  <c r="AU54" i="33" s="1"/>
  <c r="Z54" i="33"/>
  <c r="AC54" i="33" s="1"/>
  <c r="AR54" i="32"/>
  <c r="AU54" i="32" s="1"/>
  <c r="AL54" i="32"/>
  <c r="AO54" i="32" s="1"/>
  <c r="Z54" i="32"/>
  <c r="AC54" i="32" s="1"/>
  <c r="T54" i="32"/>
  <c r="W54" i="32" s="1"/>
  <c r="AR53" i="33"/>
  <c r="AU53" i="33" s="1"/>
  <c r="Z53" i="33"/>
  <c r="AC53" i="33" s="1"/>
  <c r="AR53" i="32"/>
  <c r="AU53" i="32" s="1"/>
  <c r="AL53" i="32"/>
  <c r="AO53" i="32" s="1"/>
  <c r="Z53" i="32"/>
  <c r="AC53" i="32" s="1"/>
  <c r="T53" i="32"/>
  <c r="W53" i="32" s="1"/>
  <c r="AR14" i="32"/>
  <c r="AU14" i="32" s="1"/>
  <c r="AL14" i="32"/>
  <c r="AO14" i="32" s="1"/>
  <c r="Z14" i="32"/>
  <c r="AC14" i="32" s="1"/>
  <c r="T14" i="32"/>
  <c r="W14" i="32" s="1"/>
  <c r="AR51" i="33"/>
  <c r="AU51" i="33" s="1"/>
  <c r="Z51" i="33"/>
  <c r="AC51" i="33" s="1"/>
  <c r="AR51" i="32"/>
  <c r="AU51" i="32" s="1"/>
  <c r="AL51" i="32"/>
  <c r="AO51" i="32" s="1"/>
  <c r="Z51" i="32"/>
  <c r="AC51" i="32" s="1"/>
  <c r="T51" i="32"/>
  <c r="W51" i="32" s="1"/>
  <c r="AR50" i="33"/>
  <c r="AU50" i="33" s="1"/>
  <c r="Z50" i="33"/>
  <c r="AC50" i="33" s="1"/>
  <c r="AR50" i="32"/>
  <c r="AU50" i="32" s="1"/>
  <c r="AL50" i="32"/>
  <c r="AO50" i="32" s="1"/>
  <c r="Z50" i="32"/>
  <c r="AC50" i="32" s="1"/>
  <c r="T50" i="32"/>
  <c r="W50" i="32" s="1"/>
  <c r="AR49" i="33"/>
  <c r="AU49" i="33" s="1"/>
  <c r="Z49" i="33"/>
  <c r="AC49" i="33" s="1"/>
  <c r="AR49" i="32"/>
  <c r="AU49" i="32" s="1"/>
  <c r="AL49" i="32"/>
  <c r="AO49" i="32" s="1"/>
  <c r="Z49" i="32"/>
  <c r="AC49" i="32" s="1"/>
  <c r="T49" i="32"/>
  <c r="W49" i="32" s="1"/>
  <c r="AR17" i="32"/>
  <c r="AL17" i="32"/>
  <c r="Z17" i="32"/>
  <c r="T17" i="32"/>
  <c r="AR48" i="33"/>
  <c r="AU48" i="33" s="1"/>
  <c r="Z48" i="33"/>
  <c r="AC48" i="33" s="1"/>
  <c r="AR48" i="32"/>
  <c r="AU48" i="32" s="1"/>
  <c r="AL48" i="32"/>
  <c r="AO48" i="32" s="1"/>
  <c r="Z48" i="32"/>
  <c r="AC48" i="32" s="1"/>
  <c r="T48" i="32"/>
  <c r="W48" i="32" s="1"/>
  <c r="AR47" i="33"/>
  <c r="AU47" i="33" s="1"/>
  <c r="Z47" i="33"/>
  <c r="AR47" i="32"/>
  <c r="AL47" i="32"/>
  <c r="Z47" i="32"/>
  <c r="T47" i="32"/>
  <c r="AR78" i="33"/>
  <c r="AU78" i="33" s="1"/>
  <c r="Z78" i="33"/>
  <c r="AC78" i="33" s="1"/>
  <c r="AR78" i="32"/>
  <c r="AU78" i="32" s="1"/>
  <c r="AL78" i="32"/>
  <c r="AO78" i="32" s="1"/>
  <c r="Z78" i="32"/>
  <c r="AC78" i="32" s="1"/>
  <c r="T78" i="32"/>
  <c r="W78" i="32" s="1"/>
  <c r="AR21" i="32"/>
  <c r="AU21" i="32" s="1"/>
  <c r="AL21" i="32"/>
  <c r="AO21" i="32" s="1"/>
  <c r="Z21" i="32"/>
  <c r="AC21" i="32" s="1"/>
  <c r="T21" i="32"/>
  <c r="W21" i="32" s="1"/>
  <c r="AR20" i="32"/>
  <c r="AU20" i="32" s="1"/>
  <c r="AL20" i="32"/>
  <c r="AO20" i="32" s="1"/>
  <c r="Z20" i="32"/>
  <c r="AC20" i="32" s="1"/>
  <c r="T20" i="32"/>
  <c r="W20" i="32" s="1"/>
  <c r="AR75" i="33"/>
  <c r="AU75" i="33" s="1"/>
  <c r="Z75" i="33"/>
  <c r="AC75" i="33" s="1"/>
  <c r="AR75" i="32"/>
  <c r="AU75" i="32" s="1"/>
  <c r="AL75" i="32"/>
  <c r="AO75" i="32" s="1"/>
  <c r="Z75" i="32"/>
  <c r="AC75" i="32" s="1"/>
  <c r="T75" i="32"/>
  <c r="W75" i="32" s="1"/>
  <c r="AR81" i="33"/>
  <c r="AU81" i="33" s="1"/>
  <c r="Z81" i="33"/>
  <c r="AC81" i="33" s="1"/>
  <c r="AR81" i="32"/>
  <c r="AU81" i="32" s="1"/>
  <c r="AL81" i="32"/>
  <c r="AO81" i="32" s="1"/>
  <c r="Z81" i="32"/>
  <c r="AC81" i="32" s="1"/>
  <c r="T81" i="32"/>
  <c r="W81" i="32" s="1"/>
  <c r="AL35" i="33"/>
  <c r="AO35" i="33" s="1"/>
  <c r="AF35" i="33"/>
  <c r="AI35" i="33" s="1"/>
  <c r="Z35" i="33"/>
  <c r="AC35" i="33" s="1"/>
  <c r="T35" i="33"/>
  <c r="AR35" i="32"/>
  <c r="AU35" i="32" s="1"/>
  <c r="AL35" i="32"/>
  <c r="AO35" i="32" s="1"/>
  <c r="Z35" i="32"/>
  <c r="AC35" i="32" s="1"/>
  <c r="T35" i="32"/>
  <c r="W35" i="32" s="1"/>
  <c r="AL37" i="33"/>
  <c r="AO37" i="33" s="1"/>
  <c r="AF37" i="33"/>
  <c r="AI37" i="33" s="1"/>
  <c r="Z37" i="33"/>
  <c r="AC37" i="33" s="1"/>
  <c r="T37" i="33"/>
  <c r="AR37" i="32"/>
  <c r="AU37" i="32" s="1"/>
  <c r="AL37" i="32"/>
  <c r="AO37" i="32" s="1"/>
  <c r="Z37" i="32"/>
  <c r="AC37" i="32" s="1"/>
  <c r="T37" i="32"/>
  <c r="W37" i="32" s="1"/>
  <c r="AL39" i="33"/>
  <c r="AO39" i="33" s="1"/>
  <c r="AF39" i="33"/>
  <c r="AI39" i="33" s="1"/>
  <c r="Z39" i="33"/>
  <c r="AC39" i="33" s="1"/>
  <c r="T39" i="33"/>
  <c r="AR39" i="32"/>
  <c r="AU39" i="32" s="1"/>
  <c r="AL39" i="32"/>
  <c r="AO39" i="32" s="1"/>
  <c r="Z39" i="32"/>
  <c r="AC39" i="32" s="1"/>
  <c r="T39" i="32"/>
  <c r="W39" i="32" s="1"/>
  <c r="AL36" i="33"/>
  <c r="AO36" i="33" s="1"/>
  <c r="AF36" i="33"/>
  <c r="AI36" i="33" s="1"/>
  <c r="Z36" i="33"/>
  <c r="AC36" i="33" s="1"/>
  <c r="T36" i="33"/>
  <c r="AR36" i="32"/>
  <c r="AU36" i="32" s="1"/>
  <c r="AL36" i="32"/>
  <c r="AO36" i="32" s="1"/>
  <c r="Z36" i="32"/>
  <c r="AC36" i="32" s="1"/>
  <c r="T36" i="32"/>
  <c r="W36" i="32" s="1"/>
  <c r="AL34" i="33"/>
  <c r="AO34" i="33" s="1"/>
  <c r="AF34" i="33"/>
  <c r="AI34" i="33" s="1"/>
  <c r="Z34" i="33"/>
  <c r="AC34" i="33" s="1"/>
  <c r="T34" i="33"/>
  <c r="AR34" i="32"/>
  <c r="AU34" i="32" s="1"/>
  <c r="AL34" i="32"/>
  <c r="AO34" i="32" s="1"/>
  <c r="Z34" i="32"/>
  <c r="AC34" i="32" s="1"/>
  <c r="T34" i="32"/>
  <c r="W34" i="32" s="1"/>
  <c r="AL38" i="33"/>
  <c r="AO38" i="33" s="1"/>
  <c r="AF38" i="33"/>
  <c r="AI38" i="33" s="1"/>
  <c r="Z38" i="33"/>
  <c r="AC38" i="33" s="1"/>
  <c r="T38" i="33"/>
  <c r="AR38" i="32"/>
  <c r="AU38" i="32" s="1"/>
  <c r="AL38" i="32"/>
  <c r="AO38" i="32" s="1"/>
  <c r="Z38" i="32"/>
  <c r="AC38" i="32" s="1"/>
  <c r="T38" i="32"/>
  <c r="W38" i="32" s="1"/>
  <c r="AR74" i="33"/>
  <c r="AU74" i="33" s="1"/>
  <c r="Z74" i="33"/>
  <c r="AC74" i="33" s="1"/>
  <c r="AR74" i="32"/>
  <c r="AU74" i="32" s="1"/>
  <c r="AL74" i="32"/>
  <c r="AO74" i="32" s="1"/>
  <c r="Z74" i="32"/>
  <c r="AC74" i="32" s="1"/>
  <c r="T74" i="32"/>
  <c r="W74" i="32" s="1"/>
  <c r="AR57" i="33"/>
  <c r="AU57" i="33" s="1"/>
  <c r="Z57" i="33"/>
  <c r="AC57" i="33" s="1"/>
  <c r="AR57" i="32"/>
  <c r="AU57" i="32" s="1"/>
  <c r="AL57" i="32"/>
  <c r="AO57" i="32" s="1"/>
  <c r="Z57" i="32"/>
  <c r="AC57" i="32" s="1"/>
  <c r="T57" i="32"/>
  <c r="W57" i="32" s="1"/>
  <c r="AR67" i="33"/>
  <c r="AU67" i="33" s="1"/>
  <c r="Z67" i="33"/>
  <c r="AC67" i="33" s="1"/>
  <c r="AR67" i="32"/>
  <c r="AU67" i="32" s="1"/>
  <c r="AL67" i="32"/>
  <c r="AO67" i="32" s="1"/>
  <c r="Z67" i="32"/>
  <c r="AC67" i="32" s="1"/>
  <c r="T67" i="32"/>
  <c r="W67" i="32" s="1"/>
  <c r="AR18" i="32"/>
  <c r="AU18" i="32" s="1"/>
  <c r="AL18" i="32"/>
  <c r="AO18" i="32" s="1"/>
  <c r="Z18" i="32"/>
  <c r="AC18" i="32" s="1"/>
  <c r="T18" i="32"/>
  <c r="W18" i="32" s="1"/>
  <c r="AR63" i="33"/>
  <c r="AU63" i="33" s="1"/>
  <c r="Z63" i="33"/>
  <c r="AC63" i="33" s="1"/>
  <c r="AR63" i="32"/>
  <c r="AU63" i="32" s="1"/>
  <c r="AL63" i="32"/>
  <c r="AO63" i="32" s="1"/>
  <c r="Z63" i="32"/>
  <c r="AC63" i="32" s="1"/>
  <c r="T63" i="32"/>
  <c r="W63" i="32" s="1"/>
  <c r="AR62" i="33"/>
  <c r="AU62" i="33" s="1"/>
  <c r="Z62" i="33"/>
  <c r="AC62" i="33" s="1"/>
  <c r="AR62" i="32"/>
  <c r="AU62" i="32" s="1"/>
  <c r="AL62" i="32"/>
  <c r="AO62" i="32" s="1"/>
  <c r="Z62" i="32"/>
  <c r="AC62" i="32" s="1"/>
  <c r="T62" i="32"/>
  <c r="W62" i="32" s="1"/>
  <c r="AR61" i="33"/>
  <c r="AU61" i="33" s="1"/>
  <c r="Z61" i="33"/>
  <c r="AC61" i="33" s="1"/>
  <c r="AR61" i="32"/>
  <c r="AU61" i="32" s="1"/>
  <c r="AL61" i="32"/>
  <c r="AO61" i="32" s="1"/>
  <c r="Z61" i="32"/>
  <c r="AC61" i="32" s="1"/>
  <c r="T61" i="32"/>
  <c r="W61" i="32" s="1"/>
  <c r="AR60" i="33"/>
  <c r="AU60" i="33" s="1"/>
  <c r="Z60" i="33"/>
  <c r="AC60" i="33" s="1"/>
  <c r="AR60" i="32"/>
  <c r="AU60" i="32" s="1"/>
  <c r="AL60" i="32"/>
  <c r="AO60" i="32" s="1"/>
  <c r="Z60" i="32"/>
  <c r="AC60" i="32" s="1"/>
  <c r="T60" i="32"/>
  <c r="W60" i="32" s="1"/>
  <c r="AR56" i="33"/>
  <c r="Z56" i="33"/>
  <c r="AC56" i="33" s="1"/>
  <c r="AR56" i="32"/>
  <c r="AU56" i="32" s="1"/>
  <c r="AL56" i="32"/>
  <c r="AO56" i="32" s="1"/>
  <c r="Z56" i="32"/>
  <c r="AC56" i="32" s="1"/>
  <c r="T56" i="32"/>
  <c r="W56" i="32" s="1"/>
  <c r="AR64" i="33"/>
  <c r="AU64" i="33" s="1"/>
  <c r="Z64" i="33"/>
  <c r="AC64" i="33" s="1"/>
  <c r="AR64" i="32"/>
  <c r="AU64" i="32" s="1"/>
  <c r="AL64" i="32"/>
  <c r="AO64" i="32" s="1"/>
  <c r="Z64" i="32"/>
  <c r="AC64" i="32" s="1"/>
  <c r="T64" i="32"/>
  <c r="W64" i="32" s="1"/>
  <c r="AR59" i="33"/>
  <c r="AU59" i="33" s="1"/>
  <c r="Z59" i="33"/>
  <c r="AC59" i="33" s="1"/>
  <c r="AR59" i="32"/>
  <c r="AU59" i="32" s="1"/>
  <c r="AL59" i="32"/>
  <c r="AO59" i="32" s="1"/>
  <c r="Z59" i="32"/>
  <c r="AC59" i="32" s="1"/>
  <c r="T59" i="32"/>
  <c r="W59" i="32" s="1"/>
  <c r="AR82" i="33"/>
  <c r="AU82" i="33" s="1"/>
  <c r="Z82" i="33"/>
  <c r="AC82" i="33" s="1"/>
  <c r="AR82" i="32"/>
  <c r="AU82" i="32" s="1"/>
  <c r="AL82" i="32"/>
  <c r="AO82" i="32" s="1"/>
  <c r="Z82" i="32"/>
  <c r="AC82" i="32" s="1"/>
  <c r="T82" i="32"/>
  <c r="W82" i="32" s="1"/>
  <c r="AR55" i="33"/>
  <c r="AU55" i="33" s="1"/>
  <c r="Z55" i="33"/>
  <c r="AC55" i="33" s="1"/>
  <c r="AR55" i="32"/>
  <c r="AU55" i="32" s="1"/>
  <c r="AL55" i="32"/>
  <c r="AO55" i="32" s="1"/>
  <c r="Z55" i="32"/>
  <c r="AC55" i="32" s="1"/>
  <c r="T55" i="32"/>
  <c r="W55" i="32" s="1"/>
  <c r="AR23" i="32"/>
  <c r="AL23" i="32"/>
  <c r="Z23" i="32"/>
  <c r="T23" i="32"/>
  <c r="AR80" i="33"/>
  <c r="AU80" i="33" s="1"/>
  <c r="Z80" i="33"/>
  <c r="AC80" i="33" s="1"/>
  <c r="AR80" i="32"/>
  <c r="AU80" i="32" s="1"/>
  <c r="AL80" i="32"/>
  <c r="AO80" i="32" s="1"/>
  <c r="Z80" i="32"/>
  <c r="AC80" i="32" s="1"/>
  <c r="T80" i="32"/>
  <c r="W80" i="32" s="1"/>
  <c r="AR58" i="33"/>
  <c r="AU58" i="33" s="1"/>
  <c r="Z58" i="33"/>
  <c r="AC58" i="33" s="1"/>
  <c r="AR58" i="32"/>
  <c r="AU58" i="32" s="1"/>
  <c r="AL58" i="32"/>
  <c r="AO58" i="32" s="1"/>
  <c r="Z58" i="32"/>
  <c r="AC58" i="32" s="1"/>
  <c r="T58" i="32"/>
  <c r="W58" i="32" s="1"/>
  <c r="AR77" i="33"/>
  <c r="AU77" i="33" s="1"/>
  <c r="Z77" i="33"/>
  <c r="AC77" i="33" s="1"/>
  <c r="AR77" i="32"/>
  <c r="AU77" i="32" s="1"/>
  <c r="AL77" i="32"/>
  <c r="AO77" i="32" s="1"/>
  <c r="Z77" i="32"/>
  <c r="AC77" i="32" s="1"/>
  <c r="T77" i="32"/>
  <c r="W77" i="32" s="1"/>
  <c r="AR79" i="33"/>
  <c r="AU79" i="33" s="1"/>
  <c r="Z79" i="33"/>
  <c r="AC79" i="33" s="1"/>
  <c r="AR79" i="32"/>
  <c r="AU79" i="32" s="1"/>
  <c r="AL79" i="32"/>
  <c r="AO79" i="32" s="1"/>
  <c r="Z79" i="32"/>
  <c r="AC79" i="32" s="1"/>
  <c r="T79" i="32"/>
  <c r="W79" i="32" s="1"/>
  <c r="AL33" i="33"/>
  <c r="AO33" i="33" s="1"/>
  <c r="AF33" i="33"/>
  <c r="AI33" i="33" s="1"/>
  <c r="Z33" i="33"/>
  <c r="AC33" i="33" s="1"/>
  <c r="T33" i="33"/>
  <c r="AR33" i="32"/>
  <c r="AU33" i="32" s="1"/>
  <c r="AL33" i="32"/>
  <c r="AO33" i="32" s="1"/>
  <c r="Z33" i="32"/>
  <c r="AC33" i="32" s="1"/>
  <c r="T33" i="32"/>
  <c r="W33" i="32" s="1"/>
  <c r="AL32" i="33"/>
  <c r="AO32" i="33" s="1"/>
  <c r="AF32" i="33"/>
  <c r="AI32" i="33" s="1"/>
  <c r="Z32" i="33"/>
  <c r="AC32" i="33" s="1"/>
  <c r="T32" i="33"/>
  <c r="AR32" i="32"/>
  <c r="AU32" i="32" s="1"/>
  <c r="AL32" i="32"/>
  <c r="AO32" i="32" s="1"/>
  <c r="Z32" i="32"/>
  <c r="AC32" i="32" s="1"/>
  <c r="T32" i="32"/>
  <c r="W32" i="32" s="1"/>
  <c r="AL31" i="33"/>
  <c r="AF31" i="33"/>
  <c r="Z31" i="33"/>
  <c r="T31" i="33"/>
  <c r="AR31" i="32"/>
  <c r="AL31" i="32"/>
  <c r="Z31" i="32"/>
  <c r="T31" i="32"/>
  <c r="AR65" i="33"/>
  <c r="AU65" i="33" s="1"/>
  <c r="Z65" i="33"/>
  <c r="AC65" i="33" s="1"/>
  <c r="AR65" i="32"/>
  <c r="AU65" i="32" s="1"/>
  <c r="AL65" i="32"/>
  <c r="AO65" i="32" s="1"/>
  <c r="Z65" i="32"/>
  <c r="AC65" i="32" s="1"/>
  <c r="T65" i="32"/>
  <c r="W65" i="32" s="1"/>
  <c r="AR76" i="33"/>
  <c r="AU76" i="33" s="1"/>
  <c r="Z76" i="33"/>
  <c r="AC76" i="33" s="1"/>
  <c r="AR76" i="32"/>
  <c r="AU76" i="32" s="1"/>
  <c r="AL76" i="32"/>
  <c r="AO76" i="32" s="1"/>
  <c r="Z76" i="32"/>
  <c r="AC76" i="32" s="1"/>
  <c r="T76" i="32"/>
  <c r="W76" i="32" s="1"/>
  <c r="AX66" i="33"/>
  <c r="BA66" i="33" s="1"/>
  <c r="AL66" i="33"/>
  <c r="AO66" i="33" s="1"/>
  <c r="AF66" i="33"/>
  <c r="AI66" i="33" s="1"/>
  <c r="T66" i="33"/>
  <c r="AX73" i="33"/>
  <c r="BA73" i="33" s="1"/>
  <c r="AL73" i="33"/>
  <c r="AO73" i="33" s="1"/>
  <c r="AF73" i="33"/>
  <c r="AI73" i="33" s="1"/>
  <c r="T73" i="33"/>
  <c r="AX72" i="33"/>
  <c r="BA72" i="33" s="1"/>
  <c r="AL72" i="33"/>
  <c r="AO72" i="33" s="1"/>
  <c r="AF72" i="33"/>
  <c r="AI72" i="33" s="1"/>
  <c r="T72" i="33"/>
  <c r="AX68" i="33"/>
  <c r="BA68" i="33" s="1"/>
  <c r="AL68" i="33"/>
  <c r="AO68" i="33" s="1"/>
  <c r="AF68" i="33"/>
  <c r="AI68" i="33" s="1"/>
  <c r="T68" i="33"/>
  <c r="AX71" i="33"/>
  <c r="BA71" i="33" s="1"/>
  <c r="AL71" i="33"/>
  <c r="AO71" i="33" s="1"/>
  <c r="AF71" i="33"/>
  <c r="AI71" i="33" s="1"/>
  <c r="T71" i="33"/>
  <c r="AX70" i="33"/>
  <c r="BA70" i="33" s="1"/>
  <c r="AL70" i="33"/>
  <c r="AO70" i="33" s="1"/>
  <c r="AF70" i="33"/>
  <c r="AI70" i="33" s="1"/>
  <c r="T70" i="33"/>
  <c r="AX69" i="33"/>
  <c r="BA69" i="33" s="1"/>
  <c r="AL69" i="33"/>
  <c r="AO69" i="33" s="1"/>
  <c r="AF69" i="33"/>
  <c r="AI69" i="33" s="1"/>
  <c r="T69" i="33"/>
  <c r="AX52" i="33"/>
  <c r="BA52" i="33" s="1"/>
  <c r="AL52" i="33"/>
  <c r="AO52" i="33" s="1"/>
  <c r="AF52" i="33"/>
  <c r="AI52" i="33" s="1"/>
  <c r="T52" i="33"/>
  <c r="AX54" i="33"/>
  <c r="BA54" i="33" s="1"/>
  <c r="AL54" i="33"/>
  <c r="AO54" i="33" s="1"/>
  <c r="AF54" i="33"/>
  <c r="AI54" i="33" s="1"/>
  <c r="T54" i="33"/>
  <c r="AX53" i="33"/>
  <c r="BA53" i="33" s="1"/>
  <c r="AL53" i="33"/>
  <c r="AO53" i="33" s="1"/>
  <c r="AF53" i="33"/>
  <c r="AI53" i="33" s="1"/>
  <c r="T53" i="33"/>
  <c r="AX51" i="33"/>
  <c r="BA51" i="33" s="1"/>
  <c r="AL51" i="33"/>
  <c r="AO51" i="33" s="1"/>
  <c r="AF51" i="33"/>
  <c r="AI51" i="33" s="1"/>
  <c r="T51" i="33"/>
  <c r="AX50" i="33"/>
  <c r="BA50" i="33" s="1"/>
  <c r="AL50" i="33"/>
  <c r="AO50" i="33" s="1"/>
  <c r="AF50" i="33"/>
  <c r="AI50" i="33" s="1"/>
  <c r="T50" i="33"/>
  <c r="AX49" i="33"/>
  <c r="BA49" i="33" s="1"/>
  <c r="AL49" i="33"/>
  <c r="AO49" i="33" s="1"/>
  <c r="AF49" i="33"/>
  <c r="AI49" i="33" s="1"/>
  <c r="T49" i="33"/>
  <c r="AX48" i="33"/>
  <c r="BA48" i="33" s="1"/>
  <c r="AL48" i="33"/>
  <c r="AO48" i="33" s="1"/>
  <c r="AF48" i="33"/>
  <c r="AI48" i="33" s="1"/>
  <c r="T48" i="33"/>
  <c r="AX47" i="33"/>
  <c r="AL47" i="33"/>
  <c r="AF47" i="33"/>
  <c r="AI47" i="33" s="1"/>
  <c r="T47" i="33"/>
  <c r="AX78" i="33"/>
  <c r="BA78" i="33" s="1"/>
  <c r="AL78" i="33"/>
  <c r="AO78" i="33" s="1"/>
  <c r="AF78" i="33"/>
  <c r="AI78" i="33" s="1"/>
  <c r="T78" i="33"/>
  <c r="AX75" i="33"/>
  <c r="BA75" i="33" s="1"/>
  <c r="AL75" i="33"/>
  <c r="AO75" i="33" s="1"/>
  <c r="AF75" i="33"/>
  <c r="AI75" i="33" s="1"/>
  <c r="T75" i="33"/>
  <c r="AX81" i="33"/>
  <c r="BA81" i="33" s="1"/>
  <c r="AL81" i="33"/>
  <c r="AO81" i="33" s="1"/>
  <c r="AF81" i="33"/>
  <c r="AI81" i="33" s="1"/>
  <c r="T81" i="33"/>
  <c r="AX74" i="33"/>
  <c r="BA74" i="33" s="1"/>
  <c r="AL74" i="33"/>
  <c r="AO74" i="33" s="1"/>
  <c r="AF74" i="33"/>
  <c r="AI74" i="33" s="1"/>
  <c r="T74" i="33"/>
  <c r="AX57" i="33"/>
  <c r="BA57" i="33" s="1"/>
  <c r="AL57" i="33"/>
  <c r="AO57" i="33" s="1"/>
  <c r="AF57" i="33"/>
  <c r="AI57" i="33" s="1"/>
  <c r="T57" i="33"/>
  <c r="AX67" i="33"/>
  <c r="BA67" i="33" s="1"/>
  <c r="AL67" i="33"/>
  <c r="AO67" i="33" s="1"/>
  <c r="AF67" i="33"/>
  <c r="AI67" i="33" s="1"/>
  <c r="T67" i="33"/>
  <c r="AX63" i="33"/>
  <c r="BA63" i="33" s="1"/>
  <c r="AL63" i="33"/>
  <c r="AO63" i="33" s="1"/>
  <c r="AF63" i="33"/>
  <c r="AI63" i="33" s="1"/>
  <c r="T63" i="33"/>
  <c r="AX62" i="33"/>
  <c r="BA62" i="33" s="1"/>
  <c r="AL62" i="33"/>
  <c r="AO62" i="33" s="1"/>
  <c r="AF62" i="33"/>
  <c r="AI62" i="33" s="1"/>
  <c r="T62" i="33"/>
  <c r="AX61" i="33"/>
  <c r="BA61" i="33" s="1"/>
  <c r="AL61" i="33"/>
  <c r="AO61" i="33" s="1"/>
  <c r="AF61" i="33"/>
  <c r="AI61" i="33" s="1"/>
  <c r="T61" i="33"/>
  <c r="AX60" i="33"/>
  <c r="BA60" i="33" s="1"/>
  <c r="AL60" i="33"/>
  <c r="AO60" i="33" s="1"/>
  <c r="AF60" i="33"/>
  <c r="AI60" i="33" s="1"/>
  <c r="T60" i="33"/>
  <c r="AX56" i="33"/>
  <c r="BA56" i="33" s="1"/>
  <c r="AL56" i="33"/>
  <c r="AO56" i="33" s="1"/>
  <c r="AF56" i="33"/>
  <c r="T56" i="33"/>
  <c r="W56" i="33" s="1"/>
  <c r="AX64" i="33"/>
  <c r="BA64" i="33" s="1"/>
  <c r="AL64" i="33"/>
  <c r="AO64" i="33" s="1"/>
  <c r="AF64" i="33"/>
  <c r="AI64" i="33" s="1"/>
  <c r="T64" i="33"/>
  <c r="AX59" i="33"/>
  <c r="BA59" i="33" s="1"/>
  <c r="AL59" i="33"/>
  <c r="AO59" i="33" s="1"/>
  <c r="AF59" i="33"/>
  <c r="AI59" i="33" s="1"/>
  <c r="T59" i="33"/>
  <c r="AX82" i="33"/>
  <c r="BA82" i="33" s="1"/>
  <c r="AL82" i="33"/>
  <c r="AO82" i="33" s="1"/>
  <c r="AF82" i="33"/>
  <c r="AI82" i="33" s="1"/>
  <c r="T82" i="33"/>
  <c r="AX55" i="33"/>
  <c r="BA55" i="33" s="1"/>
  <c r="AL55" i="33"/>
  <c r="AO55" i="33" s="1"/>
  <c r="AF55" i="33"/>
  <c r="AI55" i="33" s="1"/>
  <c r="T55" i="33"/>
  <c r="AX80" i="33"/>
  <c r="BA80" i="33" s="1"/>
  <c r="AL80" i="33"/>
  <c r="AO80" i="33" s="1"/>
  <c r="AF80" i="33"/>
  <c r="AI80" i="33" s="1"/>
  <c r="T80" i="33"/>
  <c r="AX58" i="33"/>
  <c r="BA58" i="33" s="1"/>
  <c r="AL58" i="33"/>
  <c r="AO58" i="33" s="1"/>
  <c r="AF58" i="33"/>
  <c r="AI58" i="33" s="1"/>
  <c r="T58" i="33"/>
  <c r="AX77" i="33"/>
  <c r="BA77" i="33" s="1"/>
  <c r="AL77" i="33"/>
  <c r="AO77" i="33" s="1"/>
  <c r="AF77" i="33"/>
  <c r="AI77" i="33" s="1"/>
  <c r="T77" i="33"/>
  <c r="AX79" i="33"/>
  <c r="BA79" i="33" s="1"/>
  <c r="AL79" i="33"/>
  <c r="AO79" i="33" s="1"/>
  <c r="AF79" i="33"/>
  <c r="T79" i="33"/>
  <c r="AX65" i="33"/>
  <c r="BA65" i="33" s="1"/>
  <c r="AL65" i="33"/>
  <c r="AO65" i="33" s="1"/>
  <c r="AF65" i="33"/>
  <c r="AI65" i="33" s="1"/>
  <c r="T65" i="33"/>
  <c r="AX76" i="33"/>
  <c r="BA76" i="33" s="1"/>
  <c r="AL76" i="33"/>
  <c r="AO76" i="33" s="1"/>
  <c r="AF76" i="33"/>
  <c r="AI76" i="33" s="1"/>
  <c r="T76" i="33"/>
  <c r="AF65" i="32"/>
  <c r="AI65" i="32" s="1"/>
  <c r="AF32" i="32"/>
  <c r="AI32" i="32" s="1"/>
  <c r="AF79" i="32"/>
  <c r="AI79" i="32" s="1"/>
  <c r="AF58" i="32"/>
  <c r="AI58" i="32" s="1"/>
  <c r="AF55" i="32"/>
  <c r="AI55" i="32" s="1"/>
  <c r="AF59" i="32"/>
  <c r="AI59" i="32" s="1"/>
  <c r="AF64" i="32"/>
  <c r="AI64" i="32" s="1"/>
  <c r="AF60" i="32"/>
  <c r="AI60" i="32" s="1"/>
  <c r="AF62" i="32"/>
  <c r="AI62" i="32" s="1"/>
  <c r="AF47" i="32"/>
  <c r="AI47" i="32" s="1"/>
  <c r="AF49" i="32"/>
  <c r="AI49" i="32" s="1"/>
  <c r="AF51" i="32"/>
  <c r="AI51" i="32" s="1"/>
  <c r="AF14" i="32"/>
  <c r="AI14" i="32" s="1"/>
  <c r="AF54" i="32"/>
  <c r="AI54" i="32" s="1"/>
  <c r="AF13" i="32"/>
  <c r="AI13" i="32" s="1"/>
  <c r="AF15" i="32"/>
  <c r="AI15" i="32" s="1"/>
  <c r="AF81" i="32"/>
  <c r="AI81" i="32" s="1"/>
  <c r="AF20" i="32"/>
  <c r="AI20" i="32" s="1"/>
  <c r="AF72" i="32"/>
  <c r="AI72" i="32" s="1"/>
  <c r="AF19" i="32"/>
  <c r="AI19" i="32" s="1"/>
  <c r="AF52" i="32"/>
  <c r="AI52" i="32" s="1"/>
  <c r="AF69" i="32"/>
  <c r="AI69" i="32" s="1"/>
  <c r="AF76" i="32"/>
  <c r="AI76" i="32" s="1"/>
  <c r="AF31" i="32"/>
  <c r="AF78" i="32"/>
  <c r="AI78" i="32" s="1"/>
  <c r="T14" i="20"/>
  <c r="AF73" i="32"/>
  <c r="AI73" i="32" s="1"/>
  <c r="AF66" i="32"/>
  <c r="AI66" i="32" s="1"/>
  <c r="AF33" i="32"/>
  <c r="AI33" i="32" s="1"/>
  <c r="AF77" i="32"/>
  <c r="AI77" i="32" s="1"/>
  <c r="AF80" i="32"/>
  <c r="AI80" i="32" s="1"/>
  <c r="AF23" i="32"/>
  <c r="AF82" i="32"/>
  <c r="AI82" i="32" s="1"/>
  <c r="AF48" i="32"/>
  <c r="AI48" i="32" s="1"/>
  <c r="AF17" i="32"/>
  <c r="T65" i="20"/>
  <c r="AE49" i="21"/>
  <c r="AE44" i="21"/>
  <c r="AE53" i="21"/>
  <c r="AE54" i="21"/>
  <c r="AE51" i="21"/>
  <c r="AE47" i="21"/>
  <c r="AE52" i="21"/>
  <c r="AE42" i="21"/>
  <c r="AE50" i="21"/>
  <c r="AE41" i="21"/>
  <c r="AE48" i="21"/>
  <c r="AE46" i="21"/>
  <c r="AE81" i="21"/>
  <c r="AE43" i="21"/>
  <c r="AE44" i="22"/>
  <c r="AE51" i="22"/>
  <c r="AE50" i="22"/>
  <c r="AE52" i="22"/>
  <c r="AE48" i="22"/>
  <c r="AE42" i="22"/>
  <c r="AE53" i="22"/>
  <c r="AE54" i="22"/>
  <c r="AE81" i="22"/>
  <c r="AE43" i="22"/>
  <c r="T67" i="23"/>
  <c r="AF74" i="32"/>
  <c r="AI74" i="32" s="1"/>
  <c r="AF34" i="32"/>
  <c r="AI34" i="32" s="1"/>
  <c r="AF39" i="32"/>
  <c r="AI39" i="32" s="1"/>
  <c r="AF35" i="32"/>
  <c r="AI35" i="32" s="1"/>
  <c r="AF56" i="32"/>
  <c r="AI56" i="32" s="1"/>
  <c r="AF61" i="32"/>
  <c r="AI61" i="32" s="1"/>
  <c r="AF63" i="32"/>
  <c r="AI63" i="32" s="1"/>
  <c r="AF67" i="32"/>
  <c r="AI67" i="32" s="1"/>
  <c r="AF50" i="32"/>
  <c r="AI50" i="32" s="1"/>
  <c r="AF53" i="32"/>
  <c r="AI53" i="32" s="1"/>
  <c r="AF12" i="32"/>
  <c r="AI12" i="32" s="1"/>
  <c r="AF16" i="32"/>
  <c r="AI16" i="32" s="1"/>
  <c r="AF11" i="32"/>
  <c r="AI11" i="32" s="1"/>
  <c r="AF10" i="32"/>
  <c r="AF38" i="32"/>
  <c r="AI38" i="32" s="1"/>
  <c r="AF36" i="32"/>
  <c r="AI36" i="32" s="1"/>
  <c r="AF37" i="32"/>
  <c r="AI37" i="32" s="1"/>
  <c r="AF18" i="32"/>
  <c r="AI18" i="32" s="1"/>
  <c r="AF57" i="32"/>
  <c r="AI57" i="32" s="1"/>
  <c r="AF71" i="32"/>
  <c r="AI71" i="32" s="1"/>
  <c r="BD21" i="33"/>
  <c r="BG21" i="33" s="1"/>
  <c r="W21" i="33"/>
  <c r="BA10" i="33"/>
  <c r="AX24" i="33"/>
  <c r="AF70" i="32"/>
  <c r="AI70" i="32" s="1"/>
  <c r="AF68" i="32"/>
  <c r="AI68" i="32" s="1"/>
  <c r="AF22" i="32"/>
  <c r="BD13" i="33"/>
  <c r="BG13" i="33" s="1"/>
  <c r="W13" i="33"/>
  <c r="BA31" i="33"/>
  <c r="BA40" i="33" s="1"/>
  <c r="AX40" i="33"/>
  <c r="W15" i="33"/>
  <c r="BD15" i="33"/>
  <c r="BG15" i="33" s="1"/>
  <c r="BD23" i="33"/>
  <c r="BD17" i="33"/>
  <c r="BD12" i="33"/>
  <c r="BG12" i="33" s="1"/>
  <c r="W12" i="33"/>
  <c r="BD16" i="33"/>
  <c r="BG16" i="33" s="1"/>
  <c r="W16" i="33"/>
  <c r="BD11" i="33"/>
  <c r="BG11" i="33" s="1"/>
  <c r="W11" i="33"/>
  <c r="BD10" i="33"/>
  <c r="W10" i="33"/>
  <c r="T24" i="33"/>
  <c r="BD22" i="33"/>
  <c r="BD14" i="33"/>
  <c r="BG14" i="33" s="1"/>
  <c r="W14" i="33"/>
  <c r="AF24" i="33"/>
  <c r="AI10" i="33"/>
  <c r="AC10" i="33"/>
  <c r="Z24" i="33"/>
  <c r="BD18" i="33"/>
  <c r="BG18" i="33" s="1"/>
  <c r="W18" i="33"/>
  <c r="W20" i="33"/>
  <c r="BD20" i="33"/>
  <c r="BG20" i="33" s="1"/>
  <c r="AL24" i="33"/>
  <c r="AO10" i="33"/>
  <c r="BD19" i="33"/>
  <c r="BG19" i="33" s="1"/>
  <c r="W19" i="33"/>
  <c r="AR40" i="33"/>
  <c r="AU31" i="33"/>
  <c r="AU40" i="33" s="1"/>
  <c r="AR24" i="33"/>
  <c r="AU10" i="33"/>
  <c r="AF75" i="32"/>
  <c r="AI75" i="32" s="1"/>
  <c r="AF21" i="32"/>
  <c r="AI21" i="32" s="1"/>
  <c r="AE10" i="20"/>
  <c r="Q47" i="20"/>
  <c r="T47" i="20" s="1"/>
  <c r="AW67" i="23"/>
  <c r="AW97" i="23" s="1"/>
  <c r="AW106" i="23" s="1"/>
  <c r="AW47" i="23"/>
  <c r="Q47" i="23"/>
  <c r="T47" i="23" s="1"/>
  <c r="Q67" i="23"/>
  <c r="Q97" i="23" s="1"/>
  <c r="AG47" i="23"/>
  <c r="AG67" i="23"/>
  <c r="AG97" i="23" s="1"/>
  <c r="AG106" i="23" s="1"/>
  <c r="AE12" i="22"/>
  <c r="AE46" i="22"/>
  <c r="Q32" i="22" a="1"/>
  <c r="Q32" i="22" s="1"/>
  <c r="Q45" i="22"/>
  <c r="Q95" i="22"/>
  <c r="AE34" i="22"/>
  <c r="Q83" i="22"/>
  <c r="AE47" i="22"/>
  <c r="Q65" i="22"/>
  <c r="AE13" i="22" s="1"/>
  <c r="AE49" i="22"/>
  <c r="AE41" i="22"/>
  <c r="Q14" i="22"/>
  <c r="Q90" i="22"/>
  <c r="AE33" i="22"/>
  <c r="Q30" i="22"/>
  <c r="Q17" i="22" a="1"/>
  <c r="Q17" i="22" s="1"/>
  <c r="Q30" i="21"/>
  <c r="AE34" i="21"/>
  <c r="Q14" i="21"/>
  <c r="AE10" i="21" s="1"/>
  <c r="Q83" i="21"/>
  <c r="Q32" i="21" a="1"/>
  <c r="Q32" i="21" s="1"/>
  <c r="Q95" i="21"/>
  <c r="Q90" i="21"/>
  <c r="Q17" i="21" a="1"/>
  <c r="Q17" i="21" s="1"/>
  <c r="AE12" i="21"/>
  <c r="Q65" i="21"/>
  <c r="AE13" i="21" s="1"/>
  <c r="AE33" i="21"/>
  <c r="Q45" i="21"/>
  <c r="AE20" i="20"/>
  <c r="AE32" i="20"/>
  <c r="Q67" i="20"/>
  <c r="T67" i="20" s="1"/>
  <c r="T98" i="17"/>
  <c r="Z98" i="17"/>
  <c r="W98" i="17"/>
  <c r="AL98" i="17"/>
  <c r="AI98" i="17"/>
  <c r="AR21" i="17"/>
  <c r="AR51" i="17"/>
  <c r="AR77" i="17"/>
  <c r="AR104" i="17"/>
  <c r="X52" i="18"/>
  <c r="AR30" i="17"/>
  <c r="AR54" i="17"/>
  <c r="AR81" i="17"/>
  <c r="AA52" i="18"/>
  <c r="AR26" i="17"/>
  <c r="AR37" i="17"/>
  <c r="AR43" i="17"/>
  <c r="AR74" i="17"/>
  <c r="AR78" i="17"/>
  <c r="AR82" i="17"/>
  <c r="AR89" i="17"/>
  <c r="AR92" i="17"/>
  <c r="AR96" i="17"/>
  <c r="AR105" i="17"/>
  <c r="AR108" i="17"/>
  <c r="AR13" i="17"/>
  <c r="Z15" i="17"/>
  <c r="AR22" i="17"/>
  <c r="AR27" i="17"/>
  <c r="Z31" i="17"/>
  <c r="AR35" i="17"/>
  <c r="Z33" i="17" a="1"/>
  <c r="Z33" i="17" s="1"/>
  <c r="Q46" i="17"/>
  <c r="Z46" i="17"/>
  <c r="AI46" i="17"/>
  <c r="AR44" i="17"/>
  <c r="AR57" i="17"/>
  <c r="Z66" i="17"/>
  <c r="AR63" i="17"/>
  <c r="Q86" i="17"/>
  <c r="Z86" i="17"/>
  <c r="AI86" i="17"/>
  <c r="AR79" i="17"/>
  <c r="AR83" i="17"/>
  <c r="AR90" i="17"/>
  <c r="Z93" i="17"/>
  <c r="Q98" i="17"/>
  <c r="AR106" i="17"/>
  <c r="AR11" i="17"/>
  <c r="AF66" i="17"/>
  <c r="AL15" i="17"/>
  <c r="AC33" i="17" a="1"/>
  <c r="AC33" i="17" s="1"/>
  <c r="T46" i="17"/>
  <c r="T86" i="17"/>
  <c r="AC86" i="17"/>
  <c r="AL86" i="17"/>
  <c r="AF31" i="17"/>
  <c r="AR41" i="17"/>
  <c r="AR62" i="17"/>
  <c r="AR80" i="17"/>
  <c r="AR91" i="17"/>
  <c r="AR103" i="17"/>
  <c r="AR107" i="17"/>
  <c r="U52" i="18"/>
  <c r="AR28" i="17"/>
  <c r="AR45" i="17"/>
  <c r="W86" i="17"/>
  <c r="AR85" i="17"/>
  <c r="R52" i="18"/>
  <c r="AR23" i="17"/>
  <c r="AR42" i="17"/>
  <c r="AR65" i="17"/>
  <c r="AR84" i="17"/>
  <c r="AC98" i="17"/>
  <c r="AR38" i="17"/>
  <c r="AR64" i="17"/>
  <c r="AF98" i="17"/>
  <c r="AL18" i="17" a="1"/>
  <c r="AL18" i="17" s="1"/>
  <c r="T31" i="17"/>
  <c r="W66" i="17"/>
  <c r="AI66" i="17"/>
  <c r="AC66" i="17"/>
  <c r="Z18" i="17" a="1"/>
  <c r="Z18" i="17" s="1"/>
  <c r="T15" i="17"/>
  <c r="T18" i="17" a="1"/>
  <c r="T18" i="17" s="1"/>
  <c r="AC46" i="17"/>
  <c r="AL66" i="17"/>
  <c r="T66" i="17"/>
  <c r="T93" i="17"/>
  <c r="AC93" i="17"/>
  <c r="AL93" i="17"/>
  <c r="AI93" i="17"/>
  <c r="W18" i="17" a="1"/>
  <c r="W18" i="17" s="1"/>
  <c r="AC15" i="17"/>
  <c r="AO31" i="17"/>
  <c r="W15" i="17"/>
  <c r="W31" i="17"/>
  <c r="W33" i="17" a="1"/>
  <c r="W33" i="17" s="1"/>
  <c r="Q15" i="17"/>
  <c r="AR12" i="17"/>
  <c r="AR24" i="17"/>
  <c r="AF33" i="17" a="1"/>
  <c r="AF33" i="17" s="1"/>
  <c r="AI18" i="17" a="1"/>
  <c r="AI18" i="17" s="1"/>
  <c r="AO15" i="17"/>
  <c r="AO33" i="17" a="1"/>
  <c r="AO33" i="17" s="1"/>
  <c r="AL46" i="17"/>
  <c r="AR14" i="17"/>
  <c r="AR29" i="17"/>
  <c r="AR36" i="17"/>
  <c r="AF86" i="17"/>
  <c r="AF46" i="17"/>
  <c r="T33" i="17" a="1"/>
  <c r="T33" i="17" s="1"/>
  <c r="AC18" i="17" a="1"/>
  <c r="AC18" i="17" s="1"/>
  <c r="AD52" i="18"/>
  <c r="AA44" i="18"/>
  <c r="R44" i="18"/>
  <c r="X44" i="18"/>
  <c r="AD44" i="18"/>
  <c r="U44" i="18"/>
  <c r="AO66" i="17"/>
  <c r="AR61" i="17"/>
  <c r="AO93" i="17"/>
  <c r="AR75" i="17"/>
  <c r="AR60" i="17"/>
  <c r="AF15" i="17"/>
  <c r="AR97" i="17"/>
  <c r="AR76" i="17"/>
  <c r="AO18" i="17" a="1"/>
  <c r="AO18" i="17" s="1"/>
  <c r="AF93" i="17"/>
  <c r="W93" i="17"/>
  <c r="AR20" i="17"/>
  <c r="AI31" i="17"/>
  <c r="Q93" i="17"/>
  <c r="AO46" i="17"/>
  <c r="Q33" i="17" a="1"/>
  <c r="Q33" i="17" s="1"/>
  <c r="Q31" i="17"/>
  <c r="AL33" i="17" a="1"/>
  <c r="AL33" i="17" s="1"/>
  <c r="W46" i="17"/>
  <c r="Q66" i="17"/>
  <c r="AO98" i="17"/>
  <c r="AO86" i="17"/>
  <c r="AF18" i="17" a="1"/>
  <c r="AF18" i="17" s="1"/>
  <c r="Q18" i="17" a="1"/>
  <c r="Q18" i="17" s="1"/>
  <c r="AL31" i="17"/>
  <c r="AR39" i="17"/>
  <c r="AI33" i="17" a="1"/>
  <c r="AI33" i="17" s="1"/>
  <c r="AI15" i="17"/>
  <c r="AC31" i="17"/>
  <c r="AL30" i="20" l="1" a="1"/>
  <c r="AL30" i="20" s="1"/>
  <c r="AS30" i="20" s="1"/>
  <c r="AL32" i="20" a="1"/>
  <c r="AL32" i="20" s="1"/>
  <c r="AS32" i="20" s="1"/>
  <c r="AL28" i="20" a="1"/>
  <c r="AL28" i="20" s="1"/>
  <c r="AS28" i="20" s="1"/>
  <c r="AL29" i="20" a="1"/>
  <c r="AL29" i="20" s="1"/>
  <c r="AS29" i="20" s="1"/>
  <c r="AL31" i="20" a="1"/>
  <c r="AL31" i="20" s="1"/>
  <c r="AS31" i="20" s="1"/>
  <c r="AX10" i="32"/>
  <c r="BA10" i="32" s="1"/>
  <c r="AR24" i="32"/>
  <c r="AX31" i="32"/>
  <c r="BA31" i="32" s="1"/>
  <c r="AO10" i="32"/>
  <c r="AL24" i="32"/>
  <c r="Z24" i="32"/>
  <c r="AC10" i="32"/>
  <c r="T24" i="32"/>
  <c r="W10" i="32"/>
  <c r="Z83" i="33"/>
  <c r="AC47" i="33"/>
  <c r="AC83" i="33" s="1"/>
  <c r="AR83" i="32"/>
  <c r="AU47" i="32"/>
  <c r="AU83" i="32" s="1"/>
  <c r="AO47" i="32"/>
  <c r="AO83" i="32" s="1"/>
  <c r="AL83" i="32"/>
  <c r="Z83" i="32"/>
  <c r="AC47" i="32"/>
  <c r="AC83" i="32" s="1"/>
  <c r="T83" i="32"/>
  <c r="W47" i="32"/>
  <c r="W83" i="32" s="1"/>
  <c r="W35" i="33"/>
  <c r="BD35" i="33"/>
  <c r="BG35" i="33" s="1"/>
  <c r="W37" i="33"/>
  <c r="BD37" i="33"/>
  <c r="BG37" i="33" s="1"/>
  <c r="W39" i="33"/>
  <c r="BD39" i="33"/>
  <c r="BG39" i="33" s="1"/>
  <c r="W36" i="33"/>
  <c r="BD36" i="33"/>
  <c r="BG36" i="33" s="1"/>
  <c r="W34" i="33"/>
  <c r="BD34" i="33"/>
  <c r="BG34" i="33" s="1"/>
  <c r="W38" i="33"/>
  <c r="BD38" i="33"/>
  <c r="BG38" i="33" s="1"/>
  <c r="AU56" i="33"/>
  <c r="AU83" i="33" s="1"/>
  <c r="AR83" i="33"/>
  <c r="BD33" i="33"/>
  <c r="W33" i="33"/>
  <c r="W32" i="33"/>
  <c r="BD32" i="33"/>
  <c r="BG32" i="33" s="1"/>
  <c r="AO31" i="33"/>
  <c r="AO40" i="33" s="1"/>
  <c r="AL40" i="33"/>
  <c r="AF40" i="33"/>
  <c r="AI31" i="33"/>
  <c r="AI40" i="33" s="1"/>
  <c r="AC31" i="33"/>
  <c r="AC40" i="33" s="1"/>
  <c r="Z40" i="33"/>
  <c r="W31" i="33"/>
  <c r="T40" i="33"/>
  <c r="BD31" i="33"/>
  <c r="BG31" i="33" s="1"/>
  <c r="AR40" i="32"/>
  <c r="AU31" i="32"/>
  <c r="AU40" i="32" s="1"/>
  <c r="AO31" i="32"/>
  <c r="AO40" i="32" s="1"/>
  <c r="AL40" i="32"/>
  <c r="AC31" i="32"/>
  <c r="AC40" i="32" s="1"/>
  <c r="Z40" i="32"/>
  <c r="W31" i="32"/>
  <c r="W40" i="32" s="1"/>
  <c r="T40" i="32"/>
  <c r="W71" i="33"/>
  <c r="BD71" i="33"/>
  <c r="BG71" i="33" s="1"/>
  <c r="W52" i="33"/>
  <c r="BD52" i="33"/>
  <c r="BG52" i="33" s="1"/>
  <c r="BD49" i="33"/>
  <c r="BG49" i="33" s="1"/>
  <c r="W49" i="33"/>
  <c r="AO47" i="33"/>
  <c r="AO83" i="33" s="1"/>
  <c r="AL83" i="33"/>
  <c r="W75" i="33"/>
  <c r="BD75" i="33"/>
  <c r="BG75" i="33" s="1"/>
  <c r="W74" i="33"/>
  <c r="BD74" i="33"/>
  <c r="BG74" i="33" s="1"/>
  <c r="BD57" i="33"/>
  <c r="BG57" i="33" s="1"/>
  <c r="W57" i="33"/>
  <c r="BD65" i="33"/>
  <c r="BG65" i="33" s="1"/>
  <c r="W65" i="33"/>
  <c r="W66" i="33"/>
  <c r="BD66" i="33"/>
  <c r="BG66" i="33" s="1"/>
  <c r="BD73" i="33"/>
  <c r="BG73" i="33" s="1"/>
  <c r="W73" i="33"/>
  <c r="W72" i="33"/>
  <c r="BD72" i="33"/>
  <c r="BG72" i="33" s="1"/>
  <c r="W68" i="33"/>
  <c r="BD68" i="33"/>
  <c r="BG68" i="33" s="1"/>
  <c r="BD70" i="33"/>
  <c r="BG70" i="33" s="1"/>
  <c r="W70" i="33"/>
  <c r="W69" i="33"/>
  <c r="BD69" i="33"/>
  <c r="BG69" i="33" s="1"/>
  <c r="W54" i="33"/>
  <c r="BD54" i="33"/>
  <c r="BG54" i="33" s="1"/>
  <c r="BD53" i="33"/>
  <c r="W53" i="33"/>
  <c r="W51" i="33"/>
  <c r="BD51" i="33"/>
  <c r="BG51" i="33" s="1"/>
  <c r="W50" i="33"/>
  <c r="BD50" i="33"/>
  <c r="BG50" i="33" s="1"/>
  <c r="W48" i="33"/>
  <c r="BD48" i="33"/>
  <c r="BG48" i="33" s="1"/>
  <c r="AX83" i="33"/>
  <c r="BA47" i="33"/>
  <c r="BA83" i="33" s="1"/>
  <c r="BD47" i="33"/>
  <c r="BG47" i="33" s="1"/>
  <c r="T83" i="33"/>
  <c r="W47" i="33"/>
  <c r="W78" i="33"/>
  <c r="BD78" i="33"/>
  <c r="BG78" i="33" s="1"/>
  <c r="BD81" i="33"/>
  <c r="BG81" i="33" s="1"/>
  <c r="W81" i="33"/>
  <c r="BD67" i="33"/>
  <c r="BG67" i="33" s="1"/>
  <c r="W67" i="33"/>
  <c r="W63" i="33"/>
  <c r="BD63" i="33"/>
  <c r="BG63" i="33" s="1"/>
  <c r="W62" i="33"/>
  <c r="BD62" i="33"/>
  <c r="BG62" i="33" s="1"/>
  <c r="W61" i="33"/>
  <c r="BD61" i="33"/>
  <c r="BG61" i="33" s="1"/>
  <c r="W60" i="33"/>
  <c r="BD60" i="33"/>
  <c r="BG60" i="33" s="1"/>
  <c r="AI56" i="33"/>
  <c r="BD56" i="33"/>
  <c r="BG56" i="33" s="1"/>
  <c r="BD64" i="33"/>
  <c r="BG64" i="33" s="1"/>
  <c r="W64" i="33"/>
  <c r="W59" i="33"/>
  <c r="BD59" i="33"/>
  <c r="BG59" i="33" s="1"/>
  <c r="BD82" i="33"/>
  <c r="BG82" i="33" s="1"/>
  <c r="W82" i="33"/>
  <c r="BD55" i="33"/>
  <c r="BG55" i="33" s="1"/>
  <c r="W55" i="33"/>
  <c r="W80" i="33"/>
  <c r="BD80" i="33"/>
  <c r="BG80" i="33" s="1"/>
  <c r="W58" i="33"/>
  <c r="BD58" i="33"/>
  <c r="BG58" i="33" s="1"/>
  <c r="W77" i="33"/>
  <c r="BD77" i="33"/>
  <c r="BG77" i="33" s="1"/>
  <c r="AI79" i="33"/>
  <c r="AF83" i="33"/>
  <c r="BD79" i="33"/>
  <c r="BG79" i="33" s="1"/>
  <c r="W79" i="33"/>
  <c r="W76" i="33"/>
  <c r="BD76" i="33"/>
  <c r="BG76" i="33" s="1"/>
  <c r="AX32" i="32"/>
  <c r="BA32" i="32" s="1"/>
  <c r="AX54" i="32"/>
  <c r="BA54" i="32" s="1"/>
  <c r="AX65" i="32"/>
  <c r="BA65" i="32" s="1"/>
  <c r="AX55" i="32"/>
  <c r="BA55" i="32" s="1"/>
  <c r="AX64" i="32"/>
  <c r="BA64" i="32" s="1"/>
  <c r="AX60" i="32"/>
  <c r="BA60" i="32" s="1"/>
  <c r="AX58" i="32"/>
  <c r="BA58" i="32" s="1"/>
  <c r="AX17" i="32"/>
  <c r="AX79" i="32"/>
  <c r="BA79" i="32" s="1"/>
  <c r="AX81" i="32"/>
  <c r="BA81" i="32" s="1"/>
  <c r="AX82" i="32"/>
  <c r="BA82" i="32" s="1"/>
  <c r="AX39" i="32"/>
  <c r="BA39" i="32" s="1"/>
  <c r="AX52" i="32"/>
  <c r="BA52" i="32" s="1"/>
  <c r="AX62" i="32"/>
  <c r="BA62" i="32" s="1"/>
  <c r="AX59" i="32"/>
  <c r="BA59" i="32" s="1"/>
  <c r="AX20" i="32"/>
  <c r="BA20" i="32" s="1"/>
  <c r="AX69" i="32"/>
  <c r="BA69" i="32" s="1"/>
  <c r="AX49" i="32"/>
  <c r="BA49" i="32" s="1"/>
  <c r="AX72" i="32"/>
  <c r="BA72" i="32" s="1"/>
  <c r="AX50" i="32"/>
  <c r="BA50" i="32" s="1"/>
  <c r="AX15" i="32"/>
  <c r="BA15" i="32" s="1"/>
  <c r="AX13" i="32"/>
  <c r="BA13" i="32" s="1"/>
  <c r="AX76" i="32"/>
  <c r="BA76" i="32" s="1"/>
  <c r="AX47" i="32"/>
  <c r="BA47" i="32" s="1"/>
  <c r="AX73" i="32"/>
  <c r="BA73" i="32" s="1"/>
  <c r="AX35" i="32"/>
  <c r="BA35" i="32" s="1"/>
  <c r="AX51" i="32"/>
  <c r="BA51" i="32" s="1"/>
  <c r="AI31" i="32"/>
  <c r="AI40" i="32" s="1"/>
  <c r="AX66" i="32"/>
  <c r="BA66" i="32" s="1"/>
  <c r="AX14" i="32"/>
  <c r="BA14" i="32" s="1"/>
  <c r="AX70" i="32"/>
  <c r="BA70" i="32" s="1"/>
  <c r="AX19" i="32"/>
  <c r="BA19" i="32" s="1"/>
  <c r="AX23" i="32"/>
  <c r="AX78" i="32"/>
  <c r="BA78" i="32" s="1"/>
  <c r="AX80" i="32"/>
  <c r="BA80" i="32" s="1"/>
  <c r="AX77" i="32"/>
  <c r="BA77" i="32" s="1"/>
  <c r="AX67" i="32"/>
  <c r="BA67" i="32" s="1"/>
  <c r="AX68" i="32"/>
  <c r="BA68" i="32" s="1"/>
  <c r="AX38" i="32"/>
  <c r="BA38" i="32" s="1"/>
  <c r="AX48" i="32"/>
  <c r="BA48" i="32" s="1"/>
  <c r="AI10" i="32"/>
  <c r="AX33" i="32"/>
  <c r="BA33" i="32" s="1"/>
  <c r="AX56" i="32"/>
  <c r="BA56" i="32" s="1"/>
  <c r="AX34" i="32"/>
  <c r="BA34" i="32" s="1"/>
  <c r="AX57" i="32"/>
  <c r="BA57" i="32" s="1"/>
  <c r="AX37" i="32"/>
  <c r="BA37" i="32" s="1"/>
  <c r="AX36" i="32"/>
  <c r="BA36" i="32" s="1"/>
  <c r="AX63" i="32"/>
  <c r="BA63" i="32" s="1"/>
  <c r="AX16" i="32"/>
  <c r="BA16" i="32" s="1"/>
  <c r="AX53" i="32"/>
  <c r="BA53" i="32" s="1"/>
  <c r="AX74" i="32"/>
  <c r="BA74" i="32" s="1"/>
  <c r="AX11" i="32"/>
  <c r="BA11" i="32" s="1"/>
  <c r="AX71" i="32"/>
  <c r="BA71" i="32" s="1"/>
  <c r="Q106" i="23"/>
  <c r="T97" i="23"/>
  <c r="AX61" i="32"/>
  <c r="BA61" i="32" s="1"/>
  <c r="AX12" i="32"/>
  <c r="BA12" i="32" s="1"/>
  <c r="AX18" i="32"/>
  <c r="BA18" i="32" s="1"/>
  <c r="AF40" i="32"/>
  <c r="BG10" i="33"/>
  <c r="BD24" i="33"/>
  <c r="AF24" i="32"/>
  <c r="AI83" i="32"/>
  <c r="AF83" i="32"/>
  <c r="AX75" i="32"/>
  <c r="BA75" i="32" s="1"/>
  <c r="AX21" i="32"/>
  <c r="BA21" i="32" s="1"/>
  <c r="AX22" i="32"/>
  <c r="Q97" i="20"/>
  <c r="T97" i="20" s="1"/>
  <c r="T106" i="20" s="1"/>
  <c r="AE11" i="20"/>
  <c r="AE14" i="20" s="1"/>
  <c r="AE35" i="22"/>
  <c r="AE45" i="22"/>
  <c r="Q47" i="22"/>
  <c r="Q67" i="22"/>
  <c r="Q97" i="22" s="1"/>
  <c r="Q106" i="22" s="1"/>
  <c r="AE10" i="22"/>
  <c r="AE35" i="21"/>
  <c r="Q47" i="21"/>
  <c r="AE11" i="21" s="1"/>
  <c r="AE14" i="21" s="1"/>
  <c r="AH10" i="21" s="1"/>
  <c r="AE45" i="21"/>
  <c r="Q67" i="21"/>
  <c r="Q97" i="21" s="1"/>
  <c r="Q106" i="21" s="1"/>
  <c r="AI48" i="17"/>
  <c r="AR93" i="17"/>
  <c r="W48" i="17"/>
  <c r="T48" i="17"/>
  <c r="AF48" i="17"/>
  <c r="Z68" i="17"/>
  <c r="Z100" i="17" s="1"/>
  <c r="Z109" i="17" s="1"/>
  <c r="Q48" i="17"/>
  <c r="AF68" i="17"/>
  <c r="AF100" i="17" s="1"/>
  <c r="AF109" i="17" s="1"/>
  <c r="AR31" i="17"/>
  <c r="AR66" i="17"/>
  <c r="AR15" i="17"/>
  <c r="AR98" i="17"/>
  <c r="Z48" i="17"/>
  <c r="W68" i="17"/>
  <c r="W100" i="17" s="1"/>
  <c r="W109" i="17" s="1"/>
  <c r="T68" i="17"/>
  <c r="T100" i="17" s="1"/>
  <c r="T109" i="17" s="1"/>
  <c r="AI68" i="17"/>
  <c r="AI100" i="17" s="1"/>
  <c r="AI109" i="17" s="1"/>
  <c r="AO68" i="17"/>
  <c r="AO100" i="17" s="1"/>
  <c r="AO48" i="17"/>
  <c r="AC48" i="17"/>
  <c r="AR18" i="17" a="1"/>
  <c r="AR18" i="17" s="1"/>
  <c r="AR86" i="17"/>
  <c r="AL48" i="17"/>
  <c r="Q68" i="17"/>
  <c r="Q100" i="17" s="1"/>
  <c r="Q109" i="17" s="1"/>
  <c r="AC68" i="17"/>
  <c r="AC100" i="17" s="1"/>
  <c r="AC109" i="17" s="1"/>
  <c r="AR33" i="17" a="1"/>
  <c r="AR33" i="17" s="1"/>
  <c r="AR46" i="17"/>
  <c r="AL68" i="17"/>
  <c r="AL100" i="17" s="1"/>
  <c r="AL109" i="17" s="1"/>
  <c r="AL43" i="22" l="1" a="1"/>
  <c r="AL43" i="22" s="1"/>
  <c r="AS43" i="22" s="1"/>
  <c r="AL44" i="22" a="1"/>
  <c r="AL44" i="22" s="1"/>
  <c r="AS44" i="22" s="1"/>
  <c r="AL45" i="22" a="1"/>
  <c r="AL45" i="22" s="1"/>
  <c r="AS45" i="22" s="1"/>
  <c r="AL41" i="22" a="1"/>
  <c r="AL41" i="22" s="1"/>
  <c r="AS41" i="22" s="1"/>
  <c r="AL42" i="22" a="1"/>
  <c r="AL42" i="22" s="1"/>
  <c r="AS42" i="22" s="1"/>
  <c r="AL45" i="21" a="1"/>
  <c r="AL45" i="21" s="1"/>
  <c r="AS45" i="21" s="1"/>
  <c r="AL44" i="21" a="1"/>
  <c r="AL44" i="21" s="1"/>
  <c r="AS44" i="21" s="1"/>
  <c r="AL43" i="21" a="1"/>
  <c r="AL43" i="21" s="1"/>
  <c r="AS43" i="21" s="1"/>
  <c r="AL42" i="21" a="1"/>
  <c r="AL42" i="21" s="1"/>
  <c r="AS42" i="21" s="1"/>
  <c r="AL41" i="21" a="1"/>
  <c r="AL41" i="21" s="1"/>
  <c r="AS41" i="21" s="1"/>
  <c r="AO109" i="17"/>
  <c r="AR112" i="17"/>
  <c r="AI83" i="33"/>
  <c r="W40" i="33"/>
  <c r="BG33" i="33"/>
  <c r="BG40" i="33" s="1"/>
  <c r="BD40" i="33"/>
  <c r="W83" i="33"/>
  <c r="BG53" i="33"/>
  <c r="BG83" i="33" s="1"/>
  <c r="BD83" i="33"/>
  <c r="AX40" i="32"/>
  <c r="BA40" i="32"/>
  <c r="AX83" i="32"/>
  <c r="BA83" i="32"/>
  <c r="AE11" i="22"/>
  <c r="AE14" i="22" s="1"/>
  <c r="AX24" i="32"/>
  <c r="Q106" i="20"/>
  <c r="AH48" i="21"/>
  <c r="AH53" i="21"/>
  <c r="AH44" i="21"/>
  <c r="AH47" i="21"/>
  <c r="AH51" i="21"/>
  <c r="AH11" i="21"/>
  <c r="AH42" i="21"/>
  <c r="AH50" i="21"/>
  <c r="AH49" i="21"/>
  <c r="AH54" i="21"/>
  <c r="AH46" i="21"/>
  <c r="AH41" i="21"/>
  <c r="AH45" i="21"/>
  <c r="AH43" i="21"/>
  <c r="AH13" i="21"/>
  <c r="AH12" i="21"/>
  <c r="AH52" i="21"/>
  <c r="AH41" i="20"/>
  <c r="AH35" i="20"/>
  <c r="AH40" i="20"/>
  <c r="AH39" i="20"/>
  <c r="AH38" i="20"/>
  <c r="AH37" i="20"/>
  <c r="AH30" i="20"/>
  <c r="AH12" i="20"/>
  <c r="AH36" i="20"/>
  <c r="AH28" i="20"/>
  <c r="AH29" i="20"/>
  <c r="AH34" i="20"/>
  <c r="AH31" i="20"/>
  <c r="AH32" i="20"/>
  <c r="AH13" i="20"/>
  <c r="AH10" i="20"/>
  <c r="AH33" i="20"/>
  <c r="AH11" i="20"/>
  <c r="AR48" i="17"/>
  <c r="AR68" i="17"/>
  <c r="AR115" i="17" l="1"/>
  <c r="H6" i="13" s="1"/>
  <c r="H2" i="13"/>
  <c r="J2" i="13" s="1"/>
  <c r="AR100" i="17"/>
  <c r="AR109" i="17" s="1"/>
  <c r="AH42" i="22"/>
  <c r="AH51" i="22"/>
  <c r="AH54" i="22"/>
  <c r="AH52" i="22"/>
  <c r="AH53" i="22"/>
  <c r="AH48" i="22"/>
  <c r="AH44" i="22"/>
  <c r="AH43" i="22"/>
  <c r="AH50" i="22"/>
  <c r="AH41" i="22"/>
  <c r="AH47" i="22"/>
  <c r="AH13" i="22"/>
  <c r="AH46" i="22"/>
  <c r="AH49" i="22"/>
  <c r="AH12" i="22"/>
  <c r="AH10" i="22"/>
  <c r="AH45" i="22"/>
  <c r="AH11" i="22"/>
  <c r="AH14" i="20"/>
  <c r="I6" i="13" l="1" a="1"/>
  <c r="I6" i="13" s="1"/>
  <c r="J6" i="13" s="1"/>
  <c r="L6" i="13" s="1"/>
  <c r="K6" i="13" a="1"/>
  <c r="K6" i="13" s="1"/>
  <c r="AH14" i="22"/>
  <c r="Q23" i="32" l="1"/>
  <c r="UY64" i="16" a="1"/>
  <c r="UY64" i="16" s="1"/>
  <c r="AW6" i="23" s="1"/>
  <c r="Q23" i="33"/>
  <c r="H42" i="13"/>
  <c r="UY47" i="16" s="1" a="1"/>
  <c r="UY47" i="16" s="1"/>
  <c r="AG6" i="23" s="1"/>
  <c r="AZ10" i="23" l="1"/>
  <c r="AZ32" i="23"/>
  <c r="AZ23" i="23"/>
  <c r="AZ17" i="23"/>
  <c r="AZ38" i="23"/>
  <c r="AZ105" i="23"/>
  <c r="AZ104" i="23"/>
  <c r="AZ103" i="23"/>
  <c r="AZ102" i="23"/>
  <c r="AZ101" i="23"/>
  <c r="AZ100" i="23"/>
  <c r="AZ94" i="23"/>
  <c r="AZ93" i="23"/>
  <c r="AZ89" i="23"/>
  <c r="AZ88" i="23"/>
  <c r="AZ87" i="23"/>
  <c r="AZ86" i="23"/>
  <c r="AZ90" i="23" s="1"/>
  <c r="AZ82" i="23"/>
  <c r="AZ81" i="23"/>
  <c r="AZ80" i="23"/>
  <c r="AZ79" i="23"/>
  <c r="AZ78" i="23"/>
  <c r="AZ75" i="23"/>
  <c r="AZ72" i="23"/>
  <c r="AZ63" i="23"/>
  <c r="AZ61" i="23"/>
  <c r="AZ60" i="23"/>
  <c r="AZ59" i="23"/>
  <c r="AZ56" i="23"/>
  <c r="AZ53" i="23"/>
  <c r="AZ50" i="23"/>
  <c r="AZ44" i="23"/>
  <c r="AZ43" i="23"/>
  <c r="AZ42" i="23"/>
  <c r="AZ41" i="23"/>
  <c r="AZ40" i="23"/>
  <c r="AZ37" i="23"/>
  <c r="AZ36" i="23"/>
  <c r="AZ35" i="23"/>
  <c r="AZ76" i="23"/>
  <c r="AZ73" i="23"/>
  <c r="AZ64" i="23"/>
  <c r="AZ34" i="23"/>
  <c r="AZ22" i="23"/>
  <c r="AZ20" i="23"/>
  <c r="AZ13" i="23"/>
  <c r="AZ11" i="23"/>
  <c r="AZ77" i="23"/>
  <c r="AZ74" i="23"/>
  <c r="AZ71" i="23"/>
  <c r="AZ62" i="23"/>
  <c r="AZ21" i="23"/>
  <c r="AZ19" i="23"/>
  <c r="AZ12" i="23"/>
  <c r="AZ26" i="23"/>
  <c r="AZ27" i="23"/>
  <c r="AZ28" i="23"/>
  <c r="AZ29" i="23"/>
  <c r="AZ25" i="23"/>
  <c r="AJ32" i="23"/>
  <c r="AJ17" i="23"/>
  <c r="AJ104" i="23"/>
  <c r="AJ12" i="23"/>
  <c r="AJ11" i="23"/>
  <c r="AJ19" i="23"/>
  <c r="AJ20" i="23"/>
  <c r="AJ21" i="23"/>
  <c r="AJ22" i="23"/>
  <c r="AJ23" i="23"/>
  <c r="AJ34" i="23"/>
  <c r="AJ35" i="23"/>
  <c r="AJ36" i="23"/>
  <c r="AJ37" i="23"/>
  <c r="AJ38" i="23"/>
  <c r="AJ40" i="23"/>
  <c r="AJ41" i="23"/>
  <c r="AJ42" i="23"/>
  <c r="AJ43" i="23"/>
  <c r="AJ44" i="23"/>
  <c r="AJ50" i="23"/>
  <c r="AJ53" i="23"/>
  <c r="AJ56" i="23"/>
  <c r="AJ59" i="23"/>
  <c r="AJ60" i="23"/>
  <c r="AJ13" i="23"/>
  <c r="AJ71" i="23"/>
  <c r="AJ72" i="23"/>
  <c r="AJ73" i="23"/>
  <c r="AJ74" i="23"/>
  <c r="AJ75" i="23"/>
  <c r="AJ76" i="23"/>
  <c r="AJ77" i="23"/>
  <c r="AJ78" i="23"/>
  <c r="AJ79" i="23"/>
  <c r="AJ80" i="23"/>
  <c r="AJ81" i="23"/>
  <c r="AJ82" i="23"/>
  <c r="AJ86" i="23"/>
  <c r="AJ87" i="23"/>
  <c r="AJ88" i="23"/>
  <c r="AJ89" i="23"/>
  <c r="AJ93" i="23"/>
  <c r="AJ94" i="23"/>
  <c r="AJ100" i="23"/>
  <c r="AJ101" i="23"/>
  <c r="AJ63" i="23"/>
  <c r="AJ105" i="23"/>
  <c r="AJ102" i="23"/>
  <c r="AJ103" i="23"/>
  <c r="AJ62" i="23"/>
  <c r="AJ64" i="23"/>
  <c r="AJ26" i="23"/>
  <c r="AJ27" i="23"/>
  <c r="AJ28" i="23"/>
  <c r="AJ29" i="23"/>
  <c r="AJ61" i="23"/>
  <c r="AJ25" i="23"/>
  <c r="AJ10" i="23"/>
  <c r="Z1" i="22"/>
  <c r="AI23" i="33"/>
  <c r="AU23" i="33"/>
  <c r="BA23" i="33"/>
  <c r="AO23" i="33"/>
  <c r="AU23" i="32"/>
  <c r="AC23" i="32"/>
  <c r="AI23" i="32"/>
  <c r="AO23" i="32"/>
  <c r="BA23" i="32"/>
  <c r="W23" i="32"/>
  <c r="BG23" i="33"/>
  <c r="AC23" i="33"/>
  <c r="W23" i="33"/>
  <c r="Q17" i="32"/>
  <c r="Q17" i="33"/>
  <c r="Q22" i="33"/>
  <c r="Q22" i="32"/>
  <c r="UY63" i="16" a="1"/>
  <c r="UY63" i="16" s="1"/>
  <c r="AZ95" i="23" l="1"/>
  <c r="AJ95" i="23"/>
  <c r="AZ14" i="23"/>
  <c r="AZ45" i="23"/>
  <c r="AJ90" i="23"/>
  <c r="AZ30" i="23"/>
  <c r="AZ47" i="23" s="1"/>
  <c r="AJ30" i="23"/>
  <c r="AZ65" i="23"/>
  <c r="AZ83" i="23"/>
  <c r="AJ45" i="23"/>
  <c r="AJ65" i="23"/>
  <c r="AJ83" i="23"/>
  <c r="AJ14" i="23"/>
  <c r="T47" i="22"/>
  <c r="T17" i="22"/>
  <c r="T32" i="22"/>
  <c r="T10" i="22"/>
  <c r="T74" i="22"/>
  <c r="T100" i="22"/>
  <c r="T86" i="22"/>
  <c r="T104" i="22"/>
  <c r="T82" i="22"/>
  <c r="T80" i="22"/>
  <c r="T12" i="22"/>
  <c r="T23" i="22"/>
  <c r="T25" i="22"/>
  <c r="T101" i="22"/>
  <c r="T102" i="22"/>
  <c r="T34" i="22"/>
  <c r="T64" i="22"/>
  <c r="T71" i="22"/>
  <c r="T63" i="22"/>
  <c r="T22" i="22"/>
  <c r="T87" i="22"/>
  <c r="T77" i="22"/>
  <c r="T11" i="22"/>
  <c r="T41" i="22"/>
  <c r="T43" i="22"/>
  <c r="T19" i="22"/>
  <c r="T93" i="22"/>
  <c r="T56" i="22"/>
  <c r="T62" i="22"/>
  <c r="T60" i="22"/>
  <c r="T36" i="22"/>
  <c r="T44" i="22"/>
  <c r="T61" i="22"/>
  <c r="T89" i="22"/>
  <c r="T27" i="22"/>
  <c r="T20" i="22"/>
  <c r="T13" i="22"/>
  <c r="T76" i="22"/>
  <c r="T42" i="22"/>
  <c r="T26" i="22"/>
  <c r="T53" i="22"/>
  <c r="T72" i="22"/>
  <c r="T37" i="22"/>
  <c r="T94" i="22"/>
  <c r="T88" i="22"/>
  <c r="T79" i="22"/>
  <c r="T81" i="22"/>
  <c r="T35" i="22"/>
  <c r="T78" i="22"/>
  <c r="T21" i="22"/>
  <c r="T29" i="22"/>
  <c r="T38" i="22"/>
  <c r="T103" i="22"/>
  <c r="T28" i="22"/>
  <c r="T59" i="22"/>
  <c r="T73" i="22"/>
  <c r="T40" i="22"/>
  <c r="T75" i="22"/>
  <c r="T50" i="22"/>
  <c r="T105" i="22"/>
  <c r="AI22" i="32"/>
  <c r="BA22" i="32"/>
  <c r="AO22" i="32"/>
  <c r="AU22" i="32"/>
  <c r="AC22" i="32"/>
  <c r="W22" i="32"/>
  <c r="UY58" i="16" a="1"/>
  <c r="UY58" i="16" s="1"/>
  <c r="Z1" i="21" s="1"/>
  <c r="H43" i="13"/>
  <c r="UY4" i="16" s="1" a="1"/>
  <c r="UY4" i="16" s="1"/>
  <c r="AU17" i="32"/>
  <c r="AI17" i="32"/>
  <c r="W17" i="32"/>
  <c r="AO17" i="32"/>
  <c r="AC17" i="32"/>
  <c r="Q24" i="32"/>
  <c r="BA17" i="32"/>
  <c r="W17" i="33"/>
  <c r="AO17" i="33"/>
  <c r="AC17" i="33"/>
  <c r="BA17" i="33"/>
  <c r="AI17" i="33"/>
  <c r="Q24" i="33"/>
  <c r="AU17" i="33"/>
  <c r="BG17" i="33"/>
  <c r="AC22" i="33"/>
  <c r="BG22" i="33"/>
  <c r="W22" i="33"/>
  <c r="AO22" i="33"/>
  <c r="BA22" i="33"/>
  <c r="AI22" i="33"/>
  <c r="AU22" i="33"/>
  <c r="AZ67" i="23" l="1"/>
  <c r="AZ97" i="23" s="1"/>
  <c r="AZ106" i="23" s="1"/>
  <c r="AJ47" i="23"/>
  <c r="AJ67" i="23"/>
  <c r="AJ97" i="23" s="1"/>
  <c r="AJ106" i="23" s="1"/>
  <c r="T95" i="22"/>
  <c r="T90" i="22"/>
  <c r="T14" i="22"/>
  <c r="T83" i="22"/>
  <c r="T45" i="22"/>
  <c r="T65" i="22"/>
  <c r="T30" i="22"/>
  <c r="AI24" i="32"/>
  <c r="AO24" i="32"/>
  <c r="AU24" i="32"/>
  <c r="AC24" i="32"/>
  <c r="BA24" i="32"/>
  <c r="W24" i="32"/>
  <c r="BA24" i="33"/>
  <c r="W24" i="33"/>
  <c r="AO24" i="33"/>
  <c r="AU24" i="33"/>
  <c r="AI24" i="33"/>
  <c r="T35" i="21"/>
  <c r="T53" i="21"/>
  <c r="T11" i="21"/>
  <c r="T60" i="21"/>
  <c r="T61" i="21"/>
  <c r="T75" i="21"/>
  <c r="T17" i="21"/>
  <c r="T88" i="21"/>
  <c r="T26" i="21"/>
  <c r="T63" i="21"/>
  <c r="T104" i="21"/>
  <c r="T36" i="21"/>
  <c r="T22" i="21"/>
  <c r="T32" i="21"/>
  <c r="T82" i="21"/>
  <c r="T81" i="21"/>
  <c r="T43" i="21"/>
  <c r="T78" i="21"/>
  <c r="T21" i="21"/>
  <c r="T41" i="21"/>
  <c r="T19" i="21"/>
  <c r="T72" i="21"/>
  <c r="T73" i="21"/>
  <c r="T37" i="21"/>
  <c r="T56" i="21"/>
  <c r="T105" i="21"/>
  <c r="T50" i="21"/>
  <c r="T27" i="21"/>
  <c r="T28" i="21"/>
  <c r="T40" i="21"/>
  <c r="T29" i="21"/>
  <c r="T79" i="21"/>
  <c r="T44" i="21"/>
  <c r="T103" i="21"/>
  <c r="T42" i="21"/>
  <c r="T76" i="21"/>
  <c r="T12" i="21"/>
  <c r="T13" i="21"/>
  <c r="T74" i="21"/>
  <c r="T25" i="21"/>
  <c r="T34" i="21"/>
  <c r="T80" i="21"/>
  <c r="T89" i="21"/>
  <c r="T77" i="21"/>
  <c r="T87" i="21"/>
  <c r="T20" i="21"/>
  <c r="T64" i="21"/>
  <c r="T62" i="21"/>
  <c r="T101" i="21"/>
  <c r="T86" i="21"/>
  <c r="T100" i="21"/>
  <c r="T94" i="21"/>
  <c r="T102" i="21"/>
  <c r="T10" i="21"/>
  <c r="T23" i="21"/>
  <c r="T93" i="21"/>
  <c r="T38" i="21"/>
  <c r="T59" i="21"/>
  <c r="T71" i="21"/>
  <c r="AC24" i="33"/>
  <c r="BG24" i="33"/>
  <c r="T67" i="22" l="1"/>
  <c r="T97" i="22" s="1"/>
  <c r="T106" i="22" s="1"/>
  <c r="T95" i="21"/>
  <c r="T45" i="21"/>
  <c r="T30" i="21"/>
  <c r="T14" i="21"/>
  <c r="T65" i="21"/>
  <c r="T83" i="21"/>
  <c r="T47" i="21" l="1"/>
  <c r="T67" i="21"/>
  <c r="T97" i="21" s="1"/>
  <c r="T106"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<sst xmlns="http://schemas.openxmlformats.org/spreadsheetml/2006/main" count="3393" uniqueCount="1314">
  <si>
    <t>Institution Name</t>
  </si>
  <si>
    <t>The University of Texas of the Permian Basin</t>
  </si>
  <si>
    <t>The University of Texas at San Antonio</t>
  </si>
  <si>
    <t>The University of Texas at Tyler</t>
  </si>
  <si>
    <t>Texas A&amp;M University</t>
  </si>
  <si>
    <t>Texas A&amp;M University at Galveston</t>
  </si>
  <si>
    <t>Prairie View A&amp;M University</t>
  </si>
  <si>
    <t>Tarleton State University</t>
  </si>
  <si>
    <t>Texas A&amp;M University - Corpus Christi</t>
  </si>
  <si>
    <t>Texas A&amp;M University - Kingsville</t>
  </si>
  <si>
    <t>Texas A&amp;M International University</t>
  </si>
  <si>
    <t>West Texas A&amp;M University</t>
  </si>
  <si>
    <t>East Texas A&amp;M University</t>
  </si>
  <si>
    <t>Texas A&amp;M University - Texarkana</t>
  </si>
  <si>
    <t>Texas A&amp;M University - Central Texas</t>
  </si>
  <si>
    <t>Texas A&amp;M University - San Antonio</t>
  </si>
  <si>
    <t>University of Houston (A+H)</t>
  </si>
  <si>
    <t>University of Houston - Clear Lake</t>
  </si>
  <si>
    <t>University of Houston - Downtown</t>
  </si>
  <si>
    <t>University of Houston - Victoria</t>
  </si>
  <si>
    <t>Lamar University</t>
  </si>
  <si>
    <t>Sam Houston State University (A+H)</t>
  </si>
  <si>
    <t>Sul Ross State University</t>
  </si>
  <si>
    <t>Texas Tech University</t>
  </si>
  <si>
    <t>Angelo State University</t>
  </si>
  <si>
    <t>University of North Texas at Dallas</t>
  </si>
  <si>
    <t>Midwestern State University</t>
  </si>
  <si>
    <t>Stephen F. Austin State University</t>
  </si>
  <si>
    <t>The University of Texas Southwestern Medical Center</t>
  </si>
  <si>
    <t>The University of Texas at Arlington</t>
  </si>
  <si>
    <t>The University of Texas Medical Branch at Galveston</t>
  </si>
  <si>
    <t>The University of Texas Health Science Center at Houston</t>
  </si>
  <si>
    <t>The University of Texas Health Science Center at San Antonio</t>
  </si>
  <si>
    <t>The University of Texas M.D. Anderson Cancer Center</t>
  </si>
  <si>
    <t>The University of Texas Health Science Center at Tyler</t>
  </si>
  <si>
    <t>University of North Texas Health Science Center at Fort Worth</t>
  </si>
  <si>
    <t>Texas Tech University Health Sciences Center</t>
  </si>
  <si>
    <t>Texas Tech University Health Sciences Center at El Paso</t>
  </si>
  <si>
    <t>Lamar Institute of Technology</t>
  </si>
  <si>
    <t>Lamar State College - Orange</t>
  </si>
  <si>
    <t>The University of Texas at Austin (A+H)</t>
  </si>
  <si>
    <t>The University of Texas at Austin (M)</t>
  </si>
  <si>
    <t>Lamar State College - Port Arthur</t>
  </si>
  <si>
    <t>Texas State Technical College - Harlingen</t>
  </si>
  <si>
    <t>University of Houston (M)</t>
  </si>
  <si>
    <t>Sam Houston State University (M)</t>
  </si>
  <si>
    <t>Texas State Technical College - West Texas</t>
  </si>
  <si>
    <t>Texas State Technical College - Marshall</t>
  </si>
  <si>
    <t>Texas State Technical College - Waco</t>
  </si>
  <si>
    <t>Texas State Technical College - North Texas</t>
  </si>
  <si>
    <t>Texas State Technical College - Fort Bend</t>
  </si>
  <si>
    <t>System</t>
  </si>
  <si>
    <t>The University of Texas at Dallas</t>
  </si>
  <si>
    <t>Texas A&amp;M AgriLife Research</t>
  </si>
  <si>
    <t>Texas A&amp;M Engineering Experiment Station</t>
  </si>
  <si>
    <t>The University of Texas at El Paso</t>
  </si>
  <si>
    <t>Type</t>
  </si>
  <si>
    <t>Sort</t>
  </si>
  <si>
    <t>Status</t>
  </si>
  <si>
    <t>FICE</t>
  </si>
  <si>
    <t>Texas A&amp;M University System Health Science Center</t>
  </si>
  <si>
    <t>Texas State University</t>
  </si>
  <si>
    <t>University of North Texas</t>
  </si>
  <si>
    <t>Texas Southern University</t>
  </si>
  <si>
    <t>Texas Woman's University</t>
  </si>
  <si>
    <t>State of Texas</t>
  </si>
  <si>
    <t>Institutional</t>
  </si>
  <si>
    <t>Total</t>
  </si>
  <si>
    <t>For the Year Ended August 31, 2025</t>
  </si>
  <si>
    <t>mcmahan_c@utpb.edu</t>
  </si>
  <si>
    <t>bgolemon@uttyler.edu</t>
  </si>
  <si>
    <t>nhranicky@tamus.edu</t>
  </si>
  <si>
    <t>samantha.padilla@tamuk.edu</t>
  </si>
  <si>
    <t>University of Houston (A+H+M)</t>
  </si>
  <si>
    <t>fbaker@central.uh.edu</t>
  </si>
  <si>
    <t>nguyent@uhd.edu</t>
  </si>
  <si>
    <t>nelsonj@tamuv.edu</t>
  </si>
  <si>
    <t>simsss@lamar.edu</t>
  </si>
  <si>
    <t>Sam Houston State University (A+H+M)</t>
  </si>
  <si>
    <t>jlj093@shshu.ed</t>
  </si>
  <si>
    <t>jlj093@shsu.edu</t>
  </si>
  <si>
    <t>lori.eppler@ttu.edu</t>
  </si>
  <si>
    <t>gina.councilman@angelo.edu</t>
  </si>
  <si>
    <t>anna.daugherty@msutexas.edu</t>
  </si>
  <si>
    <t>rochaka@sfasu.edu</t>
  </si>
  <si>
    <t>debra.johnson@uta.edu</t>
  </si>
  <si>
    <t>joatucke@utmb.edu</t>
  </si>
  <si>
    <t>liy2@uthscsa.edu</t>
  </si>
  <si>
    <t>mdavila7@mdanderson.org</t>
  </si>
  <si>
    <t>julie.meisinger@unthealth.edu</t>
  </si>
  <si>
    <t>cblessin@ttuhsc.edu</t>
  </si>
  <si>
    <t>aaplacette@lit.edu</t>
  </si>
  <si>
    <t>The University of Texas at Austin (A+H+M)</t>
  </si>
  <si>
    <t>jared.ensign@austin.utexas.edu</t>
  </si>
  <si>
    <t>steven.lerma@utrgv.edu</t>
  </si>
  <si>
    <t>newsomes@lamarpa.edu</t>
  </si>
  <si>
    <t>christopher.greenwood@tstc.edu</t>
  </si>
  <si>
    <t>cxm133830@utdallas.edu</t>
  </si>
  <si>
    <t>Texas A&amp;M AgriLife Extension Service</t>
  </si>
  <si>
    <t>Texas A&amp;M Engineering Extension Service</t>
  </si>
  <si>
    <t>Texas A&amp;M Forest Service</t>
  </si>
  <si>
    <t>Texas A&amp;M Transportation Institute</t>
  </si>
  <si>
    <t>Texas A&amp;M Vet. Medical Diagnostic Laboratory</t>
  </si>
  <si>
    <t>Texas Division of Emergency Management</t>
  </si>
  <si>
    <t>Texas A&amp;M System Shared Services Center</t>
  </si>
  <si>
    <t>drdominguez@utep.edu</t>
  </si>
  <si>
    <t>N/A</t>
  </si>
  <si>
    <t>Institution Type</t>
  </si>
  <si>
    <t>Texas Public Universities</t>
  </si>
  <si>
    <t>TTU</t>
  </si>
  <si>
    <t>UNIV</t>
  </si>
  <si>
    <t>TAMUS</t>
  </si>
  <si>
    <t>Lamar State Colleges</t>
  </si>
  <si>
    <t>LSC</t>
  </si>
  <si>
    <t>TXST</t>
  </si>
  <si>
    <t>AHM</t>
  </si>
  <si>
    <t>Health - Related Institutions</t>
  </si>
  <si>
    <t>HRI</t>
  </si>
  <si>
    <t>UTS</t>
  </si>
  <si>
    <t>Agency</t>
  </si>
  <si>
    <t>SYS</t>
  </si>
  <si>
    <t>TSTC</t>
  </si>
  <si>
    <t>UHS</t>
  </si>
  <si>
    <t>UNT</t>
  </si>
  <si>
    <t>TAMU</t>
  </si>
  <si>
    <t>P00031</t>
  </si>
  <si>
    <t>P00032</t>
  </si>
  <si>
    <t>P00030</t>
  </si>
  <si>
    <t>P00033</t>
  </si>
  <si>
    <t>P00034</t>
  </si>
  <si>
    <t>Lamar State Colleges and Texas State Technical Colleges</t>
  </si>
  <si>
    <t>Texas Public Universities with Medical Schools</t>
  </si>
  <si>
    <t>Final</t>
  </si>
  <si>
    <t>Returned</t>
  </si>
  <si>
    <t>Revised</t>
  </si>
  <si>
    <t>Research (System)</t>
  </si>
  <si>
    <t>State Colleges</t>
  </si>
  <si>
    <t>Texas A&amp;M Universities</t>
  </si>
  <si>
    <t>System, Universities, &amp; Health-Related Institutions</t>
  </si>
  <si>
    <t>Texas State Universities</t>
  </si>
  <si>
    <t>Texas State Technical Colleges</t>
  </si>
  <si>
    <t>System and State Technical Colleges</t>
  </si>
  <si>
    <t>Texas Tech Universities</t>
  </si>
  <si>
    <t>University of Houston</t>
  </si>
  <si>
    <t>University of Texas</t>
  </si>
  <si>
    <t>Research (Institution Type)</t>
  </si>
  <si>
    <t>Texas Public University</t>
  </si>
  <si>
    <t>Universities (36)</t>
  </si>
  <si>
    <t>Health - Related Institution</t>
  </si>
  <si>
    <t>Health - Related Institutions (14)</t>
  </si>
  <si>
    <t>Lamar State College</t>
  </si>
  <si>
    <t>State Colleges (3)</t>
  </si>
  <si>
    <t>Texas State Technical</t>
  </si>
  <si>
    <t>State Technical Colleges (6)</t>
  </si>
  <si>
    <t>Texas A&amp;M Agencies</t>
  </si>
  <si>
    <t>Texas A&amp;M Agencies (only)</t>
  </si>
  <si>
    <t>Research (Peer Groups)</t>
  </si>
  <si>
    <t>Emerging Research University</t>
  </si>
  <si>
    <t>Research University</t>
  </si>
  <si>
    <t>Doctoral</t>
  </si>
  <si>
    <t>Masters</t>
  </si>
  <si>
    <t>Comprehensive</t>
  </si>
  <si>
    <t>General academic teaching institutions, with a health-related institution, that submit a singular annual financial report, will display the institutions' (A+H) Research Expenditure Survey data.  Institutions' (A+H+M) survey data is excluded to avoid duplicate figures.</t>
  </si>
  <si>
    <t>General academic teaching institutions, with a health-related institution, that submit a singular annual financial report, will display the institutions' (M) Research Expenditure Survey data.  Institutions' (A+H+M) survey data is excluded to avoid duplicate figures.</t>
  </si>
  <si>
    <t>The University of Texas Rio Grande Valley (A+H)</t>
  </si>
  <si>
    <t>The University of Texas Rio Grande Valley (M)</t>
  </si>
  <si>
    <t>The University of Texas Rio Grande Valley (A+H+M)</t>
  </si>
  <si>
    <t>Texas A&amp;M University System Administration</t>
  </si>
  <si>
    <t>The University of Texas System Administration</t>
  </si>
  <si>
    <t>University of Houston System Administration</t>
  </si>
  <si>
    <t>Texas Tech University System Administration</t>
  </si>
  <si>
    <t>University of North Texas System Administration</t>
  </si>
  <si>
    <t>Texas State University System</t>
  </si>
  <si>
    <t>Texas State Technical College System Administration</t>
  </si>
  <si>
    <t>System Administration</t>
  </si>
  <si>
    <t>St. Ap. E &amp; G</t>
  </si>
  <si>
    <t>St. Ap. Desg</t>
  </si>
  <si>
    <t>St. Ap. Aux</t>
  </si>
  <si>
    <t>St. Ap. R Exp</t>
  </si>
  <si>
    <t>St. Ap. Loan</t>
  </si>
  <si>
    <t>St. Ap. Annuity</t>
  </si>
  <si>
    <t>St. Ap. Unexp</t>
  </si>
  <si>
    <t>St. Ap. R of Ind</t>
  </si>
  <si>
    <t>St. Ap. Inv in P</t>
  </si>
  <si>
    <t>St. C&amp;G E&amp;G</t>
  </si>
  <si>
    <t>St. C&amp;G Desg</t>
  </si>
  <si>
    <t>St. C&amp;G Aux</t>
  </si>
  <si>
    <t>St. C&amp;G R Exp</t>
  </si>
  <si>
    <t>St. C&amp;G Loan</t>
  </si>
  <si>
    <t>St. C&amp;G Annuity</t>
  </si>
  <si>
    <t>St. C&amp;G Unexp</t>
  </si>
  <si>
    <t>St. C&amp;G R of Ind</t>
  </si>
  <si>
    <t>St. C&amp;G Inv in P</t>
  </si>
  <si>
    <t>HEF E&amp;G</t>
  </si>
  <si>
    <t>HEF Desg</t>
  </si>
  <si>
    <t>HEF Aux</t>
  </si>
  <si>
    <t>HEF R Exp</t>
  </si>
  <si>
    <t>HEF Loan</t>
  </si>
  <si>
    <t>HEF Annuity</t>
  </si>
  <si>
    <t>HEF Unexp</t>
  </si>
  <si>
    <t>HEF R of Ind</t>
  </si>
  <si>
    <t>HEF Inv in P</t>
  </si>
  <si>
    <t>Available E&amp;G</t>
  </si>
  <si>
    <t>Available Desg</t>
  </si>
  <si>
    <t>Available Aux</t>
  </si>
  <si>
    <t>Available R Exp</t>
  </si>
  <si>
    <t>Available Loan</t>
  </si>
  <si>
    <t>Available Annuity</t>
  </si>
  <si>
    <t>Available Unexp</t>
  </si>
  <si>
    <t>Available R of Ind</t>
  </si>
  <si>
    <t>Available Inv in P</t>
  </si>
  <si>
    <t>T. W. - Stat (NR AFR) E&amp;G</t>
  </si>
  <si>
    <t>T. W. - Stat (NR AFR) Desg</t>
  </si>
  <si>
    <t>T. W. - Stat (NR AFR) Aux</t>
  </si>
  <si>
    <t>T. W. - Stat (NR AFR) R Exp</t>
  </si>
  <si>
    <t>T. W. - Stat (NR AFR) Loan</t>
  </si>
  <si>
    <t>T. W. - Stat (NR AFR) Annuity</t>
  </si>
  <si>
    <t>T. W. - Stat (NR AFR) Unexp</t>
  </si>
  <si>
    <t>T. W. - Stat (NR AFR) R of Ind</t>
  </si>
  <si>
    <t>T. W. - Stat (NR AFR) Inv in P</t>
  </si>
  <si>
    <t>T. W. - Inst. (NR AFR) E&amp;G</t>
  </si>
  <si>
    <t>T. W. - Inst. (NR AFR) Desg</t>
  </si>
  <si>
    <t>T. W. - Inst. (NR AFR) Aux</t>
  </si>
  <si>
    <t>T. W. - Inst. (NR AFR) R Exp</t>
  </si>
  <si>
    <t>T. W. - Inst. (NR AFR) Loan</t>
  </si>
  <si>
    <t>T. W. - Inst. (NR AFR) Annuity</t>
  </si>
  <si>
    <t>T. W. - Inst. (NR AFR) Unexp</t>
  </si>
  <si>
    <t>T. W. - Inst. (NR AFR) R of Ind</t>
  </si>
  <si>
    <t>T. W. - Inst. (NR AFR) Inv in P</t>
  </si>
  <si>
    <t>T. Exp. - Stat (NR AFR) E&amp;G</t>
  </si>
  <si>
    <t>T. Exp. - Stat (NR AFR) Desg</t>
  </si>
  <si>
    <t>T. Exp. - Stat (NR AFR) Aux</t>
  </si>
  <si>
    <t>T. Exp. - Stat (NR AFR) R Exp</t>
  </si>
  <si>
    <t>T. Exp. - Stat (NR AFR) Loan</t>
  </si>
  <si>
    <t>T. Exp. - Stat (NR AFR) Annuity</t>
  </si>
  <si>
    <t>T. Exp. - Stat (NR AFR) Unexp</t>
  </si>
  <si>
    <t>T. Exp. - Stat (NR AFR) R of Ind</t>
  </si>
  <si>
    <t>T. Exp. - Stat (NR AFR) Inv in P</t>
  </si>
  <si>
    <t>T. Exp. - Inst. (NR AFR) E&amp;G</t>
  </si>
  <si>
    <t>T. Exp. - Inst. (NR AFR) Desg</t>
  </si>
  <si>
    <t>T. Exp. - Inst. (NR AFR) Aux</t>
  </si>
  <si>
    <t>T. Exp. - Inst. (NR AFR) R Exp</t>
  </si>
  <si>
    <t>T. Exp. - Inst. (NR AFR) Loan</t>
  </si>
  <si>
    <t>T. Exp. - Inst. (NR AFR) Annuity</t>
  </si>
  <si>
    <t>T. Exp. - Inst. (NR AFR) Unexp</t>
  </si>
  <si>
    <t>T. Exp. - Inst. (NR AFR) R of Ind</t>
  </si>
  <si>
    <t>T. Exp. - Inst. (NR AFR) Inv in P</t>
  </si>
  <si>
    <t>T. - Gross E&amp;G</t>
  </si>
  <si>
    <t>T. - Gross Desg</t>
  </si>
  <si>
    <t>T. - Gross Aux</t>
  </si>
  <si>
    <t>T. - Gross R Exp</t>
  </si>
  <si>
    <t>T. - Gross Loan</t>
  </si>
  <si>
    <t>T. - Gross Annuity</t>
  </si>
  <si>
    <t>T. - Gross Unexp</t>
  </si>
  <si>
    <t>T. - Gross R of Ind</t>
  </si>
  <si>
    <t>T. - Gross Inv in P</t>
  </si>
  <si>
    <t>T. W. - Stat (R AFR) E&amp;G</t>
  </si>
  <si>
    <t>T. W. - Stat (R AFR) Desg</t>
  </si>
  <si>
    <t>T. W. - Stat (R AFR) Aux</t>
  </si>
  <si>
    <t>T. W. - Stat (R AFR) R Exp</t>
  </si>
  <si>
    <t>T. W. - Stat (R AFR) Loan</t>
  </si>
  <si>
    <t>T. W. - Stat (R AFR) Annuity</t>
  </si>
  <si>
    <t>T. W. - Stat (R AFR) Unexp</t>
  </si>
  <si>
    <t>T. W. - Stat (R AFR) R of Ind</t>
  </si>
  <si>
    <t>T. W. - Stat (R AFR) Inv in P</t>
  </si>
  <si>
    <t>T. W. - Inst. (R AFR) E&amp;G</t>
  </si>
  <si>
    <t>T. W. - Inst. (R AFR) Desg</t>
  </si>
  <si>
    <t>T. W. - Inst. (R AFR) Aux</t>
  </si>
  <si>
    <t>T. W. - Inst. (R AFR) R Exp</t>
  </si>
  <si>
    <t>T. W. - Inst. (R AFR) Loan</t>
  </si>
  <si>
    <t>T. W. - Inst. (R AFR) Annuity</t>
  </si>
  <si>
    <t>T. W. - Inst. (R AFR) Unexp</t>
  </si>
  <si>
    <t>T. W. - Inst. (R AFR) R of Ind</t>
  </si>
  <si>
    <t>T. W. - Inst. (R AFR) Inv in P</t>
  </si>
  <si>
    <t>T. Exp. - Stat (R AFR) E&amp;G</t>
  </si>
  <si>
    <t>T. Exp. - Stat (R AFR) Desg</t>
  </si>
  <si>
    <t>T. Exp. - Stat (R AFR) Aux</t>
  </si>
  <si>
    <t>T. Exp. - Stat (R AFR) R Exp</t>
  </si>
  <si>
    <t>T. Exp. - Stat (R AFR) Loan</t>
  </si>
  <si>
    <t>T. Exp. - Stat (R AFR) Annuity</t>
  </si>
  <si>
    <t>T. Exp. - Stat (R AFR) Unexp</t>
  </si>
  <si>
    <t>T. Exp. - Stat (R AFR) R of Ind</t>
  </si>
  <si>
    <t>T. Exp. - Stat (R AFR) Inv in P</t>
  </si>
  <si>
    <t>T. Exp. - Inst. (R AFR) E&amp;G</t>
  </si>
  <si>
    <t>T. Exp. - Inst. (R AFR) Desg</t>
  </si>
  <si>
    <t>T. Exp. - Inst. (R AFR) Aux</t>
  </si>
  <si>
    <t>T. Exp. - Inst. (R AFR) R Exp</t>
  </si>
  <si>
    <t>T. Exp. - Inst. (R AFR) Loan</t>
  </si>
  <si>
    <t>T. Exp. - Inst. (R AFR) Annuity</t>
  </si>
  <si>
    <t>T. Exp. - Inst. (R AFR) Unexp</t>
  </si>
  <si>
    <t>T. Exp. - Inst. (R AFR) R of Ind</t>
  </si>
  <si>
    <t>T. Exp. - Inst. (R AFR) Inv in P</t>
  </si>
  <si>
    <t>T. Schlr E&amp;G</t>
  </si>
  <si>
    <t>T. Schlr Desg</t>
  </si>
  <si>
    <t>T. Schlr Aux</t>
  </si>
  <si>
    <t>T. Schlr R Exp</t>
  </si>
  <si>
    <t>T. Schlr Loan</t>
  </si>
  <si>
    <t>T. Schlr Annuity</t>
  </si>
  <si>
    <t>T. Schlr Unexp</t>
  </si>
  <si>
    <t>T. Schlr R of Ind</t>
  </si>
  <si>
    <t>T. Schlr Inv in P</t>
  </si>
  <si>
    <t>F. W. - Stat (NR AFR) E&amp;G</t>
  </si>
  <si>
    <t>F. W. - Stat (NR AFR) Desg</t>
  </si>
  <si>
    <t>F. W. - Stat (NR AFR) Aux</t>
  </si>
  <si>
    <t>F. W. - Stat (NR AFR) R Exp</t>
  </si>
  <si>
    <t>F. W. - Stat (NR AFR) Loan</t>
  </si>
  <si>
    <t>F. W. - Stat (NR AFR) Annuity</t>
  </si>
  <si>
    <t>F. W. - Stat (NR AFR) Unexp</t>
  </si>
  <si>
    <t>F. W. - Stat (NR AFR) R of Ind</t>
  </si>
  <si>
    <t>F. W. - Stat (NR AFR) Inv in P</t>
  </si>
  <si>
    <t>F. W. - Inst. (NR AFR) E&amp;G</t>
  </si>
  <si>
    <t>F. W. - Inst. (NR AFR) Desg</t>
  </si>
  <si>
    <t>F. W. - Inst. (NR AFR) Aux</t>
  </si>
  <si>
    <t>F. W. - Inst. (NR AFR) R Exp</t>
  </si>
  <si>
    <t>F. W. - Inst. (NR AFR) Loan</t>
  </si>
  <si>
    <t>F. W. - Inst. (NR AFR) Annuity</t>
  </si>
  <si>
    <t>F. W. - Inst. (NR AFR) Unexp</t>
  </si>
  <si>
    <t>F. W. - Inst. (NR AFR) R of Ind</t>
  </si>
  <si>
    <t>F. W. - Inst. (NR AFR) Inv in P</t>
  </si>
  <si>
    <t>F. Exp. - Stat (NR AFR) E&amp;G</t>
  </si>
  <si>
    <t>F. Exp. - Stat (NR AFR) Desg</t>
  </si>
  <si>
    <t>F. Exp. - Stat (NR AFR) Aux</t>
  </si>
  <si>
    <t>F. Exp. - Stat (NR AFR) R Exp</t>
  </si>
  <si>
    <t>F. Exp. - Stat (NR AFR) Loan</t>
  </si>
  <si>
    <t>F. Exp. - Stat (NR AFR) Annuity</t>
  </si>
  <si>
    <t>F. Exp. - Stat (NR AFR) Unexp</t>
  </si>
  <si>
    <t>F. Exp. - Stat (NR AFR) R of Ind</t>
  </si>
  <si>
    <t>F. Exp. - Stat (NR AFR) Inv in P</t>
  </si>
  <si>
    <t>F. Exp. - Inst. (NR AFR) E&amp;G</t>
  </si>
  <si>
    <t>F. Exp. - Inst. (NR AFR) Desg</t>
  </si>
  <si>
    <t>F. Exp. - Inst. (NR AFR) Aux</t>
  </si>
  <si>
    <t>F. Exp. - Inst. (NR AFR) R Exp</t>
  </si>
  <si>
    <t>F. Exp. - Inst. (NR AFR) Loan</t>
  </si>
  <si>
    <t>F. Exp. - Inst. (NR AFR) Annuity</t>
  </si>
  <si>
    <t>F. Exp. - Inst. (NR AFR) Unexp</t>
  </si>
  <si>
    <t>F. Exp. - Inst. (NR AFR) R of Ind</t>
  </si>
  <si>
    <t>F. Exp. - Inst. (NR AFR) Inv in P</t>
  </si>
  <si>
    <t>Fees - Gross E&amp;G</t>
  </si>
  <si>
    <t>Fees - Gross Desg</t>
  </si>
  <si>
    <t>Fees - Gross Aux</t>
  </si>
  <si>
    <t>Fees - Gross R Exp</t>
  </si>
  <si>
    <t>Fees - Gross Loan</t>
  </si>
  <si>
    <t>Fees - Gross Annuity</t>
  </si>
  <si>
    <t>Fees - Gross Unexp</t>
  </si>
  <si>
    <t>Fees - Gross R of Ind</t>
  </si>
  <si>
    <t>Fees - Gross Inv in P</t>
  </si>
  <si>
    <t>F. W. - Stat (R AFR) E&amp;G</t>
  </si>
  <si>
    <t>F. W. - Stat (R AFR) Desg</t>
  </si>
  <si>
    <t>F. W. - Stat (R AFR) Aux</t>
  </si>
  <si>
    <t>F. W. - Stat (R AFR) R Exp</t>
  </si>
  <si>
    <t>F. W. - Stat (R AFR) Loan</t>
  </si>
  <si>
    <t>F. W. - Stat (R AFR) Annuity</t>
  </si>
  <si>
    <t>F. W. - Stat (R AFR) Unexp</t>
  </si>
  <si>
    <t>F. W. - Stat (R AFR) R of Ind</t>
  </si>
  <si>
    <t>F. W. - Stat (R AFR) Inv in P</t>
  </si>
  <si>
    <t>F. W. - Inst. (R AFR) E&amp;G</t>
  </si>
  <si>
    <t>F. W. - Inst. (R AFR) Desg</t>
  </si>
  <si>
    <t>F. W. - Inst. (R AFR) Aux</t>
  </si>
  <si>
    <t>F. W. - Inst. (R AFR) R Exp</t>
  </si>
  <si>
    <t>F. W. - Inst. (R AFR) Loan</t>
  </si>
  <si>
    <t>F. W. - Inst. (R AFR) Annuity</t>
  </si>
  <si>
    <t>F. W. - Inst. (R AFR) Unexp</t>
  </si>
  <si>
    <t>F. W. - Inst. (R AFR) R of Ind</t>
  </si>
  <si>
    <t>F. W. - Inst. (R AFR) Inv in P</t>
  </si>
  <si>
    <t>F. Exp. - Stat (R AFR) E&amp;G</t>
  </si>
  <si>
    <t>F. Exp. - Stat (R AFR) Desg</t>
  </si>
  <si>
    <t>F. Exp. - Stat (R AFR) Aux</t>
  </si>
  <si>
    <t>F. Exp. - Stat (R AFR) R Exp</t>
  </si>
  <si>
    <t>F. Exp. - Stat (R AFR) Loan</t>
  </si>
  <si>
    <t>F. Exp. - Stat (R AFR) Annuity</t>
  </si>
  <si>
    <t>F. Exp. - Stat (R AFR) Unexp</t>
  </si>
  <si>
    <t>F. Exp. - Stat (R AFR) R of Ind</t>
  </si>
  <si>
    <t>F. Exp. - Stat (R AFR) Inv in P</t>
  </si>
  <si>
    <t>F. Exp. - Inst. (R AFR) E&amp;G</t>
  </si>
  <si>
    <t>F. Exp. - Inst. (R AFR) Desg</t>
  </si>
  <si>
    <t>F. Exp. - Inst. (R AFR) Aux</t>
  </si>
  <si>
    <t>F. Exp. - Inst. (R AFR) R Exp</t>
  </si>
  <si>
    <t>F. Exp. - Inst. (R AFR) Loan</t>
  </si>
  <si>
    <t>F. Exp. - Inst. (R AFR) Annuity</t>
  </si>
  <si>
    <t>F. Exp. - Inst. (R AFR) Unexp</t>
  </si>
  <si>
    <t>F. Exp. - Inst. (R AFR) R of Ind</t>
  </si>
  <si>
    <t>F. Exp. - Inst. (R AFR) Inv in P</t>
  </si>
  <si>
    <t>Fee Schlr E&amp;G</t>
  </si>
  <si>
    <t>Fee Schlr Desg</t>
  </si>
  <si>
    <t>Fee Schlr Aux</t>
  </si>
  <si>
    <t>Fee Schlr R Exp</t>
  </si>
  <si>
    <t>Fee Schlr Loan</t>
  </si>
  <si>
    <t>Fee Schlr Annuity</t>
  </si>
  <si>
    <t>Fee Schlr Unexp</t>
  </si>
  <si>
    <t>Fee Schlr R of Ind</t>
  </si>
  <si>
    <t>Fee Schlr Inv in P</t>
  </si>
  <si>
    <t>Fed G&amp;C E&amp;G</t>
  </si>
  <si>
    <t>Fed G&amp;C Desg</t>
  </si>
  <si>
    <t>Fed G&amp;C Aux</t>
  </si>
  <si>
    <t>Fed G&amp;C R Exp</t>
  </si>
  <si>
    <t>Fed G&amp;C Loan</t>
  </si>
  <si>
    <t>Fed G&amp;C Annuity</t>
  </si>
  <si>
    <t>Fed G&amp;C Unexp</t>
  </si>
  <si>
    <t>Fed G&amp;C R of Ind</t>
  </si>
  <si>
    <t>Fed G&amp;C Inv in P</t>
  </si>
  <si>
    <t>Prof Fees E&amp;G</t>
  </si>
  <si>
    <t>Prof Fees Desg</t>
  </si>
  <si>
    <t>Prof Fees Aux</t>
  </si>
  <si>
    <t>Prof Fees R Exp</t>
  </si>
  <si>
    <t>Prof Fees Loan</t>
  </si>
  <si>
    <t>Prof Fees Annuity</t>
  </si>
  <si>
    <t>Prof Fees Unexp</t>
  </si>
  <si>
    <t>Prof Fees R of Ind</t>
  </si>
  <si>
    <t>Prof Fees Inv in P</t>
  </si>
  <si>
    <t>H&amp;C E&amp;G</t>
  </si>
  <si>
    <t>H&amp;C Desg</t>
  </si>
  <si>
    <t>H&amp;C Aux</t>
  </si>
  <si>
    <t>H&amp;C R Exp</t>
  </si>
  <si>
    <t>H&amp;C Loan</t>
  </si>
  <si>
    <t>H&amp;C Annuity</t>
  </si>
  <si>
    <t>H&amp;C Unexp</t>
  </si>
  <si>
    <t>H&amp;C R of Ind</t>
  </si>
  <si>
    <t>H&amp;C Inv in P</t>
  </si>
  <si>
    <t>End &amp; Int Inc E&amp;G</t>
  </si>
  <si>
    <t>End &amp; Int Inc Desg</t>
  </si>
  <si>
    <t>End &amp; Int Inc Aux</t>
  </si>
  <si>
    <t>End &amp; Int Inc R Exp</t>
  </si>
  <si>
    <t>End &amp; Int Inc Loan</t>
  </si>
  <si>
    <t>End &amp; Int Inc Annuity</t>
  </si>
  <si>
    <t>End &amp; Int Inc Unexp</t>
  </si>
  <si>
    <t>End &amp; Int Inc R of Ind</t>
  </si>
  <si>
    <t>End &amp; Int Inc Inv in P</t>
  </si>
  <si>
    <t>Loc Gov G E&amp;G</t>
  </si>
  <si>
    <t>Loc Gov G Desg</t>
  </si>
  <si>
    <t>Loc Gov G Aux</t>
  </si>
  <si>
    <t>Loc Gov G R Exp</t>
  </si>
  <si>
    <t>Loc Gov G Loan</t>
  </si>
  <si>
    <t>Loc Gov G Annuity</t>
  </si>
  <si>
    <t>Loc Gov G Unexp</t>
  </si>
  <si>
    <t>Loc Gov G R of Ind</t>
  </si>
  <si>
    <t>Loc Gov G Inv in P</t>
  </si>
  <si>
    <t>Pvt G&amp;G E&amp;G</t>
  </si>
  <si>
    <t>Pvt G&amp;G Desg</t>
  </si>
  <si>
    <t>Pvt G&amp;G Aux</t>
  </si>
  <si>
    <t>Pvt G&amp;G R Exp</t>
  </si>
  <si>
    <t>Pvt G&amp;G Loan</t>
  </si>
  <si>
    <t>Pvt G&amp;G Annuity</t>
  </si>
  <si>
    <t>Pvt G&amp;G Unexp</t>
  </si>
  <si>
    <t>Pvt G&amp;G R of Ind</t>
  </si>
  <si>
    <t>Pvt G&amp;G Inv in P</t>
  </si>
  <si>
    <t>S&amp;S E&amp;G</t>
  </si>
  <si>
    <t>S&amp;S Desg</t>
  </si>
  <si>
    <t>S&amp;S Aux</t>
  </si>
  <si>
    <t>S&amp;S R Exp</t>
  </si>
  <si>
    <t>S&amp;S Loan</t>
  </si>
  <si>
    <t>S&amp;S Annuity</t>
  </si>
  <si>
    <t>S&amp;S Unexp</t>
  </si>
  <si>
    <t>S&amp;S R of Ind</t>
  </si>
  <si>
    <t>S&amp;S Inv in P</t>
  </si>
  <si>
    <t>Net Aux Ent E&amp;G</t>
  </si>
  <si>
    <t>Net Aux Ent Desg</t>
  </si>
  <si>
    <t>Net Aux Ent Aux</t>
  </si>
  <si>
    <t>Net Aux Ent R Exp</t>
  </si>
  <si>
    <t>Net Aux Ent Loan</t>
  </si>
  <si>
    <t>Net Aux Ent Annuity</t>
  </si>
  <si>
    <t>Net Aux Ent Unexp</t>
  </si>
  <si>
    <t>Net Aux Ent R of Ind</t>
  </si>
  <si>
    <t>Net Aux Ent Inv in P</t>
  </si>
  <si>
    <t>Oth Inc E&amp;G</t>
  </si>
  <si>
    <t>Oth Inc Desg</t>
  </si>
  <si>
    <t>Oth Inc Aux</t>
  </si>
  <si>
    <t>Oth Inc R Exp</t>
  </si>
  <si>
    <t>Oth Inc Loan</t>
  </si>
  <si>
    <t>Oth Inc Annuity</t>
  </si>
  <si>
    <t>Oth Inc Unexp</t>
  </si>
  <si>
    <t>Oth Inc R of Ind</t>
  </si>
  <si>
    <t>Oth Inc Inv in P</t>
  </si>
  <si>
    <t>Instr E&amp;G</t>
  </si>
  <si>
    <t>Instr Desg</t>
  </si>
  <si>
    <t>Instr Aux</t>
  </si>
  <si>
    <t>Instr R Exp</t>
  </si>
  <si>
    <t>Instr Loan</t>
  </si>
  <si>
    <t>Instr Annuity</t>
  </si>
  <si>
    <t>Instr Unexp</t>
  </si>
  <si>
    <t>Instr R of Ind</t>
  </si>
  <si>
    <t>Instr Inv in P</t>
  </si>
  <si>
    <t>Res E&amp;G</t>
  </si>
  <si>
    <t>Res Desg</t>
  </si>
  <si>
    <t>Res Aux</t>
  </si>
  <si>
    <t>Res R Exp</t>
  </si>
  <si>
    <t>Res Loan</t>
  </si>
  <si>
    <t>Res Annuity</t>
  </si>
  <si>
    <t>Res Unexp</t>
  </si>
  <si>
    <t>Res R of Ind</t>
  </si>
  <si>
    <t>Res Inv in P</t>
  </si>
  <si>
    <t>Pub Srv E&amp;G</t>
  </si>
  <si>
    <t>Pub Srv Desg</t>
  </si>
  <si>
    <t>Pub Srv Aux</t>
  </si>
  <si>
    <t>Pub Srv R Exp</t>
  </si>
  <si>
    <t>Pub Srv Loan</t>
  </si>
  <si>
    <t>Pub Srv Annuity</t>
  </si>
  <si>
    <t>Pub Srv Unexp</t>
  </si>
  <si>
    <t>Pub Srv R of Ind</t>
  </si>
  <si>
    <t>Pub Srv Inv in P</t>
  </si>
  <si>
    <t>H&amp;C (OU) E&amp;G</t>
  </si>
  <si>
    <t>H&amp;C (OU) Desg</t>
  </si>
  <si>
    <t>H&amp;C (OU) Aux</t>
  </si>
  <si>
    <t>H&amp;C (OU) R Exp</t>
  </si>
  <si>
    <t>H&amp;C (OU) Loan</t>
  </si>
  <si>
    <t>H&amp;C (OU) Annuity</t>
  </si>
  <si>
    <t>H&amp;C (OU) Unexp</t>
  </si>
  <si>
    <t>H&amp;C (OU) R of Ind</t>
  </si>
  <si>
    <t>H&amp;C (OU) Inv in P</t>
  </si>
  <si>
    <t>Acad Sup E&amp;G</t>
  </si>
  <si>
    <t>Acad Sup Desg</t>
  </si>
  <si>
    <t>Acad Sup Aux</t>
  </si>
  <si>
    <t>Acad Sup R Exp</t>
  </si>
  <si>
    <t>Acad Sup Loan</t>
  </si>
  <si>
    <t>Acad Sup Annuity</t>
  </si>
  <si>
    <t>Acad Sup Unexp</t>
  </si>
  <si>
    <t>Acad Sup R of Ind</t>
  </si>
  <si>
    <t>Acad Sup Inv in P</t>
  </si>
  <si>
    <t>Stu Svc E&amp;G</t>
  </si>
  <si>
    <t>Stu Svc Desg</t>
  </si>
  <si>
    <t>Stu Svc Aux</t>
  </si>
  <si>
    <t>Stu Svc R Exp</t>
  </si>
  <si>
    <t>Stu Svc Loan</t>
  </si>
  <si>
    <t>Stu Svc Annuity</t>
  </si>
  <si>
    <t>Stu Svc Unexp</t>
  </si>
  <si>
    <t>Stu Svc R of Ind</t>
  </si>
  <si>
    <t>Stu Svc Inv in P</t>
  </si>
  <si>
    <t>Inst. Spt E&amp;G</t>
  </si>
  <si>
    <t>Inst. Spt Desg</t>
  </si>
  <si>
    <t>Inst. Spt Aux</t>
  </si>
  <si>
    <t>Inst. Spt R Exp</t>
  </si>
  <si>
    <t>Inst. Spt Loan</t>
  </si>
  <si>
    <t>Inst. Spt Annuity</t>
  </si>
  <si>
    <t>Inst. Spt Unexp</t>
  </si>
  <si>
    <t>Inst. Spt R of Ind</t>
  </si>
  <si>
    <t>Inst. Spt Inv in P</t>
  </si>
  <si>
    <t>M&amp;O Plnt E&amp;G</t>
  </si>
  <si>
    <t>M&amp;O Plnt Desg</t>
  </si>
  <si>
    <t>M&amp;O Plnt Aux</t>
  </si>
  <si>
    <t>M&amp;O Plnt R Exp</t>
  </si>
  <si>
    <t>M&amp;O Plnt Loan</t>
  </si>
  <si>
    <t>M&amp;O Plnt Annuity</t>
  </si>
  <si>
    <t>M&amp;O Plnt Unexp</t>
  </si>
  <si>
    <t>M&amp;O Plnt R of Ind</t>
  </si>
  <si>
    <t>M&amp;O Plnt Inv in P</t>
  </si>
  <si>
    <t>Schl &amp; Fell E&amp;G</t>
  </si>
  <si>
    <t>Schl &amp; Fell Desg</t>
  </si>
  <si>
    <t>Schl &amp; Fell Aux</t>
  </si>
  <si>
    <t>Schl &amp; Fell R Exp</t>
  </si>
  <si>
    <t>Schl &amp; Fell Loan</t>
  </si>
  <si>
    <t>Schl &amp; Fell Annuity</t>
  </si>
  <si>
    <t>Schl &amp; Fell Unexp</t>
  </si>
  <si>
    <t>Schl &amp; Fell R of Ind</t>
  </si>
  <si>
    <t>Schl &amp; Fell Inv in P</t>
  </si>
  <si>
    <t>Aux Ent E&amp;G</t>
  </si>
  <si>
    <t>Aux Ent Desg</t>
  </si>
  <si>
    <t>Aux Ent Aux</t>
  </si>
  <si>
    <t>Aux Ent R Exp</t>
  </si>
  <si>
    <t>Aux Ent Loan</t>
  </si>
  <si>
    <t>Aux Ent Annuity</t>
  </si>
  <si>
    <t>Aux Ent Unexp</t>
  </si>
  <si>
    <t>Aux Ent R of Ind</t>
  </si>
  <si>
    <t>Aux Ent Inv in P</t>
  </si>
  <si>
    <t>Cap Out fund E&amp;G</t>
  </si>
  <si>
    <t>Cap Out fund Desg</t>
  </si>
  <si>
    <t>Cap Out fund Aux</t>
  </si>
  <si>
    <t>Cap Out fund R Exp</t>
  </si>
  <si>
    <t>Cap Out fund Loan</t>
  </si>
  <si>
    <t>Cap Out fund Annuity</t>
  </si>
  <si>
    <t>Cap Out fund Unexp</t>
  </si>
  <si>
    <t>Cap Out fund R of Ind</t>
  </si>
  <si>
    <t>Cap Out fund Inv in P</t>
  </si>
  <si>
    <t>Oth Exp E&amp;G</t>
  </si>
  <si>
    <t>Oth Exp Desg</t>
  </si>
  <si>
    <t>Oth Exp Aux</t>
  </si>
  <si>
    <t>Oth Exp R Exp</t>
  </si>
  <si>
    <t>Oth Exp Loan</t>
  </si>
  <si>
    <t>Oth Exp Annuity</t>
  </si>
  <si>
    <t>Oth Exp Unexp</t>
  </si>
  <si>
    <t>Oth Exp R of Ind</t>
  </si>
  <si>
    <t>Oth Exp Inv in P</t>
  </si>
  <si>
    <t>Cap Out n-Fund E&amp;G</t>
  </si>
  <si>
    <t>Cap Out n-Fund Desg</t>
  </si>
  <si>
    <t>Cap Out n-Fund Aux</t>
  </si>
  <si>
    <t>Cap Out n-Fund R Exp</t>
  </si>
  <si>
    <t>Cap Out n-Fund Loan</t>
  </si>
  <si>
    <t>Cap Out n-Fund Annuity</t>
  </si>
  <si>
    <t>Cap Out n-Fund Unexp</t>
  </si>
  <si>
    <t>Cap Out n-Fund R of Ind</t>
  </si>
  <si>
    <t>Cap Out n-Fund Inv in P</t>
  </si>
  <si>
    <t>M&amp;Nm Xfrs E&amp;G</t>
  </si>
  <si>
    <t>M&amp;Nm Xfrs Desg</t>
  </si>
  <si>
    <t>M&amp;Nm Xfrs Aux</t>
  </si>
  <si>
    <t>M&amp;Nm Xfrs R Exp</t>
  </si>
  <si>
    <t>M&amp;Nm Xfrs Loan</t>
  </si>
  <si>
    <t>M&amp;Nm Xfrs Annuity</t>
  </si>
  <si>
    <t>M&amp;Nm Xfrs Unexp</t>
  </si>
  <si>
    <t>M&amp;Nm Xfrs R of Ind</t>
  </si>
  <si>
    <t>M&amp;Nm Xfrs Inv in P</t>
  </si>
  <si>
    <t>Bond Xfrs In E&amp;G</t>
  </si>
  <si>
    <t>Bond Xfrs In Desg</t>
  </si>
  <si>
    <t>Bond Xfrs In Aux</t>
  </si>
  <si>
    <t>Bond Xfrs In R Exp</t>
  </si>
  <si>
    <t>Bond Xfrs In Loan</t>
  </si>
  <si>
    <t>Bond Xfrs In Annuity</t>
  </si>
  <si>
    <t>Bond Xfrs In Unexp</t>
  </si>
  <si>
    <t>Bond Xfrs In R of Ind</t>
  </si>
  <si>
    <t>Bond Xfrs In Inv in P</t>
  </si>
  <si>
    <t>Debt Srv Pay E&amp;G</t>
  </si>
  <si>
    <t>Debt Srv Pay Desg</t>
  </si>
  <si>
    <t>Debt Srv Pay Aux</t>
  </si>
  <si>
    <t>Debt Srv Pay R Exp</t>
  </si>
  <si>
    <t>Debt Srv Pay Loan</t>
  </si>
  <si>
    <t>Debt Srv Pay Annuity</t>
  </si>
  <si>
    <t>Debt Srv Pay Unexp</t>
  </si>
  <si>
    <t>Debt Srv Pay R of Ind</t>
  </si>
  <si>
    <t>Debt Srv Pay Inv in P</t>
  </si>
  <si>
    <t>Unreal G/L E&amp;G</t>
  </si>
  <si>
    <t>Unreal G/L Desg</t>
  </si>
  <si>
    <t>Unreal G/L Aux</t>
  </si>
  <si>
    <t>Unreal G/L R Exp</t>
  </si>
  <si>
    <t>Unreal G/L Loan</t>
  </si>
  <si>
    <t>Unreal G/L Annuity</t>
  </si>
  <si>
    <t>Unreal G/L Unexp</t>
  </si>
  <si>
    <t>Unreal G/L R of Ind</t>
  </si>
  <si>
    <t>Unreal G/L Inv in P</t>
  </si>
  <si>
    <t>Add End E&amp;G</t>
  </si>
  <si>
    <t>Add End Desg</t>
  </si>
  <si>
    <t>Add End Aux</t>
  </si>
  <si>
    <t>Add End R Exp</t>
  </si>
  <si>
    <t>Add End Loan</t>
  </si>
  <si>
    <t>Add End Annuity</t>
  </si>
  <si>
    <t>Add End Unexp</t>
  </si>
  <si>
    <t>Add End R of Ind</t>
  </si>
  <si>
    <t>Add End Inv in P</t>
  </si>
  <si>
    <t>Bond Proceeds E&amp;G</t>
  </si>
  <si>
    <t>Bond Proceeds Desg</t>
  </si>
  <si>
    <t>Bond Proceeds Aux</t>
  </si>
  <si>
    <t>Bond Proceeds R Exp</t>
  </si>
  <si>
    <t>Bond Proceeds Loan</t>
  </si>
  <si>
    <t>Bond Proceeds Annuity</t>
  </si>
  <si>
    <t>Bond Proceeds Unexp</t>
  </si>
  <si>
    <t>Bond Proceeds R of Ind</t>
  </si>
  <si>
    <t>Bond Proceeds Inv in P</t>
  </si>
  <si>
    <t>Dep Exp E&amp;G</t>
  </si>
  <si>
    <t>Dep Exp Desg</t>
  </si>
  <si>
    <t>Dep Exp Aux</t>
  </si>
  <si>
    <t>Dep Exp R Exp</t>
  </si>
  <si>
    <t>Dep Exp Loan</t>
  </si>
  <si>
    <t>Dep Exp Annuity</t>
  </si>
  <si>
    <t>Dep Exp Unexp</t>
  </si>
  <si>
    <t>Dep Exp R of Ind</t>
  </si>
  <si>
    <t>Dep Exp Inv in P</t>
  </si>
  <si>
    <t>Xfr Cap Sys E&amp;G</t>
  </si>
  <si>
    <t>Xfr Cap Sys Desg</t>
  </si>
  <si>
    <t>Xfr Cap Sys Aux</t>
  </si>
  <si>
    <t>Xfr Cap Sys R Exp</t>
  </si>
  <si>
    <t>Xfr Cap Sys Loan</t>
  </si>
  <si>
    <t>Xfr Cap Sys Annuity</t>
  </si>
  <si>
    <t>Xfr Cap Sys Unexp</t>
  </si>
  <si>
    <t>Xfr Cap Sys R of Ind</t>
  </si>
  <si>
    <t>Xfr Cap Sys Inv in P</t>
  </si>
  <si>
    <t>OPEB Exp E&amp;G</t>
  </si>
  <si>
    <t>OPEB Exp Desg</t>
  </si>
  <si>
    <t>OPEB Exp Aux</t>
  </si>
  <si>
    <t>OPEB Exp R Exp</t>
  </si>
  <si>
    <t>OPEB Exp Loan</t>
  </si>
  <si>
    <t>OPEB Exp Annuity</t>
  </si>
  <si>
    <t>OPEB Exp Unexp</t>
  </si>
  <si>
    <t>OPEB Exp R of Ind</t>
  </si>
  <si>
    <t>OPEB Exp Inv in P</t>
  </si>
  <si>
    <t>Non-Cash Cap E&amp;G</t>
  </si>
  <si>
    <t>Non-Cash Cap Desg</t>
  </si>
  <si>
    <t>Non-Cash Cap Aux</t>
  </si>
  <si>
    <t>Non-Cash Cap R Exp</t>
  </si>
  <si>
    <t>Non-Cash Cap Loan</t>
  </si>
  <si>
    <t>Non-Cash Cap Annuity</t>
  </si>
  <si>
    <t>Non-Cash Cap Unexp</t>
  </si>
  <si>
    <t>Non-Cash Cap R of Ind</t>
  </si>
  <si>
    <t>Non-Cash Cap Inv in P</t>
  </si>
  <si>
    <t>Cap Out E&amp;G</t>
  </si>
  <si>
    <t>Cap Out Desg</t>
  </si>
  <si>
    <t>Cap Out Aux</t>
  </si>
  <si>
    <t>Cap Out R Exp</t>
  </si>
  <si>
    <t>Cap Out Loan</t>
  </si>
  <si>
    <t>Cap Out Annuity</t>
  </si>
  <si>
    <t>Cap Out Unexp</t>
  </si>
  <si>
    <t>Cap Out R of Ind</t>
  </si>
  <si>
    <t>Cap Out Inv in P</t>
  </si>
  <si>
    <t>Cost Study Inst.</t>
  </si>
  <si>
    <t>Cost Study Resh</t>
  </si>
  <si>
    <t>Cost Study Pub Svc</t>
  </si>
  <si>
    <t>Cost Study H&amp;C</t>
  </si>
  <si>
    <t>Cost Study Aca Sppt</t>
  </si>
  <si>
    <t>Cost Study Stu Svcs</t>
  </si>
  <si>
    <t>Cost Study Inst. Sppt</t>
  </si>
  <si>
    <t>Cost Study Op &amp; Maint</t>
  </si>
  <si>
    <t>Cost Study Schl &amp; Fell</t>
  </si>
  <si>
    <t>Cost Study Aux</t>
  </si>
  <si>
    <t>Cost Study Intr C. Ath</t>
  </si>
  <si>
    <t>Space Fed PT Inst.</t>
  </si>
  <si>
    <t>Space Fed PT Resh</t>
  </si>
  <si>
    <t>Space Fed PT Pub Svc</t>
  </si>
  <si>
    <t>Space Fed PT H &amp; C</t>
  </si>
  <si>
    <t>Space Fed PT Aca Sppt</t>
  </si>
  <si>
    <t>Space Fed PT Stu Svcs</t>
  </si>
  <si>
    <t>Space Fed PT Inst. Sppt</t>
  </si>
  <si>
    <t>Space Fed PT Op &amp; Maint</t>
  </si>
  <si>
    <t>Space Fed PT Schl &amp; Fell</t>
  </si>
  <si>
    <t>Space St. PT Inst.</t>
  </si>
  <si>
    <t>Space St. PT Resh</t>
  </si>
  <si>
    <t>Space St. PT Pub Svc</t>
  </si>
  <si>
    <t>Space St. PT H&amp;C</t>
  </si>
  <si>
    <t>Space St. PT Aca Sppt</t>
  </si>
  <si>
    <t>Space St. PT Stu Svcs</t>
  </si>
  <si>
    <t>Space St. PT Inst. Sppt</t>
  </si>
  <si>
    <t>Space St. PT Op &amp; Maint</t>
  </si>
  <si>
    <t>Space St. PT Schl &amp; Fell</t>
  </si>
  <si>
    <t>CS. Adj S &amp; Srv H&amp;C Rev, etc.</t>
  </si>
  <si>
    <t>CS. Adj Disc &amp; Allow</t>
  </si>
  <si>
    <t>SRECNA Inst.</t>
  </si>
  <si>
    <t>SRECNA Resh</t>
  </si>
  <si>
    <t>SRECNA Pub Svc</t>
  </si>
  <si>
    <t>SRECNA H&amp;C</t>
  </si>
  <si>
    <t>SRECNA Aca Sppt</t>
  </si>
  <si>
    <t>SRECNA Stu Svcs</t>
  </si>
  <si>
    <t>SRECNA Inst. Sppt</t>
  </si>
  <si>
    <t>SRECNA Op &amp; Maint</t>
  </si>
  <si>
    <t>SRECNA Schl &amp; Fell</t>
  </si>
  <si>
    <t>SRECNA Aux</t>
  </si>
  <si>
    <t>SRECNA Cap Out fund</t>
  </si>
  <si>
    <t>SRECNA Oth Exp</t>
  </si>
  <si>
    <t>Contact Name</t>
  </si>
  <si>
    <t>Contact Phone</t>
  </si>
  <si>
    <t>Contact Email</t>
  </si>
  <si>
    <t>Contact Name (alt)</t>
  </si>
  <si>
    <t>Contact Phone (alt)</t>
  </si>
  <si>
    <t>Contact Email (alt)</t>
  </si>
  <si>
    <t>FTSE</t>
  </si>
  <si>
    <t>FTFE</t>
  </si>
  <si>
    <t>Gina Councilman</t>
  </si>
  <si>
    <t>Jackie Baxter</t>
  </si>
  <si>
    <t xml:space="preserve"> jackie.baxter@angelo.edu</t>
  </si>
  <si>
    <t>Nancy Hranicky</t>
  </si>
  <si>
    <t>Tammy Cooper</t>
  </si>
  <si>
    <t xml:space="preserve"> tammy.cooper@etamu.edu</t>
  </si>
  <si>
    <t>Alicia Placette</t>
  </si>
  <si>
    <t>Amanda Retherford</t>
  </si>
  <si>
    <t xml:space="preserve"> amretherford@lit.edu</t>
  </si>
  <si>
    <t>Jamie Oltz</t>
  </si>
  <si>
    <t>Carissa Saenz</t>
  </si>
  <si>
    <t>Newsome Steffany</t>
  </si>
  <si>
    <t xml:space="preserve">Clements Brittany </t>
  </si>
  <si>
    <t xml:space="preserve"> taylorbr1@lamarpa.edu</t>
  </si>
  <si>
    <t>Spencer Sims</t>
  </si>
  <si>
    <t>Aisha Davis</t>
  </si>
  <si>
    <t xml:space="preserve"> aavery7@lamar.edu</t>
  </si>
  <si>
    <t>Anna  Daugherty</t>
  </si>
  <si>
    <t>Chris Stovall</t>
  </si>
  <si>
    <t xml:space="preserve"> chris.stovall@msutexas.edu</t>
  </si>
  <si>
    <t>Theresa Augustin</t>
  </si>
  <si>
    <t xml:space="preserve"> thaugustin@pvamu.edu</t>
  </si>
  <si>
    <t>Jennifer Jones</t>
  </si>
  <si>
    <t>Jennifer Babcock</t>
  </si>
  <si>
    <t xml:space="preserve"> jlb050@shsu.edu</t>
  </si>
  <si>
    <t>Kendall Rocha</t>
  </si>
  <si>
    <t>Kay Johnson</t>
  </si>
  <si>
    <t xml:space="preserve"> johnsondk6@sfasu.edu</t>
  </si>
  <si>
    <t>Bonnie Albright</t>
  </si>
  <si>
    <t>Alicia Salinas</t>
  </si>
  <si>
    <t>Sheila Hawkins</t>
  </si>
  <si>
    <t xml:space="preserve"> hawkins@tarleton.edu</t>
  </si>
  <si>
    <t>Jennifer Cain</t>
  </si>
  <si>
    <t xml:space="preserve"> jennifer.cain@ag.tamu.edu</t>
  </si>
  <si>
    <t>Lyndee Park-Jones</t>
  </si>
  <si>
    <t xml:space="preserve"> lyndee.park@ag.tamu.edu</t>
  </si>
  <si>
    <t>Jiying  Yu</t>
  </si>
  <si>
    <t xml:space="preserve"> j-yu@tamu.edu</t>
  </si>
  <si>
    <t>Deepak Tyagi</t>
  </si>
  <si>
    <t xml:space="preserve"> monty.tyagi@teex.tamu.edu</t>
  </si>
  <si>
    <t>Travis Zamzow</t>
  </si>
  <si>
    <t xml:space="preserve"> tzamzow@tfs.tamu.edu</t>
  </si>
  <si>
    <t>Elena Martinez</t>
  </si>
  <si>
    <t xml:space="preserve"> emartinez@tamiu.edu</t>
  </si>
  <si>
    <t>Verna Fritsch</t>
  </si>
  <si>
    <t xml:space="preserve"> vfritsche@tamus.edu</t>
  </si>
  <si>
    <t>Stephanie Barnett</t>
  </si>
  <si>
    <t xml:space="preserve"> s-barnett@tti.tamu.edu</t>
  </si>
  <si>
    <t>Cris Sowden</t>
  </si>
  <si>
    <t xml:space="preserve"> crisla@tamu.edu</t>
  </si>
  <si>
    <t>Danielle Clouden</t>
  </si>
  <si>
    <t xml:space="preserve"> d.clouden@tamuct.edu</t>
  </si>
  <si>
    <t>Cassie Eyring</t>
  </si>
  <si>
    <t xml:space="preserve"> cassie.eyring@tamucc.edu</t>
  </si>
  <si>
    <t>Samantha Padilla</t>
  </si>
  <si>
    <t>Robyn Wallace</t>
  </si>
  <si>
    <t xml:space="preserve"> robyn.wallace@tamuk.edu</t>
  </si>
  <si>
    <t>Elias Sanchez</t>
  </si>
  <si>
    <t xml:space="preserve"> esanchez3@tamusa.edu</t>
  </si>
  <si>
    <t>Elbrich Debbie</t>
  </si>
  <si>
    <t xml:space="preserve"> elbrich@tamu.edu</t>
  </si>
  <si>
    <t>Rhonda Jones</t>
  </si>
  <si>
    <t xml:space="preserve"> rjones@tamut.edu</t>
  </si>
  <si>
    <t>Adrienne Person</t>
  </si>
  <si>
    <t xml:space="preserve"> adrienne.person@tvmdl.tamu.edu</t>
  </si>
  <si>
    <t>Daniel Pall</t>
  </si>
  <si>
    <t>John Pittman</t>
  </si>
  <si>
    <t>Paula Stapleton</t>
  </si>
  <si>
    <t xml:space="preserve"> paula.stapleton@tsu.edu</t>
  </si>
  <si>
    <t>Christopher Greenwood</t>
  </si>
  <si>
    <t>Jessica Montalvo</t>
  </si>
  <si>
    <t xml:space="preserve"> jessica.montalvo@tstc.edu</t>
  </si>
  <si>
    <t>Cindy Haley</t>
  </si>
  <si>
    <t>Elizabeth Longoria-Cardenas</t>
  </si>
  <si>
    <t xml:space="preserve"> ec1217@txstate.edu</t>
  </si>
  <si>
    <t>Lori Eppler</t>
  </si>
  <si>
    <t>Eric Fisher</t>
  </si>
  <si>
    <t xml:space="preserve"> eric.fisher@ttu.edu</t>
  </si>
  <si>
    <t xml:space="preserve">Cynthia Blessing Washington </t>
  </si>
  <si>
    <t>Karina Rodriguez</t>
  </si>
  <si>
    <t xml:space="preserve"> karina1.rodriguez@ttuhsc.edu</t>
  </si>
  <si>
    <t>Paul Smith</t>
  </si>
  <si>
    <t>Barbara Newton</t>
  </si>
  <si>
    <t xml:space="preserve"> bnewton@twu.edu</t>
  </si>
  <si>
    <t>Debra Johnson</t>
  </si>
  <si>
    <t>Marie Adams</t>
  </si>
  <si>
    <t xml:space="preserve"> marie.adams@uta.edu</t>
  </si>
  <si>
    <t>Jared Ensign</t>
  </si>
  <si>
    <t>Michelle Lee</t>
  </si>
  <si>
    <t xml:space="preserve"> michelle.lee2@austin.utexas.edu</t>
  </si>
  <si>
    <t>Cindy Milligan</t>
  </si>
  <si>
    <t xml:space="preserve">Melody  Monjazeb </t>
  </si>
  <si>
    <t xml:space="preserve"> melody.monjazeb@utdallas.edu</t>
  </si>
  <si>
    <t>Daniel Dominguez</t>
  </si>
  <si>
    <t>Germán Hurtado</t>
  </si>
  <si>
    <t xml:space="preserve"> hugerman@utep.edu</t>
  </si>
  <si>
    <t>Steven Lerma</t>
  </si>
  <si>
    <t>Lilia St. Clair</t>
  </si>
  <si>
    <t xml:space="preserve"> lilia.stclair@utrgv.edu</t>
  </si>
  <si>
    <t>Cynthia Schweers</t>
  </si>
  <si>
    <t>Gregory Yturralde</t>
  </si>
  <si>
    <t>Brenda Golemon</t>
  </si>
  <si>
    <t>Charles Lemay</t>
  </si>
  <si>
    <t xml:space="preserve"> clemay@uttyler.edu</t>
  </si>
  <si>
    <t>Scott Barnett</t>
  </si>
  <si>
    <t>Kristin Cao</t>
  </si>
  <si>
    <t>Yinwen Li</t>
  </si>
  <si>
    <t>Aaron Lemay</t>
  </si>
  <si>
    <t xml:space="preserve"> clemay@utttyler.edu</t>
  </si>
  <si>
    <t xml:space="preserve">Monica Davila </t>
  </si>
  <si>
    <t>Cristina Gonzales</t>
  </si>
  <si>
    <t xml:space="preserve"> crisgonzales@mdanderson.org</t>
  </si>
  <si>
    <t>Joshua Tucker</t>
  </si>
  <si>
    <t>Felicia Trigo</t>
  </si>
  <si>
    <t xml:space="preserve"> fdtrigo@utmb.edu</t>
  </si>
  <si>
    <t>Natalie Harms</t>
  </si>
  <si>
    <t xml:space="preserve"> harms_n@utpb.edu</t>
  </si>
  <si>
    <t>Sharon Leary</t>
  </si>
  <si>
    <t>John Schmidt</t>
  </si>
  <si>
    <t>Tanjina Rahman</t>
  </si>
  <si>
    <t>Charlotte Abrams</t>
  </si>
  <si>
    <t>Theresa Meneley</t>
  </si>
  <si>
    <t xml:space="preserve"> meneleyt@uhd.edu</t>
  </si>
  <si>
    <t>June Nelson</t>
  </si>
  <si>
    <t>Mollie Holt</t>
  </si>
  <si>
    <t xml:space="preserve"> holtm@tamuv.edu</t>
  </si>
  <si>
    <t>Folasade Baker</t>
  </si>
  <si>
    <t>Leslie Fluharty</t>
  </si>
  <si>
    <t xml:space="preserve"> laskweres@uh.edu</t>
  </si>
  <si>
    <t>Rafiu Fashina</t>
  </si>
  <si>
    <t xml:space="preserve"> kristel.mcclaran@unt.edu</t>
  </si>
  <si>
    <t>Leigh-Ann Fashina</t>
  </si>
  <si>
    <t>Gia Doss</t>
  </si>
  <si>
    <t>Julie Meisinger</t>
  </si>
  <si>
    <t>Tonya Woodrow</t>
  </si>
  <si>
    <t xml:space="preserve"> tonya.woodrow@unthealth.edu</t>
  </si>
  <si>
    <t>Operating Sources (Revenue)</t>
  </si>
  <si>
    <t>Educational 
&amp; General</t>
  </si>
  <si>
    <t>Designated</t>
  </si>
  <si>
    <t>Auxiliary 
Enterprises</t>
  </si>
  <si>
    <t>Restricted Expendable</t>
  </si>
  <si>
    <t>Loan Funds</t>
  </si>
  <si>
    <t>Annuity, Life, &amp; Endowment &amp; Similar Funds</t>
  </si>
  <si>
    <t>Unexpended Plant</t>
  </si>
  <si>
    <t>Retirement of Indebtedness</t>
  </si>
  <si>
    <t>Investment 
In Plant</t>
  </si>
  <si>
    <t>State Appropriations</t>
  </si>
  <si>
    <t>State Contracts &amp; Grants</t>
  </si>
  <si>
    <t>Higher Education Fund</t>
  </si>
  <si>
    <t>Available University Fund Excellence</t>
  </si>
  <si>
    <t>State of Texas Subtotal</t>
  </si>
  <si>
    <t>Students &amp; Parents</t>
  </si>
  <si>
    <t>Tuition Potential 100%</t>
  </si>
  <si>
    <t>Waivers - Statutory</t>
  </si>
  <si>
    <t>Waivers - Institutional</t>
  </si>
  <si>
    <t>Exemptions - Statutory</t>
  </si>
  <si>
    <t>Exemptions - Institutional</t>
  </si>
  <si>
    <t>Tuition - Gross</t>
  </si>
  <si>
    <t>Reported in AFR (Report as negative numbers)</t>
  </si>
  <si>
    <t>All Other Scholarship Disc.&amp; Allow.</t>
  </si>
  <si>
    <t>Net Tuition</t>
  </si>
  <si>
    <t>Fees Potential 100%</t>
  </si>
  <si>
    <t>Not Reported in AFR (Report as negative numbers)</t>
  </si>
  <si>
    <t>Fees - Gross - AFR Presentation</t>
  </si>
  <si>
    <t>Net Fees</t>
  </si>
  <si>
    <t>Net Tuition and Fees (Funds Collected)</t>
  </si>
  <si>
    <t>Federal Government</t>
  </si>
  <si>
    <t>Federal Grants and Contracts</t>
  </si>
  <si>
    <t>Professional Fees</t>
  </si>
  <si>
    <t>All Sources (Net)</t>
  </si>
  <si>
    <t>Hospitals and Clinics</t>
  </si>
  <si>
    <t>Institutional Resources</t>
  </si>
  <si>
    <t>Endowment and Interest Income</t>
  </si>
  <si>
    <t>Local Government Grants</t>
  </si>
  <si>
    <t>Private Gifts and Grants</t>
  </si>
  <si>
    <t>Sales and Services</t>
  </si>
  <si>
    <t>Net Auxiliary Enterprises</t>
  </si>
  <si>
    <t>Other Income</t>
  </si>
  <si>
    <t>Subtotal</t>
  </si>
  <si>
    <t>Total Operating Sources</t>
  </si>
  <si>
    <t>Operating Uses (Expenses)</t>
  </si>
  <si>
    <t>Function</t>
  </si>
  <si>
    <t>Instruction</t>
  </si>
  <si>
    <t>Research</t>
  </si>
  <si>
    <t>Public Service</t>
  </si>
  <si>
    <t>Academic Support</t>
  </si>
  <si>
    <t>Student Services</t>
  </si>
  <si>
    <t>Institutional Support</t>
  </si>
  <si>
    <t>Operations and Maintenance of Plant</t>
  </si>
  <si>
    <t>Scholarships and Fellowships</t>
  </si>
  <si>
    <t>Auxiliary Enterprises</t>
  </si>
  <si>
    <t>Capital Outlay from Current Fund Sources</t>
  </si>
  <si>
    <t>Other Expenses</t>
  </si>
  <si>
    <t>Other Sources / (Uses) of Funds</t>
  </si>
  <si>
    <t>Capital Outlay from Non-Current Fund Sources</t>
  </si>
  <si>
    <t>Mandatory and Non-mandatory Transfers</t>
  </si>
  <si>
    <t>Bond Proceeds Transfers In</t>
  </si>
  <si>
    <t>Debt Service Payments</t>
  </si>
  <si>
    <t>Other Items Not for Current Operating Use</t>
  </si>
  <si>
    <t>Unrealized Gains/(Losses)</t>
  </si>
  <si>
    <t>Additions to Permanent Endowments</t>
  </si>
  <si>
    <t>Total Sources Over / Under Uses</t>
  </si>
  <si>
    <t>Bond Proceeds/(Principal Debt Payments)</t>
  </si>
  <si>
    <t>Depreciation Expense</t>
  </si>
  <si>
    <t>Transfer of Capital Asset(s) from System</t>
  </si>
  <si>
    <t>Other Post-Employment Benefit (OPEB) Expense</t>
  </si>
  <si>
    <t>Non-Cash Capital Gifts</t>
  </si>
  <si>
    <t xml:space="preserve">Capital Outlay </t>
  </si>
  <si>
    <t>Footnote</t>
  </si>
  <si>
    <t>Total Sources/Uses FGD Row 100</t>
  </si>
  <si>
    <t>Enter revenues received, but not yet expended.</t>
  </si>
  <si>
    <t>Non-expendable funds from unrealized gains</t>
  </si>
  <si>
    <t>Non-expendable funds from additions to permanent endowments</t>
  </si>
  <si>
    <t>FY 2025 Summary of Data for Academic Cost Study</t>
  </si>
  <si>
    <t>no Medical School costs</t>
  </si>
  <si>
    <t>Fund Group Detail</t>
  </si>
  <si>
    <t>Name</t>
  </si>
  <si>
    <t>Phone Number</t>
  </si>
  <si>
    <t>Email Address</t>
  </si>
  <si>
    <t>Name (alt)</t>
  </si>
  <si>
    <t>Phone Number (alt)</t>
  </si>
  <si>
    <t>Email Address (alt)</t>
  </si>
  <si>
    <t>Mike West</t>
  </si>
  <si>
    <t>gregory.yturralde@utsa.edu</t>
  </si>
  <si>
    <t xml:space="preserve"> abrams@uhcl.edu</t>
  </si>
  <si>
    <t xml:space="preserve"> carissa.saenz@lsco.edu</t>
  </si>
  <si>
    <t xml:space="preserve"> alicia.salinas@sulross.edu</t>
  </si>
  <si>
    <t>kristin.cao@uth.tmc.edu</t>
  </si>
  <si>
    <t>michael.west@ttuhsc.edu</t>
  </si>
  <si>
    <t xml:space="preserve"> daniel.pall@tdem.texas.gov</t>
  </si>
  <si>
    <t>gia.doss@untdallas.edu</t>
  </si>
  <si>
    <t>cynthia.schweers@utsa.edu</t>
  </si>
  <si>
    <t>rahman@uhcl.edu</t>
  </si>
  <si>
    <t>jamie.oltz@lsco.edu</t>
  </si>
  <si>
    <t>bonnie.albright@sulross.edu</t>
  </si>
  <si>
    <t>scott.barnett@uth.tmc.edu</t>
  </si>
  <si>
    <t>rebecca.aguilar@ttuhsc.edu</t>
  </si>
  <si>
    <t>leigh-ann.fashina@untdallas.edu</t>
  </si>
  <si>
    <t>Tiffany Luong</t>
  </si>
  <si>
    <t>Rebecca Aguilar</t>
  </si>
  <si>
    <t>Carrie Mcmahan</t>
  </si>
  <si>
    <t>Kristel Mcclaran</t>
  </si>
  <si>
    <t>Summary</t>
  </si>
  <si>
    <t>Per FTSE</t>
  </si>
  <si>
    <t>Total Revenue by Operating Source Category</t>
  </si>
  <si>
    <t>Operating Sources</t>
  </si>
  <si>
    <t>Amount</t>
  </si>
  <si>
    <t>Percent</t>
  </si>
  <si>
    <t>Student &amp; Parent</t>
  </si>
  <si>
    <t xml:space="preserve">Federal </t>
  </si>
  <si>
    <t xml:space="preserve">Student &amp; Parent </t>
  </si>
  <si>
    <t>Gross Tuition &amp; Fees</t>
  </si>
  <si>
    <t>Discounts &amp; Allowances</t>
  </si>
  <si>
    <t>Net Tuition &amp; Fees</t>
  </si>
  <si>
    <t>Total Revenue by Operating Source</t>
  </si>
  <si>
    <t>State Grants &amp; Contracts</t>
  </si>
  <si>
    <t>Tuition &amp; Fees</t>
  </si>
  <si>
    <t>Federal Grants &amp; Contracts</t>
  </si>
  <si>
    <t>Endowment &amp; Interest Income</t>
  </si>
  <si>
    <t>Private Gifts &amp; Grants</t>
  </si>
  <si>
    <t>Sales &amp; Services</t>
  </si>
  <si>
    <t>Top 5 Sources</t>
  </si>
  <si>
    <t>Source</t>
  </si>
  <si>
    <t>SRECNP Reconciliation</t>
  </si>
  <si>
    <t>Top 5 Uses</t>
  </si>
  <si>
    <t>SRECNP Amount</t>
  </si>
  <si>
    <t>Difference</t>
  </si>
  <si>
    <t>Depreciation</t>
  </si>
  <si>
    <t>Summary (by Institution Type)</t>
  </si>
  <si>
    <t xml:space="preserve">
Institution(s) Included (alphabetical):</t>
  </si>
  <si>
    <t>Summary (by System)</t>
  </si>
  <si>
    <t>Gross</t>
  </si>
  <si>
    <t>Statutory</t>
  </si>
  <si>
    <t>Schol Disc &amp; Allow</t>
  </si>
  <si>
    <t>Net</t>
  </si>
  <si>
    <t>Tuition</t>
  </si>
  <si>
    <t>Waivers</t>
  </si>
  <si>
    <t>Exemption</t>
  </si>
  <si>
    <t>Fees</t>
  </si>
  <si>
    <t>Total Net</t>
  </si>
  <si>
    <t>Fiscal Year 2025</t>
  </si>
  <si>
    <t>Student and Faculty Full-Time Equivalent</t>
  </si>
  <si>
    <t>Academic Institutions</t>
  </si>
  <si>
    <t>Undergraduate</t>
  </si>
  <si>
    <t>Master's¹</t>
  </si>
  <si>
    <t>Prof &amp; Special-Prof Headcount</t>
  </si>
  <si>
    <t>Full-Time Student
Equivalents²</t>
  </si>
  <si>
    <t>State Funded 
FTSE³</t>
  </si>
  <si>
    <t>T/TT Fall
Faculty FTE⁴</t>
  </si>
  <si>
    <t>1)</t>
  </si>
  <si>
    <t>2)</t>
  </si>
  <si>
    <t>4)</t>
  </si>
  <si>
    <t>3)</t>
  </si>
  <si>
    <t>Report Date: 12/18/25</t>
  </si>
  <si>
    <t>Institutional
Support</t>
  </si>
  <si>
    <t>Student
Services</t>
  </si>
  <si>
    <t>Academic
Support</t>
  </si>
  <si>
    <t xml:space="preserve">
Summary Tuition and Fees</t>
  </si>
  <si>
    <t>State-Funded 
FTSE</t>
  </si>
  <si>
    <t xml:space="preserve">Instructional </t>
  </si>
  <si>
    <t>Other Expenditures¹</t>
  </si>
  <si>
    <t>Total Expenditures</t>
  </si>
  <si>
    <t>*Revenue excludes Hospital &amp; Clinic, Professional Fees, and Auxiliary revenue.</t>
  </si>
  <si>
    <t>State Revenue</t>
  </si>
  <si>
    <t>Constitutional Funds Revenue</t>
  </si>
  <si>
    <t>Tuition &amp; Fee Revenue</t>
  </si>
  <si>
    <t>Federal Revenue</t>
  </si>
  <si>
    <t>Institutional Revenue</t>
  </si>
  <si>
    <t>Total Revenue</t>
  </si>
  <si>
    <t>Grad School of Biomedical Sciences</t>
  </si>
  <si>
    <t xml:space="preserve">Peter O’Donnell Jr. School of Public Health </t>
  </si>
  <si>
    <t>Southwestern Medical School</t>
  </si>
  <si>
    <t>School of Health Professions</t>
  </si>
  <si>
    <t>School of Nursing</t>
  </si>
  <si>
    <t>School of Public Health</t>
  </si>
  <si>
    <t>Medical School</t>
  </si>
  <si>
    <t>School of Biomedical Informatics</t>
  </si>
  <si>
    <t>Allied Health (Dental)</t>
  </si>
  <si>
    <t>Dental Branch/Academics</t>
  </si>
  <si>
    <t>Dental School</t>
  </si>
  <si>
    <t>Medical School/Academics</t>
  </si>
  <si>
    <t>Dental School/Academics</t>
  </si>
  <si>
    <t>Dental Hygiene</t>
  </si>
  <si>
    <t xml:space="preserve"> School of Health Professions</t>
  </si>
  <si>
    <t>School of Medical</t>
  </si>
  <si>
    <t>School of Medicine/Academic</t>
  </si>
  <si>
    <t>College of Nursing</t>
  </si>
  <si>
    <t>College of Medicine</t>
  </si>
  <si>
    <t>School of Rural Public Health</t>
  </si>
  <si>
    <t>College of Pharmacy</t>
  </si>
  <si>
    <t>College of Medicine Academic</t>
  </si>
  <si>
    <t>Baylor College Dentistry-Dental Hygiene</t>
  </si>
  <si>
    <t>School of Pharmacy</t>
  </si>
  <si>
    <t>Texas College of Osteopathic Medicine</t>
  </si>
  <si>
    <t>School of Allied Health</t>
  </si>
  <si>
    <t>Department of Public Health</t>
  </si>
  <si>
    <t>School of Medicine</t>
  </si>
  <si>
    <t>Paul L. Foster School of Medicine</t>
  </si>
  <si>
    <t>School of Dental Medicine</t>
  </si>
  <si>
    <t>Gayle G. Hunt School of Nursing</t>
  </si>
  <si>
    <t>School of Podiatric Medicine</t>
  </si>
  <si>
    <t>1)  Includes post-baccalaureate, master's, AUD, DPT, and PharmD.</t>
  </si>
  <si>
    <t xml:space="preserve">2)  The sum of undergraduate semester credit hours divided by 30, master's semester credit hours divided by 24, doctoral semester credit hours divided by 18, and DDS, DO, MD, Podiatry, and post-doctoral specialty headcount </t>
  </si>
  <si>
    <t>enrollments (the larger of the fall or summer semester in the fiscal year). State-funded and non-state-funded hours, including dual degree (FE=2) and inter-institutional students (FE=4), are included; all other inter-institutional and</t>
  </si>
  <si>
    <t>flexible entry hours are excluded. Source of data is CBM001, Student Report.</t>
  </si>
  <si>
    <t>3)  Dual degree (FE=2) and inter-institutional students (FE=4) are included; all other inter-institutional, flexible entry, and non-state-funded hours are excluded. Source of data is CBM001, Student Report.</t>
  </si>
  <si>
    <t>4)  Fall tenured/tenure-track full-time-equivalent faculty with research responsibilities. Source of data is CBM008, Faculty Report.</t>
  </si>
  <si>
    <t>Academic
 SCH</t>
  </si>
  <si>
    <t>Technical
 SCH</t>
  </si>
  <si>
    <t>BAT SCH</t>
  </si>
  <si>
    <t>Continuing Ed. SCH</t>
  </si>
  <si>
    <t>State Funded 
FTSE²</t>
  </si>
  <si>
    <t>Fall 
Faculty FTE</t>
  </si>
  <si>
    <t>16,522.21</t>
  </si>
  <si>
    <t>1) Academic, technical, and BAT semester credit hours divided by 30 plus continuing education contact hours divided by 900. Source of data is CBM001, Student Report.</t>
  </si>
  <si>
    <t>2) State-funded hours only. Source of data is CBM001, Student Report.</t>
  </si>
  <si>
    <t>3) Texas State Technical College - Waco include TSTC Connect hours.</t>
  </si>
  <si>
    <t>Master's</t>
  </si>
  <si>
    <t>Professional &amp; Special-Prof</t>
  </si>
  <si>
    <t>Optometry</t>
  </si>
  <si>
    <t>1) Undergraduate SCH divided by 30, master's and special-professional divided by 24, doctoral divided by 18, and optometry divided by 34. Source of data is CBM001, Student Report.</t>
  </si>
  <si>
    <t>3) Fall tenured/tenure-track full-time-equivalent faculty (ranks 1-5) with teaching responsibilities (01 and 02). Source of data is CBM008, Faculty Report.</t>
  </si>
  <si>
    <t>4) (A+H) represents the academic and health-related programs, excluding the medical school.</t>
  </si>
  <si>
    <t>Net Tuition Revenue</t>
  </si>
  <si>
    <t>Net Fees Revenue</t>
  </si>
  <si>
    <t>Other Revenue</t>
  </si>
  <si>
    <t>Instruction Uses</t>
  </si>
  <si>
    <t>Research Uses</t>
  </si>
  <si>
    <t>Academic Uses</t>
  </si>
  <si>
    <t>Student Uses</t>
  </si>
  <si>
    <t>Institutional Uses</t>
  </si>
  <si>
    <t>Operations Uses</t>
  </si>
  <si>
    <t>Scholarships Uses</t>
  </si>
  <si>
    <t>Capital Uses</t>
  </si>
  <si>
    <t>Other Uses</t>
  </si>
  <si>
    <t>Summary of Sources (Revenue) by Institution Type</t>
  </si>
  <si>
    <r>
      <t>(</t>
    </r>
    <r>
      <rPr>
        <b/>
        <sz val="12"/>
        <color theme="1"/>
        <rFont val="Georgia"/>
        <family val="1"/>
      </rPr>
      <t>A+H</t>
    </r>
    <r>
      <rPr>
        <sz val="12"/>
        <color theme="1"/>
        <rFont val="Georgia"/>
        <family val="1"/>
      </rPr>
      <t>) represents the academic and health-related programs, excluding the medical school.</t>
    </r>
  </si>
  <si>
    <r>
      <t>(</t>
    </r>
    <r>
      <rPr>
        <b/>
        <sz val="12"/>
        <color theme="1"/>
        <rFont val="Georgia"/>
        <family val="1"/>
      </rPr>
      <t>A+H+M</t>
    </r>
    <r>
      <rPr>
        <sz val="12"/>
        <color theme="1"/>
        <rFont val="Georgia"/>
        <family val="1"/>
      </rPr>
      <t>) represents the academic, health-related programs, and medical school.</t>
    </r>
  </si>
  <si>
    <t>Summary of Uses (Expenditures) by Institution Type</t>
  </si>
  <si>
    <t>HRI+UNIV</t>
  </si>
  <si>
    <r>
      <rPr>
        <b/>
        <u/>
        <sz val="11"/>
        <color theme="1"/>
        <rFont val="Georgia"/>
        <family val="1"/>
      </rPr>
      <t>Not</t>
    </r>
    <r>
      <rPr>
        <b/>
        <sz val="11"/>
        <color theme="1"/>
        <rFont val="Georgia"/>
        <family val="1"/>
      </rPr>
      <t xml:space="preserve"> Reported in AFR (Report as negative numbers)</t>
    </r>
  </si>
  <si>
    <t>Campus Contact Information</t>
  </si>
  <si>
    <t>Public Health</t>
  </si>
  <si>
    <t>Baylor College Dentistry-Dental School</t>
  </si>
  <si>
    <t>Baylor College Dentistry-Advanced Education</t>
  </si>
  <si>
    <r>
      <t xml:space="preserve">The values for this category are calculated as the sum of expenditures reported under the corresponding function in the </t>
    </r>
    <r>
      <rPr>
        <i/>
        <sz val="12"/>
        <color theme="1"/>
        <rFont val="Georgia"/>
        <family val="1"/>
      </rPr>
      <t>Fund Group Detail</t>
    </r>
    <r>
      <rPr>
        <sz val="12"/>
        <color theme="1"/>
        <rFont val="Georgia"/>
        <family val="1"/>
      </rPr>
      <t xml:space="preserve"> worksheet of the Sources </t>
    </r>
  </si>
  <si>
    <r>
      <t xml:space="preserve">&amp; Uses Survey. Specifically, the total consists of expenditures funded by </t>
    </r>
    <r>
      <rPr>
        <b/>
        <sz val="12"/>
        <color theme="1"/>
        <rFont val="Georgia"/>
        <family val="1"/>
      </rPr>
      <t>Educational &amp; General</t>
    </r>
    <r>
      <rPr>
        <sz val="12"/>
        <color theme="1"/>
        <rFont val="Georgia"/>
        <family val="1"/>
      </rPr>
      <t xml:space="preserve">, </t>
    </r>
    <r>
      <rPr>
        <b/>
        <sz val="12"/>
        <color theme="1"/>
        <rFont val="Georgia"/>
        <family val="1"/>
      </rPr>
      <t>Designated</t>
    </r>
    <r>
      <rPr>
        <sz val="12"/>
        <color theme="1"/>
        <rFont val="Georgia"/>
        <family val="1"/>
      </rPr>
      <t xml:space="preserve">, </t>
    </r>
    <r>
      <rPr>
        <b/>
        <sz val="12"/>
        <color theme="1"/>
        <rFont val="Georgia"/>
        <family val="1"/>
      </rPr>
      <t>Restricted</t>
    </r>
    <r>
      <rPr>
        <sz val="12"/>
        <color theme="1"/>
        <rFont val="Georgia"/>
        <family val="1"/>
      </rPr>
      <t xml:space="preserve"> </t>
    </r>
    <r>
      <rPr>
        <b/>
        <sz val="12"/>
        <color theme="1"/>
        <rFont val="Georgia"/>
        <family val="1"/>
      </rPr>
      <t>Expendable</t>
    </r>
    <r>
      <rPr>
        <sz val="12"/>
        <color theme="1"/>
        <rFont val="Georgia"/>
        <family val="1"/>
      </rPr>
      <t xml:space="preserve">, and </t>
    </r>
    <r>
      <rPr>
        <b/>
        <sz val="12"/>
        <color theme="1"/>
        <rFont val="Georgia"/>
        <family val="1"/>
      </rPr>
      <t>Unexpended</t>
    </r>
    <r>
      <rPr>
        <sz val="12"/>
        <color theme="1"/>
        <rFont val="Georgia"/>
        <family val="1"/>
      </rPr>
      <t xml:space="preserve"> </t>
    </r>
    <r>
      <rPr>
        <b/>
        <sz val="12"/>
        <color theme="1"/>
        <rFont val="Georgia"/>
        <family val="1"/>
      </rPr>
      <t>Plant</t>
    </r>
    <r>
      <rPr>
        <sz val="12"/>
        <color theme="1"/>
        <rFont val="Georgia"/>
        <family val="1"/>
      </rPr>
      <t xml:space="preserve"> funds. </t>
    </r>
  </si>
  <si>
    <r>
      <t xml:space="preserve">The value for Student Services is calculated using the same methodology as Footnote #3, with one exception: after summing the expenditures funded by </t>
    </r>
    <r>
      <rPr>
        <b/>
        <sz val="12"/>
        <color theme="1"/>
        <rFont val="Georgia"/>
        <family val="1"/>
      </rPr>
      <t>Educational</t>
    </r>
    <r>
      <rPr>
        <sz val="12"/>
        <color theme="1"/>
        <rFont val="Georgia"/>
        <family val="1"/>
      </rPr>
      <t xml:space="preserve"> </t>
    </r>
    <r>
      <rPr>
        <b/>
        <sz val="12"/>
        <color theme="1"/>
        <rFont val="Georgia"/>
        <family val="1"/>
      </rPr>
      <t xml:space="preserve">&amp; </t>
    </r>
  </si>
  <si>
    <r>
      <rPr>
        <b/>
        <sz val="12"/>
        <color theme="1"/>
        <rFont val="Georgia"/>
        <family val="1"/>
      </rPr>
      <t>General</t>
    </r>
    <r>
      <rPr>
        <sz val="12"/>
        <color theme="1"/>
        <rFont val="Georgia"/>
        <family val="1"/>
      </rPr>
      <t xml:space="preserve">, </t>
    </r>
    <r>
      <rPr>
        <b/>
        <sz val="12"/>
        <color theme="1"/>
        <rFont val="Georgia"/>
        <family val="1"/>
      </rPr>
      <t>Designated</t>
    </r>
    <r>
      <rPr>
        <sz val="12"/>
        <color theme="1"/>
        <rFont val="Georgia"/>
        <family val="1"/>
      </rPr>
      <t xml:space="preserve">, </t>
    </r>
    <r>
      <rPr>
        <b/>
        <sz val="12"/>
        <color theme="1"/>
        <rFont val="Georgia"/>
        <family val="1"/>
      </rPr>
      <t>Restricted</t>
    </r>
    <r>
      <rPr>
        <sz val="12"/>
        <color theme="1"/>
        <rFont val="Georgia"/>
        <family val="1"/>
      </rPr>
      <t xml:space="preserve"> </t>
    </r>
    <r>
      <rPr>
        <b/>
        <sz val="12"/>
        <color theme="1"/>
        <rFont val="Georgia"/>
        <family val="1"/>
      </rPr>
      <t>Expendable</t>
    </r>
    <r>
      <rPr>
        <sz val="12"/>
        <color theme="1"/>
        <rFont val="Georgia"/>
        <family val="1"/>
      </rPr>
      <t xml:space="preserve">, and </t>
    </r>
    <r>
      <rPr>
        <b/>
        <sz val="12"/>
        <color theme="1"/>
        <rFont val="Georgia"/>
        <family val="1"/>
      </rPr>
      <t>Unexpended</t>
    </r>
    <r>
      <rPr>
        <sz val="12"/>
        <color theme="1"/>
        <rFont val="Georgia"/>
        <family val="1"/>
      </rPr>
      <t xml:space="preserve"> </t>
    </r>
    <r>
      <rPr>
        <b/>
        <sz val="12"/>
        <color theme="1"/>
        <rFont val="Georgia"/>
        <family val="1"/>
      </rPr>
      <t>Plant</t>
    </r>
    <r>
      <rPr>
        <sz val="12"/>
        <color theme="1"/>
        <rFont val="Georgia"/>
        <family val="1"/>
      </rPr>
      <t xml:space="preserve"> funds from the </t>
    </r>
    <r>
      <rPr>
        <i/>
        <sz val="12"/>
        <color theme="1"/>
        <rFont val="Georgia"/>
        <family val="1"/>
      </rPr>
      <t>Fund Group Detail</t>
    </r>
    <r>
      <rPr>
        <sz val="12"/>
        <color theme="1"/>
        <rFont val="Georgia"/>
        <family val="1"/>
      </rPr>
      <t xml:space="preserve"> worksheet, and including the </t>
    </r>
    <r>
      <rPr>
        <b/>
        <sz val="12"/>
        <color theme="1"/>
        <rFont val="Georgia"/>
        <family val="1"/>
      </rPr>
      <t>Capital</t>
    </r>
    <r>
      <rPr>
        <sz val="12"/>
        <color theme="1"/>
        <rFont val="Georgia"/>
        <family val="1"/>
      </rPr>
      <t xml:space="preserve"> </t>
    </r>
    <r>
      <rPr>
        <b/>
        <sz val="12"/>
        <color theme="1"/>
        <rFont val="Georgia"/>
        <family val="1"/>
      </rPr>
      <t>Outlay</t>
    </r>
    <r>
      <rPr>
        <sz val="12"/>
        <color theme="1"/>
        <rFont val="Georgia"/>
        <family val="1"/>
      </rPr>
      <t xml:space="preserve"> amount from the </t>
    </r>
    <r>
      <rPr>
        <i/>
        <sz val="12"/>
        <color theme="1"/>
        <rFont val="Georgia"/>
        <family val="1"/>
      </rPr>
      <t>Cost</t>
    </r>
    <r>
      <rPr>
        <sz val="12"/>
        <color theme="1"/>
        <rFont val="Georgia"/>
        <family val="1"/>
      </rPr>
      <t xml:space="preserve"> </t>
    </r>
  </si>
  <si>
    <r>
      <rPr>
        <i/>
        <sz val="12"/>
        <color theme="1"/>
        <rFont val="Georgia"/>
        <family val="1"/>
      </rPr>
      <t>Study</t>
    </r>
    <r>
      <rPr>
        <sz val="12"/>
        <color theme="1"/>
        <rFont val="Georgia"/>
        <family val="1"/>
      </rPr>
      <t xml:space="preserve"> </t>
    </r>
    <r>
      <rPr>
        <i/>
        <sz val="12"/>
        <color theme="1"/>
        <rFont val="Georgia"/>
        <family val="1"/>
      </rPr>
      <t>Input</t>
    </r>
    <r>
      <rPr>
        <sz val="12"/>
        <color theme="1"/>
        <rFont val="Georgia"/>
        <family val="1"/>
      </rPr>
      <t xml:space="preserve"> survey, the total is reduced by the reported expenditures for </t>
    </r>
    <r>
      <rPr>
        <b/>
        <sz val="12"/>
        <color theme="1"/>
        <rFont val="Georgia"/>
        <family val="1"/>
      </rPr>
      <t>Intercollegiate</t>
    </r>
    <r>
      <rPr>
        <sz val="12"/>
        <color theme="1"/>
        <rFont val="Georgia"/>
        <family val="1"/>
      </rPr>
      <t xml:space="preserve"> </t>
    </r>
    <r>
      <rPr>
        <b/>
        <sz val="12"/>
        <color theme="1"/>
        <rFont val="Georgia"/>
        <family val="1"/>
      </rPr>
      <t>Athletics</t>
    </r>
    <r>
      <rPr>
        <sz val="12"/>
        <color theme="1"/>
        <rFont val="Georgia"/>
        <family val="1"/>
      </rPr>
      <t xml:space="preserve">, as recorded in the </t>
    </r>
    <r>
      <rPr>
        <i/>
        <sz val="12"/>
        <color theme="1"/>
        <rFont val="Georgia"/>
        <family val="1"/>
      </rPr>
      <t>Cost Study Input</t>
    </r>
    <r>
      <rPr>
        <sz val="12"/>
        <color theme="1"/>
        <rFont val="Georgia"/>
        <family val="1"/>
      </rPr>
      <t xml:space="preserve"> survey.</t>
    </r>
  </si>
  <si>
    <t>Terms, Definitions, and Notes</t>
  </si>
  <si>
    <t>State of Texas (Sources)</t>
  </si>
  <si>
    <t>Definitions</t>
  </si>
  <si>
    <t>Notes</t>
  </si>
  <si>
    <t>State of Texas appropriations spending authority received from the Legislature for the institution for the current fiscal period.</t>
  </si>
  <si>
    <t>State of Texas Contracts &amp; Grants</t>
  </si>
  <si>
    <t>State of Texas appropriations for specific grants and contracts.</t>
  </si>
  <si>
    <t>Total spending authority for the current period for the constitutional appropriation for acquiring land with or without permanent improvements, constructing and equipping buildings or other permanent improvements, major repair or rehabilitation of building or other permanent improvements and acquisition of capital equipment, library books, and library materials at eligible institutions and agencies of higher education.</t>
  </si>
  <si>
    <t>A fund established in Article 7, §17, of the Texas Constitution to fund capital improvements and capital equipment for institutions not included in the Permanent University Fund.</t>
  </si>
  <si>
    <t>Available University Fund</t>
  </si>
  <si>
    <t xml:space="preserve">Available University Fund (AUF) is the earnings of the Permanent University Fund (PUF) used (1) to service bond debt for some institutions in The University of Texas and Texas A&amp;M University Systems and (2) to provide funding for excellence projects at The University of Texas at Austin, Texas A&amp;M University, and Prairie View A&amp;M University. </t>
  </si>
  <si>
    <t>Students &amp; Parents (Sources)</t>
  </si>
  <si>
    <t>Exemptions</t>
  </si>
  <si>
    <t>Programs authorized by state statute that allow a resident, and in some cases a nonresident, student to enroll in an institution of higher education and pay a reduced amount of tuition and/or fees.</t>
  </si>
  <si>
    <t xml:space="preserve">Waivers, remissions, and exemptions represent tuition and fee dollars forgone by the university - some are required by statute. </t>
  </si>
  <si>
    <t>Tuition (Board authorized)</t>
  </si>
  <si>
    <t xml:space="preserve">A tuition charge that a general academic teaching institution or a medical and dental unit may impose on any graduate resident or nonresident student in an amount as specified in Texas Education Code, §54.008.	</t>
  </si>
  <si>
    <t>Tuition (Designated)</t>
  </si>
  <si>
    <t xml:space="preserve">A tuition charge authorized under Texas Education Code, §54.0513, that institutions other than public community colleges may impose on any graduate or undergraduate, resident or nonresident student, in an amount that the governing board of the institution considers necessary for the effective operation of the institution.	</t>
  </si>
  <si>
    <t>Tuition (Statutory)</t>
  </si>
  <si>
    <t>A tuition charge authorized under Texas Education Code, §54.051, in an amount determined by the Texas Legislature for resident or nonresident students. This includes the charge for state-funded continuing education courses.</t>
  </si>
  <si>
    <t>Tuition and Fees (Net)</t>
  </si>
  <si>
    <t>Current year totals of tuition and fees paid by students and parents after reduction by waivers, remissions, and exemptions or scholarship discounts and allowances.</t>
  </si>
  <si>
    <t>Programs authorized by state statute that allow a nonresident student to enroll in an institution of higher education and pay a reduced amount of nonresident tuition.</t>
  </si>
  <si>
    <t>Scholarship Discounts and Allowances</t>
  </si>
  <si>
    <t xml:space="preserve">The discount eliminates tuition revenues that are paid for by University resources which are recorded as revenue elsewhere on the financial statements (i.e. federal and state contracts and grants revenues). In addition, Scholarship Discounts and Allowances eliminate tuition revenue that is exempted from payment due to tuition exemptions approved by the Texas Legislature.  </t>
  </si>
  <si>
    <t xml:space="preserve">Scholarship Discounts and Allowances are scholarships, fellowships, and grants applied to tuition. </t>
  </si>
  <si>
    <t>Other Sources</t>
  </si>
  <si>
    <t>Federal Contracts &amp; Grants</t>
  </si>
  <si>
    <t>Revenues received by colleges and universities from the federal government through contractual agreements or grant awards.</t>
  </si>
  <si>
    <t>Federal Contracts are legally binding agreements where deliverables are expected, whereas Federal Grants are financial assistance provided without direct repayment obligations, aimed at supporting research, education, or other specified purposes.</t>
  </si>
  <si>
    <t xml:space="preserve">Revenues for colleges and universities derived from the fees charged by the professional staffs at health institutions as part of the Medical Practice Plans. </t>
  </si>
  <si>
    <t>Examples of such fees could include doctors' fees for clinic visits, medical and dental procedures, professional opinion and anatomical procedures, such as analysis of specimens after a surgical procedure, etc.</t>
  </si>
  <si>
    <t>Revenue associated with the operations of hospitals and clinic operations.</t>
  </si>
  <si>
    <t>Endowment and Interest 
Income</t>
  </si>
  <si>
    <t>Revenue derived from investments.</t>
  </si>
  <si>
    <t>Operating revenue grants and contracts received from local governmental entities.</t>
  </si>
  <si>
    <t>Operating revenue grants and contracts received from individuals, corporations, and non-profit entities not associated with a governmental entity.</t>
  </si>
  <si>
    <t xml:space="preserve">Includes (1) revenues that are related incidentally to the conduct of instruction, research, and public service and (2) revenues from activities that exist to provide an instructional and laboratory experience for students that incidentally create goods and services that may be sold. </t>
  </si>
  <si>
    <t>For Health-Related Institutions, it includes revenues generated from nonprofessional fees and miscellaneous income, e.g. reimbursement for long distance charges, collections for photocopy services, lab fees, computer services, rental of microscopes, etc.</t>
  </si>
  <si>
    <t xml:space="preserve">Revenues derived directly from the operation of auxiliary enterprises themselves. </t>
  </si>
  <si>
    <t>Any operating revenue that does not fall within one of the above categories should be included here.</t>
  </si>
  <si>
    <t>Other Income is primarily Other Operating and Other Non-operating Revenues from the AFR.</t>
  </si>
  <si>
    <t>Operating Uses, Functions &amp; Other Non-Operating Uses</t>
  </si>
  <si>
    <t>Functions</t>
  </si>
  <si>
    <t>Funds used primarily to support services for an institution’s primary mission of instruction, research, and public service. This may include technical support, academic administration, and the retention and display of educational materials.</t>
  </si>
  <si>
    <t>Expenses of activities that exist to furnish goods or services to students, faculty, or staff, and that charges a fee directly related to, although not necessarily equal to, the cost of the goods or services.</t>
  </si>
  <si>
    <t>Capital Outlay from Current 
Fund Sources</t>
  </si>
  <si>
    <t>Expenditures for the construction or acquisition of capital assets funded from current funding sources.</t>
  </si>
  <si>
    <t>Funds used for items such as central executive level management, fiscal operations, administrative data processing, human resources; and records, logistical activities and activities concerned with community and alumni relations.</t>
  </si>
  <si>
    <t>Funds used for all activities that are a part of an institution’s instruction program to include faculty salaries, academic departmental operating expenses, and support staff salaries.</t>
  </si>
  <si>
    <t>Operations &amp; 
Maintenance of Plant</t>
  </si>
  <si>
    <t>Funds used for the operation and maintenance of the physical plant, such as custodial services, landscape and ground maintenance, and utilities.</t>
  </si>
  <si>
    <t>Expenses for activities not directly related to the basic services performed by the institution, which do not fall within one of the above categories.</t>
  </si>
  <si>
    <t>Funds used for activities that are established primarily to provide non-instructional services beneficial to those external to the institution.</t>
  </si>
  <si>
    <t>Funds used for activities specifically organized to produce research outcomes.</t>
  </si>
  <si>
    <t>Scholarships &amp; Fellowships</t>
  </si>
  <si>
    <t>Funds used for scholarships and fellowships including tuition remissions and exemptions in the form of grants to students either from selection by the institution or from an entitlement program.</t>
  </si>
  <si>
    <t>Funds used for activities whose primary purpose is to contribute to the students’ emotional and physical well being outside the context of the formal instruction program. Included are funds used for the admissions and registrar offices.</t>
  </si>
  <si>
    <t>Other Uses of Funds</t>
  </si>
  <si>
    <t xml:space="preserve">Bond Proceeds are funds received from the sale of bonds and commercial paper used to finance capital projects.  This amount includes actual proceeds and accrued or anticipated proceeds to be transferred from System. </t>
  </si>
  <si>
    <t>Independent institutions report only to the extent expended in current year.</t>
  </si>
  <si>
    <t xml:space="preserve">Debt service payments are payments to service and retire debt issued to fund capital projects. </t>
  </si>
  <si>
    <t>System components do this via transfers to System Administrations.  Independent institutions use direct payment to appropriate paying agents.</t>
  </si>
  <si>
    <t>Mandatory &amp; Non-mandatory Transfers</t>
  </si>
  <si>
    <t xml:space="preserve">Mandatory and non-mandatory transfers includes transfers between funds, transfers between the University System and institutions and transfers to and from other state agencies.  In total, all transfers between funds net to zero with the exception of any amounts transferred between the University System, between other institutions, or to and from another state agency.  </t>
  </si>
  <si>
    <t xml:space="preserve">Additions to Permanent Endowments are additions to endowment principal.  </t>
  </si>
  <si>
    <t>This revenue is restricted for investment purposes only and cannot be used to fund operations.  Only interest income from these endowments, which is reported on the Endowment and Investment Income line of this report, can be used by the University to fund operations.</t>
  </si>
  <si>
    <t xml:space="preserve">Unrealized Gains / (Losses) represent the increase in the Fair Market Value of Investments and Endowments and are accrued as non-cash transactions. </t>
  </si>
  <si>
    <t xml:space="preserve">Therefore, funds are not actually received for this revenue stream.  Accordingly, this revenue is not cash revenue and cannot be used by the University to fund operations. </t>
  </si>
  <si>
    <t>Auxiliary enterprises are activities that furnish a service to students, faculty, or staff and charge a fee that is directly related to, although not necessarily equal to, the cost of the service (e.g. dormitories, dining halls, and bookstores). The activity is managed as essentially self-supporting.</t>
  </si>
  <si>
    <t>Related Resources</t>
  </si>
  <si>
    <t>There are no transfers of education and general funds provided by the State of Texas to restricted or auxiliary fund groups. Transfers between education and general funds and designated funds are related to Texas Public Education Grant as provided by the State of Texas.</t>
  </si>
  <si>
    <t>Examples include intercollegiate athletics, student health services, food services, student housing, and parking and transportation. Auxiliary Enterprises are required to be self-supporting, and therefore must operate on the funds they generate.</t>
  </si>
  <si>
    <t>National Association of College and University Business Officers</t>
  </si>
  <si>
    <t>The definitions provided here are for general understanding and illustrative purposes. Please refer to your AFR guidance, NACUBO, or other relevant sources as needed.</t>
  </si>
  <si>
    <r>
      <t>Full-Time Student
Equivalents</t>
    </r>
    <r>
      <rPr>
        <sz val="12"/>
        <color theme="1"/>
        <rFont val="Georgia"/>
        <family val="1"/>
      </rPr>
      <t>¹</t>
    </r>
  </si>
  <si>
    <r>
      <t>State Funded 
FTSE</t>
    </r>
    <r>
      <rPr>
        <sz val="12"/>
        <color theme="1"/>
        <rFont val="Georgia"/>
        <family val="1"/>
      </rPr>
      <t>²</t>
    </r>
  </si>
  <si>
    <r>
      <t>T/TT Fall
Faculty FTE</t>
    </r>
    <r>
      <rPr>
        <sz val="12"/>
        <color theme="1"/>
        <rFont val="Georgia"/>
        <family val="1"/>
      </rPr>
      <t>³</t>
    </r>
  </si>
  <si>
    <r>
      <t>Full-Time Student
Equivalents</t>
    </r>
    <r>
      <rPr>
        <vertAlign val="superscript"/>
        <sz val="12"/>
        <color theme="1"/>
        <rFont val="Georgia"/>
        <family val="1"/>
      </rPr>
      <t>1</t>
    </r>
  </si>
  <si>
    <t>Report as of February 2026</t>
  </si>
  <si>
    <t>Abbreviations | Acronyms</t>
  </si>
  <si>
    <t>Abbrev.</t>
  </si>
  <si>
    <t>Description</t>
  </si>
  <si>
    <t>(A+H)</t>
  </si>
  <si>
    <t xml:space="preserve">Academic + Health Professions </t>
  </si>
  <si>
    <t>(A+H+M)</t>
  </si>
  <si>
    <t>All Disciplines; Academic, Health Professions, and Medical</t>
  </si>
  <si>
    <t>(M)</t>
  </si>
  <si>
    <t>Medical</t>
  </si>
  <si>
    <t>AFR</t>
  </si>
  <si>
    <t>Annual Financial Report</t>
  </si>
  <si>
    <t>AUF</t>
  </si>
  <si>
    <t>GASB</t>
  </si>
  <si>
    <t>Governmental Accounting Standards Board</t>
  </si>
  <si>
    <t>GR</t>
  </si>
  <si>
    <t>General Revenue</t>
  </si>
  <si>
    <t>HEF</t>
  </si>
  <si>
    <t>IFRS</t>
  </si>
  <si>
    <t>Integrated Financial Reporting System</t>
  </si>
  <si>
    <t>NACUBO</t>
  </si>
  <si>
    <t>PUF</t>
  </si>
  <si>
    <t>Permanent University Fund</t>
  </si>
  <si>
    <t>SCH</t>
  </si>
  <si>
    <t>Semester Credit Hour</t>
  </si>
  <si>
    <t>SRECNP</t>
  </si>
  <si>
    <t>Schedule of Revenues, Expenses, and Changes in Net Position</t>
  </si>
  <si>
    <t>Contact Information</t>
  </si>
  <si>
    <t>Summary (by Institution)</t>
  </si>
  <si>
    <t>http://www.txhigheredaccountability.org/AcctPublic/</t>
  </si>
  <si>
    <t>https://reportcenter.highered.texas.gov/agency-publication/almanac/</t>
  </si>
  <si>
    <t xml:space="preserve">Comparison (by Institution) </t>
  </si>
  <si>
    <t>Sources (Revenue)</t>
  </si>
  <si>
    <t>Uses (Expenditures)</t>
  </si>
  <si>
    <t>FTSE | FTFE</t>
  </si>
  <si>
    <t>https://www.txhighereddata.org/institution-overviews/institutional-online-resumes/</t>
  </si>
  <si>
    <t>Table of Contents</t>
  </si>
  <si>
    <t>Provides definitions for financial terms, funding methods, reporting categories, and acronyms, aligns with the Texas Administrative Code (updated October 2024).</t>
  </si>
  <si>
    <t>Paula Castanon</t>
  </si>
  <si>
    <t>pcastanon@utsystem.edu</t>
  </si>
  <si>
    <t>Rayomand Ghadiali</t>
  </si>
  <si>
    <t xml:space="preserve"> 5124994213</t>
  </si>
  <si>
    <t xml:space="preserve"> rghadiali@utsystem.edu</t>
  </si>
  <si>
    <t xml:space="preserve"> 9794586090</t>
  </si>
  <si>
    <t xml:space="preserve"> 7137431533</t>
  </si>
  <si>
    <t>Micchael Hensley</t>
  </si>
  <si>
    <t>michael.hensley@untsystem.edu</t>
  </si>
  <si>
    <t>Brittany Wisdom</t>
  </si>
  <si>
    <t xml:space="preserve"> 9403695524</t>
  </si>
  <si>
    <t xml:space="preserve"> brittany.wisdom@untsystem.edu</t>
  </si>
  <si>
    <t>Mallory Barnes</t>
  </si>
  <si>
    <t>mallory.barnes@ttu.edu</t>
  </si>
  <si>
    <t>Carmichael Sarah</t>
  </si>
  <si>
    <t xml:space="preserve"> 8068341838</t>
  </si>
  <si>
    <t xml:space="preserve"> sarah.carmichael@ttu.edu</t>
  </si>
  <si>
    <t>James Webb</t>
  </si>
  <si>
    <t>james.webb@tsus.edu</t>
  </si>
  <si>
    <t>Daniel Harper</t>
  </si>
  <si>
    <t xml:space="preserve"> 5124636449</t>
  </si>
  <si>
    <t xml:space="preserve"> daniel.harper@tsus.edu</t>
  </si>
  <si>
    <t xml:space="preserve"> 9563644058</t>
  </si>
  <si>
    <t>Footnote formulas for FGD Worksheet</t>
  </si>
  <si>
    <t>Of the net increase of</t>
  </si>
  <si>
    <t>approximately</t>
  </si>
  <si>
    <t>represents revenues received but not yet expended. This income is fully committed to program expenditures and capital disbursements. The remaining</t>
  </si>
  <si>
    <t>represents non-expendable funds from unrealized gains and additions to permanent endowments of approximately</t>
  </si>
  <si>
    <t>and</t>
  </si>
  <si>
    <t>respectively.</t>
  </si>
  <si>
    <t>Unrealized gains and additions to permanent endowments do not contribute to the availability of the institution's operating cash.</t>
  </si>
  <si>
    <t>Footnote Rev Rec'd</t>
  </si>
  <si>
    <t>Footnote Non Exp</t>
  </si>
  <si>
    <t>https://www.lbb.texas.gov/budget.aspx</t>
  </si>
  <si>
    <t>Legislate Budget Board: General Appropriations Acts</t>
  </si>
  <si>
    <t>Exemptions, Waivers, Scholarships &amp; Discounts</t>
  </si>
  <si>
    <t>https://www.hhloans.com/types-of-financial-aid/</t>
  </si>
  <si>
    <t>Comptroller’s Office: Tuition and Scholarship Allowances</t>
  </si>
  <si>
    <t>https://fmx.cpa.texas.gov/fmx/pubs/afrrptreq/universities/index.php?section
=organization&amp;page=tuition</t>
  </si>
  <si>
    <t>Comptroller’s Office: Definitions</t>
  </si>
  <si>
    <t>https://fmx.cpa.texas.gov/fmx/pubs/afrrptreq/resources/index.php?section
=definitions&amp;page=definitions</t>
  </si>
  <si>
    <t>https://www.nacubo.org/</t>
  </si>
  <si>
    <t>Texas Higher Education Coordinating Board:  Sources &amp; Uses</t>
  </si>
  <si>
    <t>Texas Education Code:  Sec. 61.065. Reporting; Accounting</t>
  </si>
  <si>
    <t>https://www.highered.texas.gov/legislative-appropriations-overviews/
sources-and-uses/</t>
  </si>
  <si>
    <t>https://statutes.capitol.texas.gov/?tab=1&amp;code=ED&amp;chapter=
ED.61&amp;artSec=61.065</t>
  </si>
  <si>
    <r>
      <t xml:space="preserve">This workbook reflects data submitted through the </t>
    </r>
    <r>
      <rPr>
        <b/>
        <sz val="14"/>
        <color theme="1"/>
        <rFont val="Georgia"/>
        <family val="1"/>
      </rPr>
      <t>Sources &amp; Uses Survey</t>
    </r>
    <r>
      <rPr>
        <sz val="14"/>
        <color theme="1"/>
        <rFont val="Georgia"/>
        <family val="1"/>
      </rPr>
      <t xml:space="preserve"> and provides a comprehensive overview of each institution’s “all funds” sources and uses of available funds for the fiscal year. The information includes revenues from federal, state, and private sources; tuition and fees; and other institutional funds, as well as expenditures across major functional categories.
Data compiled in this workbook supports multiple statewide reporting and policy initiatives, including higher education funding formulas, the state Accountability System, and institutional online resumes. The workbook is an internal working document developed by the Coordinating Board and is made available for institutional reference and analysis.</t>
    </r>
  </si>
  <si>
    <t>Institutional Resumes</t>
  </si>
  <si>
    <t>National Association of College and University Business Officers 
(NACUBO)</t>
  </si>
  <si>
    <t>Accountability</t>
  </si>
  <si>
    <t>Almanac</t>
  </si>
  <si>
    <r>
      <t>Lists full-time student equivalent (</t>
    </r>
    <r>
      <rPr>
        <b/>
        <sz val="12"/>
        <color theme="1"/>
        <rFont val="Georgia"/>
        <family val="1"/>
      </rPr>
      <t>FTSE</t>
    </r>
    <r>
      <rPr>
        <sz val="12"/>
        <color theme="1"/>
        <rFont val="Georgia"/>
        <family val="1"/>
      </rPr>
      <t>) and full-time faculty equivalent (</t>
    </r>
    <r>
      <rPr>
        <b/>
        <sz val="12"/>
        <color theme="1"/>
        <rFont val="Georgia"/>
        <family val="1"/>
      </rPr>
      <t>FTFE</t>
    </r>
    <r>
      <rPr>
        <sz val="12"/>
        <color theme="1"/>
        <rFont val="Georgia"/>
        <family val="1"/>
      </rPr>
      <t>) for the 2024-2025 academic year across all Texas Public Universities, Health-Related Institutions, Lamar State Colleges, and Texas State Technical Colleges.</t>
    </r>
  </si>
  <si>
    <r>
      <t>Provides a detailed breakdown of</t>
    </r>
    <r>
      <rPr>
        <b/>
        <sz val="12"/>
        <color theme="1"/>
        <rFont val="Georgia"/>
        <family val="1"/>
      </rPr>
      <t xml:space="preserve"> Tuition &amp; Fees</t>
    </r>
    <r>
      <rPr>
        <sz val="12"/>
        <color theme="1"/>
        <rFont val="Georgia"/>
        <family val="1"/>
      </rPr>
      <t xml:space="preserve"> by institution type, including universities, health-related institutions, state colleges, and technical colleges. It outlines gross tuition and fees, and further details statutory and institutional waivers, exemptions, scholarships, discounts, and other allowances, ultimately calculating the net tuition and fees for each institution.</t>
    </r>
  </si>
  <si>
    <r>
      <t xml:space="preserve">Provides detailed expenditure data for </t>
    </r>
    <r>
      <rPr>
        <b/>
        <sz val="12"/>
        <color theme="1"/>
        <rFont val="Georgia"/>
        <family val="1"/>
      </rPr>
      <t>Instruction</t>
    </r>
    <r>
      <rPr>
        <sz val="12"/>
        <color theme="1"/>
        <rFont val="Georgia"/>
        <family val="1"/>
      </rPr>
      <t xml:space="preserve">, </t>
    </r>
    <r>
      <rPr>
        <b/>
        <sz val="12"/>
        <color theme="1"/>
        <rFont val="Georgia"/>
        <family val="1"/>
      </rPr>
      <t>Research</t>
    </r>
    <r>
      <rPr>
        <sz val="12"/>
        <color theme="1"/>
        <rFont val="Georgia"/>
        <family val="1"/>
      </rPr>
      <t xml:space="preserve">, </t>
    </r>
    <r>
      <rPr>
        <b/>
        <sz val="12"/>
        <color theme="1"/>
        <rFont val="Georgia"/>
        <family val="1"/>
      </rPr>
      <t>Academic</t>
    </r>
    <r>
      <rPr>
        <sz val="12"/>
        <color theme="1"/>
        <rFont val="Georgia"/>
        <family val="1"/>
      </rPr>
      <t xml:space="preserve"> </t>
    </r>
    <r>
      <rPr>
        <b/>
        <sz val="12"/>
        <color theme="1"/>
        <rFont val="Georgia"/>
        <family val="1"/>
      </rPr>
      <t>Support</t>
    </r>
    <r>
      <rPr>
        <sz val="12"/>
        <color theme="1"/>
        <rFont val="Georgia"/>
        <family val="1"/>
      </rPr>
      <t xml:space="preserve">, </t>
    </r>
    <r>
      <rPr>
        <b/>
        <sz val="12"/>
        <color theme="1"/>
        <rFont val="Georgia"/>
        <family val="1"/>
      </rPr>
      <t>Student</t>
    </r>
    <r>
      <rPr>
        <sz val="12"/>
        <color theme="1"/>
        <rFont val="Georgia"/>
        <family val="1"/>
      </rPr>
      <t xml:space="preserve"> </t>
    </r>
    <r>
      <rPr>
        <b/>
        <sz val="12"/>
        <color theme="1"/>
        <rFont val="Georgia"/>
        <family val="1"/>
      </rPr>
      <t>Services</t>
    </r>
    <r>
      <rPr>
        <sz val="12"/>
        <color theme="1"/>
        <rFont val="Georgia"/>
        <family val="1"/>
      </rPr>
      <t xml:space="preserve">, and </t>
    </r>
    <r>
      <rPr>
        <b/>
        <sz val="12"/>
        <color theme="1"/>
        <rFont val="Georgia"/>
        <family val="1"/>
      </rPr>
      <t>Institutional</t>
    </r>
    <r>
      <rPr>
        <sz val="12"/>
        <color theme="1"/>
        <rFont val="Georgia"/>
        <family val="1"/>
      </rPr>
      <t xml:space="preserve"> </t>
    </r>
    <r>
      <rPr>
        <b/>
        <sz val="12"/>
        <color theme="1"/>
        <rFont val="Georgia"/>
        <family val="1"/>
      </rPr>
      <t>Support</t>
    </r>
    <r>
      <rPr>
        <sz val="12"/>
        <color theme="1"/>
        <rFont val="Georgia"/>
        <family val="1"/>
      </rPr>
      <t xml:space="preserve">, derived from specific expenditure functions reported in the </t>
    </r>
    <r>
      <rPr>
        <b/>
        <sz val="12"/>
        <color theme="1"/>
        <rFont val="Georgia"/>
        <family val="1"/>
      </rPr>
      <t>Sources &amp; Uses Survey</t>
    </r>
    <r>
      <rPr>
        <sz val="12"/>
        <color theme="1"/>
        <rFont val="Georgia"/>
        <family val="1"/>
      </rPr>
      <t xml:space="preserve">. This information in this report forms the foundation for the </t>
    </r>
    <r>
      <rPr>
        <b/>
        <sz val="12"/>
        <color theme="1"/>
        <rFont val="Georgia"/>
        <family val="1"/>
      </rPr>
      <t>Public University Expenditure Study</t>
    </r>
    <r>
      <rPr>
        <sz val="12"/>
        <color theme="1"/>
        <rFont val="Georgia"/>
        <family val="1"/>
      </rPr>
      <t>, which is used to determine relative funding weights for academic disciplines.</t>
    </r>
  </si>
  <si>
    <r>
      <t xml:space="preserve">Displays institutional </t>
    </r>
    <r>
      <rPr>
        <b/>
        <sz val="12"/>
        <color theme="1"/>
        <rFont val="Georgia"/>
        <family val="1"/>
      </rPr>
      <t>Expenditures</t>
    </r>
    <r>
      <rPr>
        <sz val="12"/>
        <color theme="1"/>
        <rFont val="Georgia"/>
        <family val="1"/>
      </rPr>
      <t xml:space="preserve"> data categorized as Instructional, Academic Support, Institutional Support, Other Expenses, and Total Expenses. Data is presented in total dollars and per full-time student equivalent (FTSE).</t>
    </r>
  </si>
  <si>
    <r>
      <t xml:space="preserve">Displays </t>
    </r>
    <r>
      <rPr>
        <b/>
        <sz val="12"/>
        <color theme="1"/>
        <rFont val="Georgia"/>
        <family val="1"/>
      </rPr>
      <t>Revenue</t>
    </r>
    <r>
      <rPr>
        <sz val="12"/>
        <color theme="1"/>
        <rFont val="Georgia"/>
        <family val="1"/>
      </rPr>
      <t xml:space="preserve"> data reported by institutions, categorized as State Revenue, Constitutional Funds, Tuition &amp; Fees, Federal Revenue, Institutional Revenue, and Total Revenue. Data is presented in total dollars and per full-time student equivalent (FTSE).</t>
    </r>
  </si>
  <si>
    <r>
      <t>Enables users to do a side by side comparison for up to three institutions.  The comparison includes a summary of each institution</t>
    </r>
    <r>
      <rPr>
        <b/>
        <sz val="12"/>
        <color theme="1"/>
        <rFont val="Georgia"/>
        <family val="1"/>
      </rPr>
      <t>’s Revenue &amp; Expenditure</t>
    </r>
    <r>
      <rPr>
        <sz val="12"/>
        <color theme="1"/>
        <rFont val="Georgia"/>
        <family val="1"/>
      </rPr>
      <t xml:space="preserve"> data , along with per full-time student equivalent (</t>
    </r>
    <r>
      <rPr>
        <b/>
        <sz val="12"/>
        <color theme="1"/>
        <rFont val="Georgia"/>
        <family val="1"/>
      </rPr>
      <t>FTSE</t>
    </r>
    <r>
      <rPr>
        <sz val="12"/>
        <color theme="1"/>
        <rFont val="Georgia"/>
        <family val="1"/>
      </rPr>
      <t>) metrics, providing insight into financial differences and funding structures.
Note: The dropdown menu options include universities, health-related institutions, state colleges, and state technical colleges (excludes system and agency offices).</t>
    </r>
  </si>
  <si>
    <r>
      <t>Aggregates</t>
    </r>
    <r>
      <rPr>
        <b/>
        <sz val="12"/>
        <color theme="1"/>
        <rFont val="Georgia"/>
        <family val="1"/>
      </rPr>
      <t xml:space="preserve"> Revenue &amp; Expenditure</t>
    </r>
    <r>
      <rPr>
        <sz val="12"/>
        <color theme="1"/>
        <rFont val="Georgia"/>
        <family val="1"/>
      </rPr>
      <t xml:space="preserve"> data by institution type, providing a summary for universities (</t>
    </r>
    <r>
      <rPr>
        <b/>
        <sz val="12"/>
        <color theme="1"/>
        <rFont val="Georgia"/>
        <family val="1"/>
      </rPr>
      <t>36</t>
    </r>
    <r>
      <rPr>
        <sz val="12"/>
        <color theme="1"/>
        <rFont val="Georgia"/>
        <family val="1"/>
      </rPr>
      <t>), health-related institutions (</t>
    </r>
    <r>
      <rPr>
        <b/>
        <sz val="12"/>
        <color theme="1"/>
        <rFont val="Georgia"/>
        <family val="1"/>
      </rPr>
      <t>14</t>
    </r>
    <r>
      <rPr>
        <sz val="12"/>
        <color theme="1"/>
        <rFont val="Georgia"/>
        <family val="1"/>
      </rPr>
      <t>), state colleges (</t>
    </r>
    <r>
      <rPr>
        <b/>
        <sz val="12"/>
        <color theme="1"/>
        <rFont val="Georgia"/>
        <family val="1"/>
      </rPr>
      <t>3</t>
    </r>
    <r>
      <rPr>
        <sz val="12"/>
        <color theme="1"/>
        <rFont val="Georgia"/>
        <family val="1"/>
      </rPr>
      <t>), and state technical colleges (</t>
    </r>
    <r>
      <rPr>
        <b/>
        <sz val="12"/>
        <color theme="1"/>
        <rFont val="Georgia"/>
        <family val="1"/>
      </rPr>
      <t>6</t>
    </r>
    <r>
      <rPr>
        <sz val="12"/>
        <color theme="1"/>
        <rFont val="Georgia"/>
        <family val="1"/>
      </rPr>
      <t>). System offices and agency offices are excluded, ensuring the focus remains on institutions with student-related financial data. 
Note: A list of the institutions included in the aggregated data is displayed near the top right of the worksheet for reference.</t>
    </r>
  </si>
  <si>
    <r>
      <t>Consolidates</t>
    </r>
    <r>
      <rPr>
        <b/>
        <sz val="12"/>
        <color theme="1"/>
        <rFont val="Georgia"/>
        <family val="1"/>
      </rPr>
      <t xml:space="preserve"> Revenue &amp; Expenditure</t>
    </r>
    <r>
      <rPr>
        <sz val="12"/>
        <color theme="1"/>
        <rFont val="Georgia"/>
        <family val="1"/>
      </rPr>
      <t xml:space="preserve"> data at the university system level, incorporating submissions from system offices, agencies, universities, colleges, and health-related institutions. 
Note: A list of the institutions included in the aggregated data is displayed near the top right of the worksheet for reference.</t>
    </r>
  </si>
  <si>
    <r>
      <t xml:space="preserve">Provides a summary of </t>
    </r>
    <r>
      <rPr>
        <b/>
        <sz val="12"/>
        <color theme="1"/>
        <rFont val="Georgia"/>
        <family val="1"/>
      </rPr>
      <t>Revenue &amp; Expenditure</t>
    </r>
    <r>
      <rPr>
        <sz val="12"/>
        <color theme="1"/>
        <rFont val="Georgia"/>
        <family val="1"/>
      </rPr>
      <t xml:space="preserve"> data for each institution, with per </t>
    </r>
    <r>
      <rPr>
        <b/>
        <sz val="12"/>
        <color theme="1"/>
        <rFont val="Georgia"/>
        <family val="1"/>
      </rPr>
      <t>full-time student equivalent</t>
    </r>
    <r>
      <rPr>
        <sz val="12"/>
        <color theme="1"/>
        <rFont val="Georgia"/>
        <family val="1"/>
      </rPr>
      <t xml:space="preserve"> (</t>
    </r>
    <r>
      <rPr>
        <b/>
        <sz val="12"/>
        <color theme="1"/>
        <rFont val="Georgia"/>
        <family val="1"/>
      </rPr>
      <t>FTSE</t>
    </r>
    <r>
      <rPr>
        <sz val="12"/>
        <color theme="1"/>
        <rFont val="Georgia"/>
        <family val="1"/>
      </rPr>
      <t>) calculations where applicable.
Note: System offices and TAMU agencies are included but do not have FTSE calculations.</t>
    </r>
  </si>
  <si>
    <r>
      <t xml:space="preserve">Provides </t>
    </r>
    <r>
      <rPr>
        <b/>
        <sz val="12"/>
        <color theme="1"/>
        <rFont val="Georgia"/>
        <family val="1"/>
      </rPr>
      <t xml:space="preserve">Revenue &amp; Expenditure </t>
    </r>
    <r>
      <rPr>
        <sz val="12"/>
        <color theme="1"/>
        <rFont val="Georgia"/>
        <family val="1"/>
      </rPr>
      <t xml:space="preserve">data for fiscal year </t>
    </r>
    <r>
      <rPr>
        <b/>
        <sz val="12"/>
        <color theme="1"/>
        <rFont val="Georgia"/>
        <family val="1"/>
      </rPr>
      <t>2025</t>
    </r>
    <r>
      <rPr>
        <sz val="12"/>
        <color theme="1"/>
        <rFont val="Georgia"/>
        <family val="1"/>
      </rPr>
      <t xml:space="preserve">, as reported by each institution in the </t>
    </r>
    <r>
      <rPr>
        <b/>
        <sz val="12"/>
        <color theme="1"/>
        <rFont val="Georgia"/>
        <family val="1"/>
      </rPr>
      <t>Sources &amp; Uses Survey</t>
    </r>
    <r>
      <rPr>
        <sz val="12"/>
        <color theme="1"/>
        <rFont val="Georgia"/>
        <family val="1"/>
      </rPr>
      <t xml:space="preserve">. </t>
    </r>
  </si>
  <si>
    <r>
      <t xml:space="preserve">Provides a list of the </t>
    </r>
    <r>
      <rPr>
        <b/>
        <sz val="12"/>
        <color theme="1"/>
        <rFont val="Georgia"/>
        <family val="1"/>
      </rPr>
      <t xml:space="preserve">primary </t>
    </r>
    <r>
      <rPr>
        <sz val="12"/>
        <color theme="1"/>
        <rFont val="Georgia"/>
        <family val="1"/>
      </rPr>
      <t>and</t>
    </r>
    <r>
      <rPr>
        <b/>
        <sz val="12"/>
        <color theme="1"/>
        <rFont val="Georgia"/>
        <family val="1"/>
      </rPr>
      <t xml:space="preserve"> backup contacts</t>
    </r>
    <r>
      <rPr>
        <sz val="12"/>
        <color theme="1"/>
        <rFont val="Georgia"/>
        <family val="1"/>
      </rPr>
      <t xml:space="preserve"> for each institution, including </t>
    </r>
    <r>
      <rPr>
        <b/>
        <sz val="12"/>
        <color theme="1"/>
        <rFont val="Georgia"/>
        <family val="1"/>
      </rPr>
      <t>name</t>
    </r>
    <r>
      <rPr>
        <sz val="12"/>
        <color theme="1"/>
        <rFont val="Georgia"/>
        <family val="1"/>
      </rPr>
      <t xml:space="preserve">, </t>
    </r>
    <r>
      <rPr>
        <b/>
        <sz val="12"/>
        <color theme="1"/>
        <rFont val="Georgia"/>
        <family val="1"/>
      </rPr>
      <t>phone number</t>
    </r>
    <r>
      <rPr>
        <sz val="12"/>
        <color theme="1"/>
        <rFont val="Georgia"/>
        <family val="1"/>
      </rPr>
      <t xml:space="preserve">, and </t>
    </r>
    <r>
      <rPr>
        <b/>
        <sz val="12"/>
        <color theme="1"/>
        <rFont val="Georgia"/>
        <family val="1"/>
      </rPr>
      <t>email address</t>
    </r>
    <r>
      <rPr>
        <sz val="12"/>
        <color theme="1"/>
        <rFont val="Georgia"/>
        <family val="1"/>
      </rPr>
      <t xml:space="preserve"> (if provided).</t>
    </r>
  </si>
  <si>
    <t>sharon.leary@utsouthwestern.edu</t>
  </si>
  <si>
    <t>unavailable</t>
  </si>
  <si>
    <t>Published April 2026</t>
  </si>
  <si>
    <r>
      <t xml:space="preserve">Additionally, expenditures categorized under </t>
    </r>
    <r>
      <rPr>
        <b/>
        <sz val="12"/>
        <color theme="1"/>
        <rFont val="Georgia"/>
        <family val="1"/>
      </rPr>
      <t>Capital</t>
    </r>
    <r>
      <rPr>
        <sz val="12"/>
        <color theme="1"/>
        <rFont val="Georgia"/>
        <family val="1"/>
      </rPr>
      <t xml:space="preserve"> </t>
    </r>
    <r>
      <rPr>
        <b/>
        <sz val="12"/>
        <color theme="1"/>
        <rFont val="Georgia"/>
        <family val="1"/>
      </rPr>
      <t>Outlay</t>
    </r>
    <r>
      <rPr>
        <sz val="12"/>
        <color theme="1"/>
        <rFont val="Georgia"/>
        <family val="1"/>
      </rPr>
      <t xml:space="preserve"> for this function, as reported in the </t>
    </r>
    <r>
      <rPr>
        <i/>
        <sz val="12"/>
        <color theme="1"/>
        <rFont val="Georgia"/>
        <family val="1"/>
      </rPr>
      <t>Cost</t>
    </r>
    <r>
      <rPr>
        <sz val="12"/>
        <color theme="1"/>
        <rFont val="Georgia"/>
        <family val="1"/>
      </rPr>
      <t xml:space="preserve"> </t>
    </r>
    <r>
      <rPr>
        <i/>
        <sz val="12"/>
        <color theme="1"/>
        <rFont val="Georgia"/>
        <family val="1"/>
      </rPr>
      <t>Study</t>
    </r>
    <r>
      <rPr>
        <sz val="12"/>
        <color theme="1"/>
        <rFont val="Georgia"/>
        <family val="1"/>
      </rPr>
      <t xml:space="preserve"> </t>
    </r>
    <r>
      <rPr>
        <i/>
        <sz val="12"/>
        <color theme="1"/>
        <rFont val="Georgia"/>
        <family val="1"/>
      </rPr>
      <t>Input</t>
    </r>
    <r>
      <rPr>
        <sz val="12"/>
        <color theme="1"/>
        <rFont val="Georgia"/>
        <family val="1"/>
      </rPr>
      <t xml:space="preserve"> survey, are included in the total.</t>
    </r>
  </si>
  <si>
    <t>Academic Cost Study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</si>
</sst>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quot;$&quot;* #,##0.00_);_(&quot;$&quot;* \(#,##0.00\);_(&quot;$&quot;* &quot;-&quot;??_);_(@_)"/>
    <numFmt numFmtId="164" formatCode="000000"/>
    <numFmt numFmtId="165" formatCode="[&lt;=9999999]###\-####;\(###\)\ ###\-####"/>
    <numFmt numFmtId="166" formatCode="&quot;$&quot;#,##0"/>
    <numFmt numFmtId="167" formatCode="0.0%"/>
    <numFmt numFmtId="168" formatCode="@\¹"/>
    <numFmt numFmtId="169" formatCode="@\²"/>
    <numFmt numFmtId="170" formatCode="@\³"/>
    <numFmt numFmtId="171" formatCode="@\⁴"/>
  </numFmts>
  <fonts count="51" x14ac:knownFonts="1">
    <font>
      <sz val="12"/>
      <color theme="1"/>
      <name val="Georgia"/>
      <family val="1"/>
    </font>
    <font>
      <sz val="8"/>
      <name val="Segoe UI"/>
      <family val="2"/>
      <scheme val="minor"/>
    </font>
    <font>
      <sz val="11"/>
      <color rgb="FF3F3F76"/>
      <name val="Overpass"/>
      <family val="2"/>
    </font>
    <font>
      <b/>
      <sz val="11"/>
      <color rgb="FF3F3F3F"/>
      <name val="Overpass"/>
      <family val="2"/>
    </font>
    <font>
      <b/>
      <sz val="11"/>
      <color rgb="FFFA7D00"/>
      <name val="Overpass"/>
      <family val="2"/>
    </font>
    <font>
      <sz val="11"/>
      <color rgb="FFFA7D00"/>
      <name val="Overpass"/>
      <family val="2"/>
    </font>
    <font>
      <b/>
      <sz val="11"/>
      <color theme="0"/>
      <name val="Overpass"/>
      <family val="2"/>
    </font>
    <font>
      <sz val="11"/>
      <color rgb="FFFF0000"/>
      <name val="Overpass"/>
      <family val="2"/>
    </font>
    <font>
      <i/>
      <sz val="11"/>
      <color rgb="FF7F7F7F"/>
      <name val="Overpass"/>
      <family val="2"/>
    </font>
    <font>
      <u/>
      <sz val="11"/>
      <color theme="10"/>
      <name val="Segoe UI"/>
      <family val="2"/>
      <scheme val="minor"/>
    </font>
    <font>
      <u/>
      <sz val="11"/>
      <color theme="11"/>
      <name val="Segoe UI"/>
      <family val="2"/>
      <scheme val="minor"/>
    </font>
    <font>
      <sz val="11"/>
      <color rgb="FF9C0006"/>
      <name val="Segoe UI"/>
      <family val="2"/>
    </font>
    <font>
      <sz val="11"/>
      <color rgb="FF006100"/>
      <name val="Segoe UI"/>
      <family val="2"/>
    </font>
    <font>
      <sz val="11"/>
      <color rgb="FF9C5700"/>
      <name val="Segoe UI"/>
      <family val="2"/>
    </font>
    <font>
      <sz val="12"/>
      <color theme="1"/>
      <name val="Georgia Pro"/>
      <family val="1"/>
    </font>
    <font>
      <sz val="11"/>
      <color theme="1"/>
      <name val="Segoe UI"/>
      <family val="2"/>
      <scheme val="minor"/>
    </font>
    <font>
      <sz val="18"/>
      <color theme="3"/>
      <name val="Segoe UI"/>
      <family val="2"/>
      <scheme val="major"/>
    </font>
    <font>
      <sz val="12"/>
      <color theme="1"/>
      <name val="Georgia"/>
      <family val="1"/>
    </font>
    <font>
      <b/>
      <sz val="16"/>
      <color theme="0"/>
      <name val="Georgia"/>
      <family val="1"/>
    </font>
    <font>
      <sz val="12"/>
      <color theme="4"/>
      <name val="Georgia"/>
      <family val="1"/>
    </font>
    <font>
      <b/>
      <sz val="12"/>
      <color theme="0"/>
      <name val="Georgia"/>
      <family val="1"/>
    </font>
    <font>
      <b/>
      <sz val="12"/>
      <color theme="1"/>
      <name val="Georgia"/>
      <family val="1"/>
    </font>
    <font>
      <b/>
      <sz val="16"/>
      <color theme="1"/>
      <name val="Georgia"/>
      <family val="1"/>
    </font>
    <font>
      <b/>
      <sz val="20"/>
      <color theme="1"/>
      <name val="Georgia"/>
      <family val="1"/>
    </font>
    <font>
      <sz val="8"/>
      <name val="Georgia Pro"/>
      <family val="1"/>
    </font>
    <font>
      <b/>
      <sz val="14"/>
      <color theme="1"/>
      <name val="Georgia"/>
      <family val="1"/>
    </font>
    <font>
      <b/>
      <sz val="14"/>
      <color theme="0"/>
      <name val="Georgia"/>
      <family val="1"/>
    </font>
    <font>
      <sz val="12"/>
      <color theme="0"/>
      <name val="Georgia"/>
      <family val="1"/>
    </font>
    <font>
      <b/>
      <sz val="18"/>
      <color theme="1"/>
      <name val="Georgia"/>
      <family val="1"/>
    </font>
    <font>
      <sz val="14"/>
      <color theme="1"/>
      <name val="Georgia"/>
      <family val="1"/>
    </font>
    <font>
      <b/>
      <i/>
      <sz val="11"/>
      <color theme="1"/>
      <name val="Georgia"/>
      <family val="1"/>
    </font>
    <font>
      <sz val="11"/>
      <color theme="1"/>
      <name val="Georgia"/>
      <family val="1"/>
    </font>
    <font>
      <b/>
      <i/>
      <sz val="12"/>
      <color theme="1"/>
      <name val="Georgia"/>
      <family val="1"/>
    </font>
    <font>
      <i/>
      <sz val="12"/>
      <color theme="1"/>
      <name val="Georgia"/>
      <family val="1"/>
    </font>
    <font>
      <i/>
      <sz val="14"/>
      <color theme="1"/>
      <name val="Georgia"/>
      <family val="1"/>
    </font>
    <font>
      <sz val="14"/>
      <color theme="0"/>
      <name val="Georgia"/>
      <family val="1"/>
    </font>
    <font>
      <b/>
      <sz val="11"/>
      <color theme="1"/>
      <name val="Georgia"/>
      <family val="1"/>
    </font>
    <font>
      <b/>
      <sz val="12"/>
      <name val="Georgia"/>
      <family val="1"/>
    </font>
    <font>
      <b/>
      <u/>
      <sz val="11"/>
      <color theme="1"/>
      <name val="Georgia"/>
      <family val="1"/>
    </font>
    <font>
      <sz val="11"/>
      <color theme="4"/>
      <name val="Georgia"/>
      <family val="1"/>
    </font>
    <font>
      <b/>
      <sz val="11"/>
      <color theme="0"/>
      <name val="Georgia"/>
      <family val="1"/>
    </font>
    <font>
      <b/>
      <sz val="11"/>
      <color theme="4"/>
      <name val="Georgia"/>
      <family val="1"/>
    </font>
    <font>
      <b/>
      <sz val="13.5"/>
      <color theme="0"/>
      <name val="Georgia"/>
      <family val="1"/>
    </font>
    <font>
      <b/>
      <sz val="14"/>
      <name val="Georgia"/>
      <family val="1"/>
    </font>
    <font>
      <vertAlign val="superscript"/>
      <sz val="12"/>
      <color theme="1"/>
      <name val="Georgia"/>
      <family val="1"/>
    </font>
    <font>
      <b/>
      <sz val="12"/>
      <color theme="4"/>
      <name val="Segoe UI"/>
      <family val="2"/>
    </font>
    <font>
      <sz val="12"/>
      <color theme="4"/>
      <name val="Segoe UI"/>
      <family val="2"/>
    </font>
    <font>
      <u/>
      <sz val="12"/>
      <color theme="10"/>
      <name val="Georgia"/>
      <family val="1"/>
    </font>
    <font>
      <u/>
      <sz val="12"/>
      <color theme="11"/>
      <name val="Georgia"/>
      <family val="1"/>
    </font>
    <font>
      <b/>
      <sz val="14"/>
      <color theme="3"/>
      <name val="Georgia"/>
      <family val="1"/>
    </font>
    <font>
      <b/>
      <sz val="11"/>
      <color theme="3"/>
      <name val="Georgia"/>
      <family val="1"/>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0"/>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theme="8"/>
        <bgColor indexed="64"/>
      </patternFill>
    </fill>
    <fill>
      <patternFill patternType="solid">
        <fgColor theme="4"/>
        <bgColor indexed="64"/>
      </patternFill>
    </fill>
    <fill>
      <patternFill patternType="solid">
        <fgColor theme="5"/>
        <bgColor indexed="64"/>
      </patternFill>
    </fill>
    <fill>
      <patternFill patternType="solid">
        <fgColor theme="0" tint="-4.9989318521683403E-2"/>
        <bgColor indexed="64"/>
      </patternFill>
    </fill>
    <fill>
      <patternFill patternType="solid">
        <fgColor theme="6"/>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theme="1"/>
        <bgColor indexed="64"/>
      </patternFill>
    </fill>
  </fills>
  <borders count="23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theme="4"/>
      </left>
      <right/>
      <top/>
      <bottom/>
      <diagonal/>
    </border>
    <border>
      <left style="thin">
        <color theme="4"/>
      </left>
      <right style="thin">
        <color theme="4"/>
      </right>
      <top style="thin">
        <color theme="4"/>
      </top>
      <bottom style="thin">
        <color theme="0"/>
      </bottom>
      <diagonal/>
    </border>
    <border>
      <left/>
      <right/>
      <top/>
      <bottom style="thin">
        <color theme="0" tint="-4.9989318521683403E-2"/>
      </bottom>
      <diagonal/>
    </border>
    <border>
      <left style="thin">
        <color theme="4"/>
      </left>
      <right style="thin">
        <color theme="4"/>
      </right>
      <top style="thin">
        <color theme="0"/>
      </top>
      <bottom style="thin">
        <color theme="0"/>
      </bottom>
      <diagonal/>
    </border>
    <border>
      <left/>
      <right style="thin">
        <color theme="4"/>
      </right>
      <top style="thin">
        <color theme="0"/>
      </top>
      <bottom style="thin">
        <color theme="0"/>
      </bottom>
      <diagonal/>
    </border>
    <border>
      <left/>
      <right/>
      <top style="thin">
        <color theme="0"/>
      </top>
      <bottom style="thin">
        <color theme="0"/>
      </bottom>
      <diagonal/>
    </border>
    <border>
      <left/>
      <right/>
      <top style="thin">
        <color theme="0" tint="-4.9989318521683403E-2"/>
      </top>
      <bottom style="thin">
        <color theme="0" tint="-4.9989318521683403E-2"/>
      </bottom>
      <diagonal/>
    </border>
    <border>
      <left style="thin">
        <color theme="4"/>
      </left>
      <right/>
      <top style="thin">
        <color theme="0"/>
      </top>
      <bottom style="thin">
        <color theme="0"/>
      </bottom>
      <diagonal/>
    </border>
    <border>
      <left style="thin">
        <color theme="0"/>
      </left>
      <right/>
      <top/>
      <bottom/>
      <diagonal/>
    </border>
    <border>
      <left/>
      <right/>
      <top style="thin">
        <color theme="4"/>
      </top>
      <bottom style="thin">
        <color theme="0" tint="-0.14996795556505021"/>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0" tint="-4.9989318521683403E-2"/>
      </bottom>
      <diagonal/>
    </border>
    <border>
      <left/>
      <right/>
      <top style="thin">
        <color indexed="64"/>
      </top>
      <bottom style="thin">
        <color theme="0" tint="-4.9989318521683403E-2"/>
      </bottom>
      <diagonal/>
    </border>
    <border>
      <left/>
      <right style="thin">
        <color indexed="64"/>
      </right>
      <top style="thin">
        <color indexed="64"/>
      </top>
      <bottom style="thin">
        <color theme="0" tint="-4.9989318521683403E-2"/>
      </bottom>
      <diagonal/>
    </border>
    <border>
      <left style="thin">
        <color theme="1"/>
      </left>
      <right style="thin">
        <color theme="1"/>
      </right>
      <top/>
      <bottom style="thin">
        <color theme="0" tint="-4.9989318521683403E-2"/>
      </bottom>
      <diagonal/>
    </border>
    <border>
      <left style="thin">
        <color indexed="64"/>
      </left>
      <right style="thin">
        <color indexed="64"/>
      </right>
      <top style="thin">
        <color indexed="64"/>
      </top>
      <bottom style="thin">
        <color theme="0"/>
      </bottom>
      <diagonal/>
    </border>
    <border>
      <left style="thin">
        <color indexed="64"/>
      </left>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theme="1"/>
      </left>
      <right style="thin">
        <color theme="1"/>
      </right>
      <top style="thin">
        <color theme="0" tint="-4.9989318521683403E-2"/>
      </top>
      <bottom style="thin">
        <color theme="0" tint="-4.9989318521683403E-2"/>
      </bottom>
      <diagonal/>
    </border>
    <border>
      <left style="thin">
        <color theme="1"/>
      </left>
      <right style="thin">
        <color indexed="64"/>
      </right>
      <top style="thin">
        <color theme="0" tint="-4.9989318521683403E-2"/>
      </top>
      <bottom style="thin">
        <color theme="0" tint="-4.9989318521683403E-2"/>
      </bottom>
      <diagonal/>
    </border>
    <border>
      <left style="thin">
        <color indexed="64"/>
      </left>
      <right style="thin">
        <color indexed="64"/>
      </right>
      <top style="thin">
        <color theme="0"/>
      </top>
      <bottom style="thin">
        <color theme="0"/>
      </bottom>
      <diagonal/>
    </border>
    <border>
      <left style="thin">
        <color indexed="64"/>
      </left>
      <right/>
      <top style="thin">
        <color theme="0" tint="-4.9989318521683403E-2"/>
      </top>
      <bottom style="thin">
        <color indexed="64"/>
      </bottom>
      <diagonal/>
    </border>
    <border>
      <left/>
      <right/>
      <top style="thin">
        <color theme="0" tint="-4.9989318521683403E-2"/>
      </top>
      <bottom style="thin">
        <color indexed="64"/>
      </bottom>
      <diagonal/>
    </border>
    <border>
      <left/>
      <right style="thin">
        <color indexed="64"/>
      </right>
      <top style="thin">
        <color theme="0" tint="-4.9989318521683403E-2"/>
      </top>
      <bottom style="thin">
        <color indexed="64"/>
      </bottom>
      <diagonal/>
    </border>
    <border>
      <left style="thin">
        <color theme="1"/>
      </left>
      <right style="thin">
        <color theme="1"/>
      </right>
      <top style="thin">
        <color theme="0" tint="-4.9989318521683403E-2"/>
      </top>
      <bottom style="thin">
        <color indexed="64"/>
      </bottom>
      <diagonal/>
    </border>
    <border>
      <left style="thin">
        <color theme="1"/>
      </left>
      <right style="thin">
        <color indexed="64"/>
      </right>
      <top style="thin">
        <color theme="0" tint="-4.9989318521683403E-2"/>
      </top>
      <bottom style="thin">
        <color indexed="64"/>
      </bottom>
      <diagonal/>
    </border>
    <border>
      <left style="thin">
        <color indexed="64"/>
      </left>
      <right style="thin">
        <color indexed="64"/>
      </right>
      <top style="thin">
        <color indexed="64"/>
      </top>
      <bottom style="thin">
        <color indexed="64"/>
      </bottom>
      <diagonal/>
    </border>
    <border>
      <left style="thin">
        <color theme="1"/>
      </left>
      <right style="thin">
        <color indexed="64"/>
      </right>
      <top/>
      <bottom style="thin">
        <color theme="0" tint="-4.9989318521683403E-2"/>
      </bottom>
      <diagonal/>
    </border>
    <border>
      <left style="thin">
        <color indexed="64"/>
      </left>
      <right style="thin">
        <color indexed="64"/>
      </right>
      <top/>
      <bottom style="thin">
        <color theme="0"/>
      </bottom>
      <diagonal/>
    </border>
    <border>
      <left style="thin">
        <color theme="1"/>
      </left>
      <right style="thin">
        <color theme="1"/>
      </right>
      <top style="thin">
        <color theme="1"/>
      </top>
      <bottom style="thin">
        <color theme="0" tint="-4.9989318521683403E-2"/>
      </bottom>
      <diagonal/>
    </border>
    <border>
      <left style="thin">
        <color theme="1"/>
      </left>
      <right style="thin">
        <color indexed="64"/>
      </right>
      <top style="thin">
        <color theme="1"/>
      </top>
      <bottom style="thin">
        <color theme="0" tint="-4.9989318521683403E-2"/>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0" tint="-4.9989318521683403E-2"/>
      </bottom>
      <diagonal/>
    </border>
    <border>
      <left/>
      <right style="thin">
        <color theme="1"/>
      </right>
      <top style="thin">
        <color theme="0" tint="-4.9989318521683403E-2"/>
      </top>
      <bottom style="thin">
        <color theme="0" tint="-4.9989318521683403E-2"/>
      </bottom>
      <diagonal/>
    </border>
    <border>
      <left/>
      <right style="thin">
        <color theme="1"/>
      </right>
      <top style="thin">
        <color theme="0" tint="-4.9989318521683403E-2"/>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theme="1"/>
      </right>
      <top style="thin">
        <color indexed="64"/>
      </top>
      <bottom style="thin">
        <color theme="0" tint="-4.9989318521683403E-2"/>
      </bottom>
      <diagonal/>
    </border>
    <border>
      <left style="thin">
        <color indexed="64"/>
      </left>
      <right/>
      <top style="thin">
        <color theme="1"/>
      </top>
      <bottom style="thin">
        <color theme="0" tint="-4.9989318521683403E-2"/>
      </bottom>
      <diagonal/>
    </border>
    <border>
      <left/>
      <right/>
      <top style="thin">
        <color theme="1"/>
      </top>
      <bottom style="thin">
        <color theme="0" tint="-4.9989318521683403E-2"/>
      </bottom>
      <diagonal/>
    </border>
    <border>
      <left/>
      <right style="thin">
        <color indexed="64"/>
      </right>
      <top style="thin">
        <color theme="1"/>
      </top>
      <bottom style="thin">
        <color theme="0" tint="-4.9989318521683403E-2"/>
      </bottom>
      <diagonal/>
    </border>
    <border>
      <left style="thin">
        <color indexed="64"/>
      </left>
      <right style="thin">
        <color indexed="64"/>
      </right>
      <top style="thin">
        <color theme="0"/>
      </top>
      <bottom style="thin">
        <color indexed="64"/>
      </bottom>
      <diagonal/>
    </border>
    <border>
      <left/>
      <right/>
      <top/>
      <bottom style="thin">
        <color indexed="64"/>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style="thin">
        <color theme="4"/>
      </left>
      <right/>
      <top style="medium">
        <color theme="4"/>
      </top>
      <bottom style="medium">
        <color theme="4"/>
      </bottom>
      <diagonal/>
    </border>
    <border>
      <left/>
      <right style="medium">
        <color theme="4"/>
      </right>
      <top style="medium">
        <color theme="4"/>
      </top>
      <bottom style="medium">
        <color theme="4"/>
      </bottom>
      <diagonal/>
    </border>
    <border>
      <left/>
      <right/>
      <top/>
      <bottom style="thin">
        <color theme="0" tint="-0.14996795556505021"/>
      </bottom>
      <diagonal/>
    </border>
    <border>
      <left/>
      <right style="thin">
        <color theme="4"/>
      </right>
      <top/>
      <bottom style="thin">
        <color theme="0" tint="-0.14996795556505021"/>
      </bottom>
      <diagonal/>
    </border>
    <border>
      <left style="thin">
        <color theme="4"/>
      </left>
      <right style="thin">
        <color theme="4"/>
      </right>
      <top/>
      <bottom style="thin">
        <color theme="0" tint="-0.14996795556505021"/>
      </bottom>
      <diagonal/>
    </border>
    <border>
      <left style="medium">
        <color theme="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4"/>
      </right>
      <top style="thin">
        <color theme="0" tint="-0.14996795556505021"/>
      </top>
      <bottom style="thin">
        <color theme="0" tint="-0.14996795556505021"/>
      </bottom>
      <diagonal/>
    </border>
    <border>
      <left style="thin">
        <color theme="4"/>
      </left>
      <right style="thin">
        <color theme="4"/>
      </right>
      <top style="thin">
        <color theme="0" tint="-0.14996795556505021"/>
      </top>
      <bottom style="thin">
        <color theme="0" tint="-0.14996795556505021"/>
      </bottom>
      <diagonal/>
    </border>
    <border>
      <left/>
      <right/>
      <top style="thin">
        <color theme="0" tint="-0.14996795556505021"/>
      </top>
      <bottom style="thin">
        <color theme="4"/>
      </bottom>
      <diagonal/>
    </border>
    <border>
      <left/>
      <right style="thin">
        <color theme="4"/>
      </right>
      <top style="thin">
        <color theme="0" tint="-0.14996795556505021"/>
      </top>
      <bottom style="thin">
        <color theme="4"/>
      </bottom>
      <diagonal/>
    </border>
    <border>
      <left style="thin">
        <color theme="4"/>
      </left>
      <right style="thin">
        <color theme="4"/>
      </right>
      <top style="thin">
        <color theme="4"/>
      </top>
      <bottom style="medium">
        <color theme="4"/>
      </bottom>
      <diagonal/>
    </border>
    <border>
      <left/>
      <right style="thin">
        <color theme="4"/>
      </right>
      <top/>
      <bottom style="thin">
        <color theme="0" tint="-4.9989318521683403E-2"/>
      </bottom>
      <diagonal/>
    </border>
    <border>
      <left style="thin">
        <color theme="4"/>
      </left>
      <right style="thin">
        <color theme="4"/>
      </right>
      <top style="medium">
        <color theme="4"/>
      </top>
      <bottom style="thin">
        <color theme="0"/>
      </bottom>
      <diagonal/>
    </border>
    <border>
      <left style="medium">
        <color theme="4"/>
      </left>
      <right/>
      <top style="thin">
        <color theme="4"/>
      </top>
      <bottom style="thin">
        <color theme="0" tint="-4.9989318521683403E-2"/>
      </bottom>
      <diagonal/>
    </border>
    <border>
      <left/>
      <right style="medium">
        <color theme="4"/>
      </right>
      <top style="thin">
        <color theme="0"/>
      </top>
      <bottom style="thin">
        <color theme="0"/>
      </bottom>
      <diagonal/>
    </border>
    <border>
      <left style="medium">
        <color theme="4"/>
      </left>
      <right/>
      <top style="thin">
        <color theme="0" tint="-0.14996795556505021"/>
      </top>
      <bottom style="medium">
        <color theme="4"/>
      </bottom>
      <diagonal/>
    </border>
    <border>
      <left/>
      <right/>
      <top style="thin">
        <color theme="0" tint="-0.14996795556505021"/>
      </top>
      <bottom style="medium">
        <color theme="4"/>
      </bottom>
      <diagonal/>
    </border>
    <border>
      <left/>
      <right style="thin">
        <color theme="4"/>
      </right>
      <top style="thin">
        <color theme="0" tint="-0.14996795556505021"/>
      </top>
      <bottom style="medium">
        <color theme="4"/>
      </bottom>
      <diagonal/>
    </border>
    <border>
      <left style="thin">
        <color theme="4"/>
      </left>
      <right/>
      <top style="thin">
        <color theme="0"/>
      </top>
      <bottom style="medium">
        <color theme="4"/>
      </bottom>
      <diagonal/>
    </border>
    <border>
      <left/>
      <right/>
      <top style="thin">
        <color theme="0"/>
      </top>
      <bottom style="medium">
        <color theme="4"/>
      </bottom>
      <diagonal/>
    </border>
    <border>
      <left/>
      <right style="medium">
        <color theme="4"/>
      </right>
      <top style="thin">
        <color theme="0"/>
      </top>
      <bottom style="medium">
        <color theme="4"/>
      </bottom>
      <diagonal/>
    </border>
    <border>
      <left style="medium">
        <color theme="4"/>
      </left>
      <right/>
      <top style="thin">
        <color theme="4"/>
      </top>
      <bottom style="thin">
        <color theme="0" tint="-0.14996795556505021"/>
      </bottom>
      <diagonal/>
    </border>
    <border>
      <left/>
      <right style="thin">
        <color theme="4"/>
      </right>
      <top style="thin">
        <color theme="4"/>
      </top>
      <bottom style="thin">
        <color theme="0" tint="-0.14996795556505021"/>
      </bottom>
      <diagonal/>
    </border>
    <border>
      <left/>
      <right/>
      <top style="medium">
        <color theme="4"/>
      </top>
      <bottom style="thin">
        <color theme="0" tint="-0.14996795556505021"/>
      </bottom>
      <diagonal/>
    </border>
    <border>
      <left/>
      <right style="thin">
        <color theme="4"/>
      </right>
      <top style="medium">
        <color theme="4"/>
      </top>
      <bottom style="thin">
        <color theme="0" tint="-0.14996795556505021"/>
      </bottom>
      <diagonal/>
    </border>
    <border>
      <left style="thin">
        <color theme="4"/>
      </left>
      <right/>
      <top style="medium">
        <color theme="4"/>
      </top>
      <bottom style="thin">
        <color theme="0" tint="-0.14996795556505021"/>
      </bottom>
      <diagonal/>
    </border>
    <border>
      <left style="thin">
        <color theme="4"/>
      </left>
      <right/>
      <top style="thin">
        <color theme="0" tint="-0.14996795556505021"/>
      </top>
      <bottom style="thin">
        <color theme="0" tint="-0.14996795556505021"/>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right/>
      <top style="thin">
        <color theme="4"/>
      </top>
      <bottom style="thin">
        <color theme="0" tint="-4.9989318521683403E-2"/>
      </bottom>
      <diagonal/>
    </border>
    <border>
      <left style="medium">
        <color theme="4"/>
      </left>
      <right style="medium">
        <color theme="4"/>
      </right>
      <top style="medium">
        <color theme="4"/>
      </top>
      <bottom/>
      <diagonal/>
    </border>
    <border>
      <left style="thin">
        <color theme="4"/>
      </left>
      <right style="medium">
        <color theme="4"/>
      </right>
      <top style="medium">
        <color theme="4"/>
      </top>
      <bottom/>
      <diagonal/>
    </border>
    <border>
      <left style="medium">
        <color theme="4"/>
      </left>
      <right style="thin">
        <color theme="4"/>
      </right>
      <top style="medium">
        <color theme="4"/>
      </top>
      <bottom/>
      <diagonal/>
    </border>
    <border>
      <left style="thin">
        <color theme="4"/>
      </left>
      <right style="thin">
        <color theme="4"/>
      </right>
      <top style="thin">
        <color theme="4"/>
      </top>
      <bottom style="thin">
        <color theme="0" tint="-0.14996795556505021"/>
      </bottom>
      <diagonal/>
    </border>
    <border>
      <left/>
      <right style="thin">
        <color theme="4"/>
      </right>
      <top style="thin">
        <color theme="4"/>
      </top>
      <bottom/>
      <diagonal/>
    </border>
    <border>
      <left style="thin">
        <color theme="4"/>
      </left>
      <right style="thin">
        <color theme="4"/>
      </right>
      <top style="thin">
        <color theme="4"/>
      </top>
      <bottom/>
      <diagonal/>
    </border>
    <border>
      <left style="thin">
        <color theme="4"/>
      </left>
      <right/>
      <top style="thin">
        <color theme="4"/>
      </top>
      <bottom/>
      <diagonal/>
    </border>
    <border>
      <left style="thin">
        <color theme="4"/>
      </left>
      <right style="thin">
        <color theme="4"/>
      </right>
      <top style="thin">
        <color theme="0"/>
      </top>
      <bottom style="thin">
        <color theme="4"/>
      </bottom>
      <diagonal/>
    </border>
    <border>
      <left style="thin">
        <color theme="4"/>
      </left>
      <right/>
      <top style="thin">
        <color theme="4"/>
      </top>
      <bottom style="thin">
        <color theme="0"/>
      </bottom>
      <diagonal/>
    </border>
    <border>
      <left/>
      <right/>
      <top style="thin">
        <color theme="4"/>
      </top>
      <bottom style="thin">
        <color theme="0"/>
      </bottom>
      <diagonal/>
    </border>
    <border>
      <left/>
      <right style="thin">
        <color theme="4"/>
      </right>
      <top style="thin">
        <color theme="4"/>
      </top>
      <bottom style="thin">
        <color theme="0"/>
      </bottom>
      <diagonal/>
    </border>
    <border>
      <left style="thin">
        <color theme="4"/>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style="thin">
        <color theme="0" tint="-4.9989318521683403E-2"/>
      </right>
      <top style="thin">
        <color theme="4"/>
      </top>
      <bottom style="thin">
        <color theme="4"/>
      </bottom>
      <diagonal/>
    </border>
    <border>
      <left style="thin">
        <color theme="0" tint="-4.9989318521683403E-2"/>
      </left>
      <right style="thin">
        <color theme="0" tint="-4.9989318521683403E-2"/>
      </right>
      <top style="thin">
        <color theme="4"/>
      </top>
      <bottom style="thin">
        <color theme="4"/>
      </bottom>
      <diagonal/>
    </border>
    <border>
      <left style="thin">
        <color theme="0" tint="-4.9989318521683403E-2"/>
      </left>
      <right style="thin">
        <color theme="4"/>
      </right>
      <top style="thin">
        <color theme="4"/>
      </top>
      <bottom style="thin">
        <color theme="4"/>
      </bottom>
      <diagonal/>
    </border>
    <border>
      <left style="thin">
        <color theme="4"/>
      </left>
      <right/>
      <top style="thin">
        <color theme="0"/>
      </top>
      <bottom/>
      <diagonal/>
    </border>
    <border>
      <left/>
      <right/>
      <top style="thin">
        <color theme="0"/>
      </top>
      <bottom/>
      <diagonal/>
    </border>
    <border>
      <left/>
      <right style="thin">
        <color theme="4"/>
      </right>
      <top style="thin">
        <color theme="0"/>
      </top>
      <bottom/>
      <diagonal/>
    </border>
    <border>
      <left style="thin">
        <color theme="4"/>
      </left>
      <right/>
      <top style="double">
        <color theme="4"/>
      </top>
      <bottom style="thin">
        <color theme="4"/>
      </bottom>
      <diagonal/>
    </border>
    <border>
      <left/>
      <right/>
      <top style="double">
        <color theme="4"/>
      </top>
      <bottom style="thin">
        <color theme="4"/>
      </bottom>
      <diagonal/>
    </border>
    <border>
      <left/>
      <right style="thin">
        <color theme="4"/>
      </right>
      <top style="double">
        <color theme="4"/>
      </top>
      <bottom style="thin">
        <color theme="4"/>
      </bottom>
      <diagonal/>
    </border>
    <border>
      <left/>
      <right/>
      <top style="thin">
        <color theme="0" tint="-4.9989318521683403E-2"/>
      </top>
      <bottom/>
      <diagonal/>
    </border>
    <border>
      <left/>
      <right/>
      <top style="thin">
        <color theme="4"/>
      </top>
      <bottom/>
      <diagonal/>
    </border>
    <border>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style="thin">
        <color theme="4"/>
      </right>
      <top style="double">
        <color theme="4"/>
      </top>
      <bottom style="thin">
        <color theme="4"/>
      </bottom>
      <diagonal/>
    </border>
    <border>
      <left style="medium">
        <color theme="4"/>
      </left>
      <right style="thin">
        <color theme="4"/>
      </right>
      <top style="thin">
        <color theme="4"/>
      </top>
      <bottom/>
      <diagonal/>
    </border>
    <border>
      <left style="thin">
        <color theme="4"/>
      </left>
      <right style="medium">
        <color theme="4"/>
      </right>
      <top style="thin">
        <color theme="4"/>
      </top>
      <bottom/>
      <diagonal/>
    </border>
    <border>
      <left style="medium">
        <color theme="4"/>
      </left>
      <right style="thin">
        <color theme="4"/>
      </right>
      <top/>
      <bottom style="thin">
        <color theme="4"/>
      </bottom>
      <diagonal/>
    </border>
    <border>
      <left style="thin">
        <color theme="4"/>
      </left>
      <right style="thin">
        <color theme="4"/>
      </right>
      <top/>
      <bottom style="thin">
        <color theme="4"/>
      </bottom>
      <diagonal/>
    </border>
    <border>
      <left style="thin">
        <color theme="4"/>
      </left>
      <right style="medium">
        <color theme="4"/>
      </right>
      <top/>
      <bottom style="thin">
        <color theme="4"/>
      </bottom>
      <diagonal/>
    </border>
    <border>
      <left style="medium">
        <color theme="4"/>
      </left>
      <right style="thin">
        <color theme="4"/>
      </right>
      <top/>
      <bottom/>
      <diagonal/>
    </border>
    <border>
      <left style="thin">
        <color theme="4"/>
      </left>
      <right style="thin">
        <color theme="4"/>
      </right>
      <top/>
      <bottom/>
      <diagonal/>
    </border>
    <border>
      <left style="thin">
        <color theme="4"/>
      </left>
      <right style="medium">
        <color theme="4"/>
      </right>
      <top/>
      <bottom/>
      <diagonal/>
    </border>
    <border>
      <left style="medium">
        <color theme="4"/>
      </left>
      <right style="thin">
        <color theme="4"/>
      </right>
      <top style="double">
        <color theme="4"/>
      </top>
      <bottom style="thin">
        <color theme="4"/>
      </bottom>
      <diagonal/>
    </border>
    <border>
      <left style="thin">
        <color theme="4"/>
      </left>
      <right style="medium">
        <color theme="4"/>
      </right>
      <top style="double">
        <color theme="4"/>
      </top>
      <bottom style="thin">
        <color theme="4"/>
      </bottom>
      <diagonal/>
    </border>
    <border>
      <left style="medium">
        <color theme="4"/>
      </left>
      <right/>
      <top style="thin">
        <color theme="4"/>
      </top>
      <bottom/>
      <diagonal/>
    </border>
    <border>
      <left style="medium">
        <color theme="4"/>
      </left>
      <right/>
      <top/>
      <bottom/>
      <diagonal/>
    </border>
    <border>
      <left style="medium">
        <color theme="4"/>
      </left>
      <right/>
      <top style="double">
        <color theme="4"/>
      </top>
      <bottom style="thin">
        <color theme="4"/>
      </bottom>
      <diagonal/>
    </border>
    <border>
      <left/>
      <right style="medium">
        <color theme="4"/>
      </right>
      <top style="thin">
        <color theme="4"/>
      </top>
      <bottom/>
      <diagonal/>
    </border>
    <border>
      <left style="medium">
        <color theme="4"/>
      </left>
      <right/>
      <top/>
      <bottom style="thin">
        <color theme="4"/>
      </bottom>
      <diagonal/>
    </border>
    <border>
      <left/>
      <right style="medium">
        <color theme="4"/>
      </right>
      <top/>
      <bottom style="thin">
        <color theme="4"/>
      </bottom>
      <diagonal/>
    </border>
    <border>
      <left/>
      <right style="medium">
        <color theme="4"/>
      </right>
      <top/>
      <bottom/>
      <diagonal/>
    </border>
    <border>
      <left/>
      <right style="medium">
        <color theme="4"/>
      </right>
      <top style="double">
        <color theme="4"/>
      </top>
      <bottom style="thin">
        <color theme="4"/>
      </bottom>
      <diagonal/>
    </border>
    <border>
      <left/>
      <right style="medium">
        <color theme="4"/>
      </right>
      <top style="thin">
        <color theme="4"/>
      </top>
      <bottom style="thin">
        <color theme="0"/>
      </bottom>
      <diagonal/>
    </border>
    <border>
      <left/>
      <right style="medium">
        <color theme="4"/>
      </right>
      <top style="thin">
        <color theme="0"/>
      </top>
      <bottom/>
      <diagonal/>
    </border>
    <border>
      <left/>
      <right/>
      <top style="thin">
        <color theme="4"/>
      </top>
      <bottom style="medium">
        <color theme="4"/>
      </bottom>
      <diagonal/>
    </border>
    <border>
      <left/>
      <right/>
      <top style="medium">
        <color theme="4"/>
      </top>
      <bottom style="thin">
        <color theme="4"/>
      </bottom>
      <diagonal/>
    </border>
    <border>
      <left style="medium">
        <color theme="4"/>
      </left>
      <right/>
      <top/>
      <bottom style="double">
        <color theme="4"/>
      </bottom>
      <diagonal/>
    </border>
    <border>
      <left/>
      <right/>
      <top/>
      <bottom style="double">
        <color theme="4"/>
      </bottom>
      <diagonal/>
    </border>
    <border>
      <left/>
      <right style="medium">
        <color theme="4"/>
      </right>
      <top/>
      <bottom style="double">
        <color theme="4"/>
      </bottom>
      <diagonal/>
    </border>
    <border>
      <left style="thin">
        <color theme="4"/>
      </left>
      <right/>
      <top/>
      <bottom style="double">
        <color theme="4"/>
      </bottom>
      <diagonal/>
    </border>
    <border>
      <left/>
      <right style="thin">
        <color theme="4"/>
      </right>
      <top/>
      <bottom style="double">
        <color theme="4"/>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style="thin">
        <color theme="4"/>
      </left>
      <right/>
      <top style="thin">
        <color theme="4"/>
      </top>
      <bottom style="medium">
        <color theme="4"/>
      </bottom>
      <diagonal/>
    </border>
    <border>
      <left/>
      <right style="thin">
        <color theme="4"/>
      </right>
      <top style="medium">
        <color theme="4"/>
      </top>
      <bottom style="medium">
        <color theme="4"/>
      </bottom>
      <diagonal/>
    </border>
    <border>
      <left style="thin">
        <color theme="4"/>
      </left>
      <right/>
      <top/>
      <bottom style="thin">
        <color theme="0" tint="-0.14996795556505021"/>
      </bottom>
      <diagonal/>
    </border>
    <border>
      <left style="thin">
        <color theme="4"/>
      </left>
      <right/>
      <top style="thin">
        <color theme="0" tint="-0.14996795556505021"/>
      </top>
      <bottom style="thin">
        <color theme="4"/>
      </bottom>
      <diagonal/>
    </border>
    <border>
      <left style="thin">
        <color theme="4"/>
      </left>
      <right/>
      <top style="thin">
        <color theme="4"/>
      </top>
      <bottom style="thin">
        <color indexed="64"/>
      </bottom>
      <diagonal/>
    </border>
    <border>
      <left/>
      <right/>
      <top style="thin">
        <color theme="4"/>
      </top>
      <bottom style="thin">
        <color indexed="64"/>
      </bottom>
      <diagonal/>
    </border>
    <border>
      <left/>
      <right style="thin">
        <color theme="4"/>
      </right>
      <top style="thin">
        <color theme="4"/>
      </top>
      <bottom style="thin">
        <color indexed="64"/>
      </bottom>
      <diagonal/>
    </border>
    <border>
      <left style="thin">
        <color theme="4"/>
      </left>
      <right/>
      <top style="thin">
        <color indexed="64"/>
      </top>
      <bottom style="thin">
        <color indexed="64"/>
      </bottom>
      <diagonal/>
    </border>
    <border>
      <left/>
      <right style="thin">
        <color theme="4"/>
      </right>
      <top style="thin">
        <color indexed="64"/>
      </top>
      <bottom style="thin">
        <color indexed="64"/>
      </bottom>
      <diagonal/>
    </border>
    <border>
      <left style="thin">
        <color theme="4"/>
      </left>
      <right/>
      <top style="thin">
        <color indexed="64"/>
      </top>
      <bottom style="thin">
        <color theme="0" tint="-4.9989318521683403E-2"/>
      </bottom>
      <diagonal/>
    </border>
    <border>
      <left style="thin">
        <color indexed="64"/>
      </left>
      <right style="thin">
        <color theme="4"/>
      </right>
      <top style="thin">
        <color indexed="64"/>
      </top>
      <bottom style="thin">
        <color theme="0"/>
      </bottom>
      <diagonal/>
    </border>
    <border>
      <left style="thin">
        <color theme="4"/>
      </left>
      <right/>
      <top style="thin">
        <color theme="0" tint="-4.9989318521683403E-2"/>
      </top>
      <bottom style="thin">
        <color theme="0" tint="-4.9989318521683403E-2"/>
      </bottom>
      <diagonal/>
    </border>
    <border>
      <left style="thin">
        <color indexed="64"/>
      </left>
      <right style="thin">
        <color theme="4"/>
      </right>
      <top style="thin">
        <color theme="0"/>
      </top>
      <bottom style="thin">
        <color theme="0"/>
      </bottom>
      <diagonal/>
    </border>
    <border>
      <left style="thin">
        <color theme="4"/>
      </left>
      <right/>
      <top style="thin">
        <color theme="0" tint="-4.9989318521683403E-2"/>
      </top>
      <bottom style="thin">
        <color indexed="64"/>
      </bottom>
      <diagonal/>
    </border>
    <border>
      <left style="thin">
        <color theme="4"/>
      </left>
      <right style="thin">
        <color indexed="64"/>
      </right>
      <top style="thin">
        <color indexed="64"/>
      </top>
      <bottom style="thin">
        <color theme="4"/>
      </bottom>
      <diagonal/>
    </border>
    <border>
      <left style="thin">
        <color indexed="64"/>
      </left>
      <right style="thin">
        <color indexed="64"/>
      </right>
      <top style="thin">
        <color indexed="64"/>
      </top>
      <bottom style="thin">
        <color theme="4"/>
      </bottom>
      <diagonal/>
    </border>
    <border>
      <left style="thin">
        <color indexed="64"/>
      </left>
      <right style="thin">
        <color theme="4"/>
      </right>
      <top style="thin">
        <color indexed="64"/>
      </top>
      <bottom style="thin">
        <color theme="4"/>
      </bottom>
      <diagonal/>
    </border>
    <border>
      <left/>
      <right style="thin">
        <color indexed="64"/>
      </right>
      <top style="thin">
        <color theme="4"/>
      </top>
      <bottom style="thin">
        <color indexed="64"/>
      </bottom>
      <diagonal/>
    </border>
    <border>
      <left style="thin">
        <color indexed="64"/>
      </left>
      <right style="thin">
        <color indexed="64"/>
      </right>
      <top style="thin">
        <color theme="4"/>
      </top>
      <bottom style="thin">
        <color indexed="64"/>
      </bottom>
      <diagonal/>
    </border>
    <border>
      <left style="thin">
        <color indexed="64"/>
      </left>
      <right style="thin">
        <color indexed="64"/>
      </right>
      <top style="thin">
        <color theme="4"/>
      </top>
      <bottom style="thin">
        <color theme="0"/>
      </bottom>
      <diagonal/>
    </border>
    <border>
      <left style="thin">
        <color indexed="64"/>
      </left>
      <right style="thin">
        <color theme="4"/>
      </right>
      <top style="thin">
        <color theme="4"/>
      </top>
      <bottom style="thin">
        <color theme="0"/>
      </bottom>
      <diagonal/>
    </border>
    <border>
      <left style="thin">
        <color theme="4"/>
      </left>
      <right style="thin">
        <color indexed="64"/>
      </right>
      <top style="thin">
        <color theme="4"/>
      </top>
      <bottom style="thin">
        <color theme="4"/>
      </bottom>
      <diagonal/>
    </border>
    <border>
      <left style="thin">
        <color indexed="64"/>
      </left>
      <right style="thin">
        <color indexed="64"/>
      </right>
      <top style="thin">
        <color theme="4"/>
      </top>
      <bottom style="thin">
        <color theme="4"/>
      </bottom>
      <diagonal/>
    </border>
    <border>
      <left style="thin">
        <color indexed="64"/>
      </left>
      <right style="thin">
        <color theme="4"/>
      </right>
      <top style="thin">
        <color theme="4"/>
      </top>
      <bottom style="thin">
        <color theme="4"/>
      </bottom>
      <diagonal/>
    </border>
    <border>
      <left style="thin">
        <color theme="4"/>
      </left>
      <right/>
      <top style="thin">
        <color indexed="64"/>
      </top>
      <bottom style="thin">
        <color theme="4"/>
      </bottom>
      <diagonal/>
    </border>
    <border>
      <left/>
      <right/>
      <top style="thin">
        <color indexed="64"/>
      </top>
      <bottom style="thin">
        <color theme="4"/>
      </bottom>
      <diagonal/>
    </border>
    <border>
      <left/>
      <right style="thin">
        <color indexed="64"/>
      </right>
      <top style="thin">
        <color indexed="64"/>
      </top>
      <bottom style="thin">
        <color theme="4"/>
      </bottom>
      <diagonal/>
    </border>
    <border>
      <left/>
      <right style="thin">
        <color theme="4"/>
      </right>
      <top style="thin">
        <color theme="4"/>
      </top>
      <bottom style="medium">
        <color theme="4"/>
      </bottom>
      <diagonal/>
    </border>
    <border>
      <left style="thin">
        <color theme="4"/>
      </left>
      <right style="thin">
        <color theme="4"/>
      </right>
      <top style="thin">
        <color theme="0" tint="-0.14996795556505021"/>
      </top>
      <bottom style="thin">
        <color theme="4"/>
      </bottom>
      <diagonal/>
    </border>
    <border>
      <left/>
      <right style="thin">
        <color theme="4"/>
      </right>
      <top style="thin">
        <color theme="0"/>
      </top>
      <bottom style="thin">
        <color indexed="64"/>
      </bottom>
      <diagonal/>
    </border>
    <border>
      <left style="thin">
        <color theme="4"/>
      </left>
      <right/>
      <top/>
      <bottom style="thin">
        <color theme="0" tint="-4.9989318521683403E-2"/>
      </bottom>
      <diagonal/>
    </border>
    <border>
      <left style="thin">
        <color theme="4"/>
      </left>
      <right/>
      <top style="thin">
        <color theme="4"/>
      </top>
      <bottom style="thin">
        <color theme="0" tint="-0.14996795556505021"/>
      </bottom>
      <diagonal/>
    </border>
    <border>
      <left style="thin">
        <color theme="4"/>
      </left>
      <right/>
      <top style="thin">
        <color theme="4"/>
      </top>
      <bottom style="thin">
        <color theme="0" tint="-4.9989318521683403E-2"/>
      </bottom>
      <diagonal/>
    </border>
    <border>
      <left style="thin">
        <color theme="4"/>
      </left>
      <right style="thin">
        <color indexed="64"/>
      </right>
      <top/>
      <bottom style="thin">
        <color theme="4"/>
      </bottom>
      <diagonal/>
    </border>
    <border>
      <left style="thin">
        <color indexed="64"/>
      </left>
      <right style="thin">
        <color indexed="64"/>
      </right>
      <top/>
      <bottom style="thin">
        <color theme="4"/>
      </bottom>
      <diagonal/>
    </border>
    <border>
      <left style="thin">
        <color indexed="64"/>
      </left>
      <right style="thin">
        <color theme="4"/>
      </right>
      <top/>
      <bottom style="thin">
        <color theme="4"/>
      </bottom>
      <diagonal/>
    </border>
    <border>
      <left style="thin">
        <color theme="4"/>
      </left>
      <right/>
      <top style="thin">
        <color theme="0" tint="-4.9989318521683403E-2"/>
      </top>
      <bottom style="thin">
        <color theme="4"/>
      </bottom>
      <diagonal/>
    </border>
    <border>
      <left/>
      <right/>
      <top style="thin">
        <color theme="0" tint="-4.9989318521683403E-2"/>
      </top>
      <bottom style="thin">
        <color theme="4"/>
      </bottom>
      <diagonal/>
    </border>
    <border>
      <left style="thin">
        <color indexed="64"/>
      </left>
      <right style="thin">
        <color indexed="64"/>
      </right>
      <top style="thin">
        <color theme="0"/>
      </top>
      <bottom style="thin">
        <color theme="4"/>
      </bottom>
      <diagonal/>
    </border>
    <border>
      <left style="thin">
        <color indexed="64"/>
      </left>
      <right style="thin">
        <color theme="4"/>
      </right>
      <top style="thin">
        <color theme="0"/>
      </top>
      <bottom style="thin">
        <color theme="4"/>
      </bottom>
      <diagonal/>
    </border>
    <border>
      <left style="thin">
        <color indexed="64"/>
      </left>
      <right/>
      <top/>
      <bottom style="thin">
        <color theme="4"/>
      </bottom>
      <diagonal/>
    </border>
    <border>
      <left/>
      <right style="thin">
        <color indexed="64"/>
      </right>
      <top style="thin">
        <color theme="4"/>
      </top>
      <bottom style="thin">
        <color theme="0"/>
      </bottom>
      <diagonal/>
    </border>
    <border>
      <left/>
      <right style="thin">
        <color indexed="64"/>
      </right>
      <top style="thin">
        <color theme="0"/>
      </top>
      <bottom style="thin">
        <color theme="4"/>
      </bottom>
      <diagonal/>
    </border>
    <border>
      <left/>
      <right style="thin">
        <color indexed="64"/>
      </right>
      <top/>
      <bottom style="thin">
        <color theme="4"/>
      </bottom>
      <diagonal/>
    </border>
    <border>
      <left style="thin">
        <color theme="4"/>
      </left>
      <right style="thin">
        <color indexed="64"/>
      </right>
      <top style="thin">
        <color theme="4"/>
      </top>
      <bottom style="thin">
        <color theme="0"/>
      </bottom>
      <diagonal/>
    </border>
    <border>
      <left style="thin">
        <color theme="4"/>
      </left>
      <right style="thin">
        <color indexed="64"/>
      </right>
      <top style="thin">
        <color theme="0"/>
      </top>
      <bottom style="thin">
        <color theme="0"/>
      </bottom>
      <diagonal/>
    </border>
    <border>
      <left style="thin">
        <color theme="4"/>
      </left>
      <right style="thin">
        <color indexed="64"/>
      </right>
      <top style="thin">
        <color theme="0"/>
      </top>
      <bottom style="thin">
        <color theme="4"/>
      </bottom>
      <diagonal/>
    </border>
    <border>
      <left style="thin">
        <color theme="4"/>
      </left>
      <right/>
      <top style="thin">
        <color indexed="64"/>
      </top>
      <bottom/>
      <diagonal/>
    </border>
    <border>
      <left/>
      <right style="thin">
        <color theme="4"/>
      </right>
      <top style="thin">
        <color indexed="64"/>
      </top>
      <bottom/>
      <diagonal/>
    </border>
    <border>
      <left style="thin">
        <color theme="4"/>
      </left>
      <right style="thin">
        <color theme="4"/>
      </right>
      <top/>
      <bottom style="thin">
        <color theme="0" tint="-4.9989318521683403E-2"/>
      </bottom>
      <diagonal/>
    </border>
    <border>
      <left style="thin">
        <color theme="4"/>
      </left>
      <right style="thin">
        <color theme="4"/>
      </right>
      <top/>
      <bottom style="thin">
        <color theme="0"/>
      </bottom>
      <diagonal/>
    </border>
    <border>
      <left style="thin">
        <color theme="4"/>
      </left>
      <right style="thin">
        <color theme="4"/>
      </right>
      <top style="thin">
        <color theme="4"/>
      </top>
      <bottom style="thin">
        <color theme="0" tint="-4.9989318521683403E-2"/>
      </bottom>
      <diagonal/>
    </border>
    <border>
      <left style="thin">
        <color theme="4"/>
      </left>
      <right style="thin">
        <color theme="4"/>
      </right>
      <top style="thin">
        <color theme="0" tint="-4.9989318521683403E-2"/>
      </top>
      <bottom style="thin">
        <color theme="0" tint="-4.9989318521683403E-2"/>
      </bottom>
      <diagonal/>
    </border>
    <border>
      <left style="thin">
        <color theme="4"/>
      </left>
      <right style="thin">
        <color theme="4"/>
      </right>
      <top style="thin">
        <color theme="0" tint="-4.9989318521683403E-2"/>
      </top>
      <bottom style="thin">
        <color theme="4"/>
      </bottom>
      <diagonal/>
    </border>
    <border>
      <left style="thin">
        <color theme="4"/>
      </left>
      <right style="thin">
        <color theme="4"/>
      </right>
      <top style="thin">
        <color indexed="64"/>
      </top>
      <bottom style="thin">
        <color theme="4"/>
      </bottom>
      <diagonal/>
    </border>
    <border>
      <left style="thin">
        <color indexed="64"/>
      </left>
      <right style="thin">
        <color theme="4"/>
      </right>
      <top/>
      <bottom style="thin">
        <color theme="0"/>
      </bottom>
      <diagonal/>
    </border>
    <border>
      <left style="thin">
        <color indexed="64"/>
      </left>
      <right/>
      <top style="thin">
        <color indexed="64"/>
      </top>
      <bottom style="thin">
        <color theme="4"/>
      </bottom>
      <diagonal/>
    </border>
    <border>
      <left/>
      <right style="thin">
        <color indexed="64"/>
      </right>
      <top/>
      <bottom style="thin">
        <color theme="0"/>
      </bottom>
      <diagonal/>
    </border>
    <border>
      <left style="thin">
        <color theme="4"/>
      </left>
      <right/>
      <top style="medium">
        <color theme="4"/>
      </top>
      <bottom style="thin">
        <color theme="4"/>
      </bottom>
      <diagonal/>
    </border>
    <border>
      <left/>
      <right style="thin">
        <color theme="4"/>
      </right>
      <top style="medium">
        <color theme="4"/>
      </top>
      <bottom style="thin">
        <color theme="4"/>
      </bottom>
      <diagonal/>
    </border>
    <border>
      <left/>
      <right/>
      <top/>
      <bottom style="medium">
        <color theme="4"/>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14993743705557422"/>
      </right>
      <top/>
      <bottom style="thin">
        <color theme="0" tint="-0.14993743705557422"/>
      </bottom>
      <diagonal/>
    </border>
    <border>
      <left style="thin">
        <color theme="0" tint="-0.14996795556505021"/>
      </left>
      <right/>
      <top style="thin">
        <color theme="4"/>
      </top>
      <bottom style="thin">
        <color theme="0" tint="-0.14993743705557422"/>
      </bottom>
      <diagonal/>
    </border>
    <border>
      <left/>
      <right/>
      <top style="thin">
        <color theme="4"/>
      </top>
      <bottom style="thin">
        <color theme="0" tint="-0.14993743705557422"/>
      </bottom>
      <diagonal/>
    </border>
    <border>
      <left/>
      <right style="thin">
        <color theme="0" tint="-0.14993743705557422"/>
      </right>
      <top style="thin">
        <color theme="4"/>
      </top>
      <bottom style="thin">
        <color theme="0" tint="-0.14993743705557422"/>
      </bottom>
      <diagonal/>
    </border>
    <border>
      <left style="thin">
        <color indexed="64"/>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indexed="64"/>
      </left>
      <right/>
      <top/>
      <bottom style="thin">
        <color theme="0" tint="-0.14996795556505021"/>
      </bottom>
      <diagonal/>
    </border>
    <border>
      <left/>
      <right style="thin">
        <color indexed="64"/>
      </right>
      <top/>
      <bottom style="thin">
        <color theme="0" tint="-0.14996795556505021"/>
      </bottom>
      <diagonal/>
    </border>
    <border>
      <left style="thin">
        <color theme="4"/>
      </left>
      <right/>
      <top style="medium">
        <color theme="4"/>
      </top>
      <bottom style="thin">
        <color theme="0"/>
      </bottom>
      <diagonal/>
    </border>
    <border>
      <left/>
      <right/>
      <top style="medium">
        <color theme="4"/>
      </top>
      <bottom style="thin">
        <color theme="0"/>
      </bottom>
      <diagonal/>
    </border>
    <border>
      <left/>
      <right style="medium">
        <color theme="4"/>
      </right>
      <top style="medium">
        <color theme="4"/>
      </top>
      <bottom style="thin">
        <color theme="0"/>
      </bottom>
      <diagonal/>
    </border>
  </borders>
  <cellStyleXfs count="47">
    <xf numFmtId="0" fontId="0" fillId="0" borderId="0" applyFill="0" applyBorder="0" applyProtection="0">
      <alignment horizontal="left" vertical="center" indent="1" readingOrder="1"/>
    </xf>
    <xf numFmtId="0" fontId="28" fillId="29" borderId="0" applyNumberFormat="0" applyAlignment="0" applyProtection="0"/>
    <xf numFmtId="0" fontId="49" fillId="29" borderId="0" applyNumberFormat="0" applyAlignment="0" applyProtection="0"/>
    <xf numFmtId="0" fontId="21" fillId="29" borderId="0" applyNumberFormat="0" applyAlignment="0" applyProtection="0"/>
    <xf numFmtId="0" fontId="50" fillId="0" borderId="0" applyNumberFormat="0" applyFill="0" applyBorder="0" applyAlignment="0" applyProtection="0"/>
    <xf numFmtId="0" fontId="12" fillId="2" borderId="0" applyNumberFormat="0" applyBorder="0" applyAlignment="0" applyProtection="0"/>
    <xf numFmtId="0" fontId="11" fillId="3" borderId="0" applyNumberFormat="0" applyBorder="0" applyAlignment="0" applyProtection="0"/>
    <xf numFmtId="0" fontId="13" fillId="4" borderId="0" applyNumberFormat="0" applyBorder="0" applyAlignment="0" applyProtection="0"/>
    <xf numFmtId="0" fontId="2" fillId="5" borderId="1" applyNumberFormat="0" applyAlignment="0" applyProtection="0"/>
    <xf numFmtId="0" fontId="3" fillId="6" borderId="2" applyNumberFormat="0" applyAlignment="0" applyProtection="0"/>
    <xf numFmtId="0" fontId="4" fillId="6" borderId="1" applyNumberFormat="0" applyAlignment="0" applyProtection="0"/>
    <xf numFmtId="0" fontId="5" fillId="0" borderId="3" applyNumberFormat="0" applyFill="0" applyAlignment="0" applyProtection="0"/>
    <xf numFmtId="0" fontId="6" fillId="7" borderId="4" applyNumberFormat="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20"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20"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21"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21"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21"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20" fillId="32"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164" fontId="17" fillId="0" borderId="0" applyFill="0" applyBorder="0" applyProtection="0">
      <alignment horizontal="center" vertical="center"/>
    </xf>
    <xf numFmtId="0" fontId="16" fillId="0" borderId="0" applyNumberFormat="0" applyFill="0" applyBorder="0" applyAlignment="0" applyProtection="0"/>
    <xf numFmtId="0" fontId="47" fillId="0" borderId="0" applyNumberFormat="0" applyFill="0" applyBorder="0" applyAlignment="0" applyProtection="0">
      <alignment horizontal="center" vertical="center"/>
    </xf>
    <xf numFmtId="0" fontId="48" fillId="0" borderId="0" applyNumberFormat="0" applyFill="0" applyBorder="0" applyAlignment="0" applyProtection="0">
      <alignment horizontal="center" vertical="center"/>
    </xf>
  </cellStyleXfs>
  <cellXfs count="783">
    <xf numFmtId="0" fontId="0" fillId="0" borderId="0" xfId="0">
      <alignment horizontal="left" vertical="center" indent="1" readingOrder="1"/>
    </xf>
    <xf numFmtId="0" fontId="0" fillId="0" borderId="0" xfId="0" applyAlignment="1">
      <alignment horizontal="left" vertical="center"/>
    </xf>
    <xf numFmtId="0" fontId="0" fillId="29" borderId="0" xfId="0" applyFill="1" applyAlignment="1">
      <alignment horizontal="left" vertical="center"/>
    </xf>
    <xf numFmtId="0" fontId="21" fillId="16" borderId="0" xfId="23" applyAlignment="1">
      <alignment horizontal="left" vertical="center"/>
    </xf>
    <xf numFmtId="0" fontId="20" fillId="12" borderId="0" xfId="19" applyAlignment="1">
      <alignment horizontal="left" vertical="center"/>
    </xf>
    <xf numFmtId="0" fontId="0" fillId="29" borderId="0" xfId="0" applyFill="1">
      <alignment horizontal="left" vertical="center" indent="1" readingOrder="1"/>
    </xf>
    <xf numFmtId="0" fontId="19" fillId="29" borderId="0" xfId="0" applyFont="1" applyFill="1" applyAlignment="1" applyProtection="1">
      <alignment horizontal="left" vertical="center"/>
      <protection hidden="1"/>
    </xf>
    <xf numFmtId="0" fontId="21" fillId="0" borderId="145" xfId="0" applyFont="1" applyBorder="1" applyProtection="1">
      <alignment horizontal="left" vertical="center" indent="1" readingOrder="1"/>
      <protection hidden="1"/>
    </xf>
    <xf numFmtId="0" fontId="17" fillId="0" borderId="0" xfId="0" applyFont="1" applyAlignment="1">
      <alignment horizontal="left" vertical="center"/>
    </xf>
    <xf numFmtId="3" fontId="21" fillId="0" borderId="145" xfId="0" applyNumberFormat="1" applyFont="1" applyBorder="1" applyAlignment="1">
      <alignment horizontal="right" vertical="center" indent="1"/>
    </xf>
    <xf numFmtId="4" fontId="21" fillId="0" borderId="145" xfId="0" applyNumberFormat="1" applyFont="1" applyBorder="1" applyAlignment="1">
      <alignment horizontal="right" vertical="center" indent="1"/>
    </xf>
    <xf numFmtId="3" fontId="0" fillId="0" borderId="0" xfId="0" applyNumberFormat="1">
      <alignment horizontal="left" vertical="center" indent="1" readingOrder="1"/>
    </xf>
    <xf numFmtId="164" fontId="20" fillId="34" borderId="0" xfId="0" applyNumberFormat="1" applyFont="1" applyFill="1" applyProtection="1">
      <alignment horizontal="left" vertical="center" indent="1" readingOrder="1"/>
      <protection hidden="1"/>
    </xf>
    <xf numFmtId="3" fontId="20" fillId="34" borderId="0" xfId="0" applyNumberFormat="1" applyFont="1" applyFill="1" applyAlignment="1" applyProtection="1">
      <alignment horizontal="right" vertical="center" indent="1"/>
      <protection hidden="1"/>
    </xf>
    <xf numFmtId="4" fontId="20" fillId="34" borderId="0" xfId="0" applyNumberFormat="1" applyFont="1" applyFill="1" applyAlignment="1" applyProtection="1">
      <alignment horizontal="right" vertical="center" indent="2"/>
      <protection hidden="1"/>
    </xf>
    <xf numFmtId="0" fontId="17" fillId="0" borderId="0" xfId="0" applyFont="1" applyAlignment="1">
      <alignment horizontal="left" vertical="center" indent="1"/>
    </xf>
    <xf numFmtId="0" fontId="20" fillId="34" borderId="0" xfId="0" applyFont="1" applyFill="1" applyAlignment="1" applyProtection="1">
      <alignment horizontal="left" vertical="center" indent="1"/>
      <protection hidden="1"/>
    </xf>
    <xf numFmtId="0" fontId="17" fillId="29" borderId="0" xfId="0" applyFont="1" applyFill="1" applyAlignment="1">
      <alignment horizontal="left" vertical="center"/>
    </xf>
    <xf numFmtId="0" fontId="23" fillId="29" borderId="0" xfId="0" applyFont="1" applyFill="1" applyAlignment="1"/>
    <xf numFmtId="3" fontId="17" fillId="29" borderId="0" xfId="0" applyNumberFormat="1" applyFont="1" applyFill="1" applyAlignment="1">
      <alignment horizontal="right" vertical="center" indent="1"/>
    </xf>
    <xf numFmtId="0" fontId="17" fillId="29" borderId="0" xfId="0" applyFont="1" applyFill="1" applyAlignment="1"/>
    <xf numFmtId="0" fontId="17" fillId="29" borderId="0" xfId="0" applyFont="1" applyFill="1" applyAlignment="1">
      <alignment vertical="center" wrapText="1"/>
    </xf>
    <xf numFmtId="0" fontId="20" fillId="29" borderId="0" xfId="19" applyFill="1" applyBorder="1" applyAlignment="1">
      <alignment vertical="center"/>
    </xf>
    <xf numFmtId="0" fontId="17" fillId="29" borderId="0" xfId="19" applyFont="1" applyFill="1" applyBorder="1" applyAlignment="1">
      <alignment vertical="center"/>
    </xf>
    <xf numFmtId="0" fontId="17" fillId="29" borderId="0" xfId="0" applyFont="1" applyFill="1">
      <alignment horizontal="left" vertical="center" indent="1" readingOrder="1"/>
    </xf>
    <xf numFmtId="0" fontId="17" fillId="29" borderId="0" xfId="36" applyFont="1" applyFill="1" applyAlignment="1">
      <alignment horizontal="center" vertical="center"/>
    </xf>
    <xf numFmtId="0" fontId="30" fillId="29" borderId="0" xfId="0" applyFont="1" applyFill="1" applyAlignment="1">
      <alignment horizontal="left" indent="1"/>
    </xf>
    <xf numFmtId="0" fontId="31" fillId="29" borderId="0" xfId="0" applyFont="1" applyFill="1">
      <alignment horizontal="left" vertical="center" indent="1" readingOrder="1"/>
    </xf>
    <xf numFmtId="0" fontId="31" fillId="0" borderId="0" xfId="0" applyFont="1">
      <alignment horizontal="left" vertical="center" indent="1" readingOrder="1"/>
    </xf>
    <xf numFmtId="0" fontId="32" fillId="29" borderId="0" xfId="0" applyFont="1" applyFill="1" applyAlignment="1">
      <alignment horizontal="left" indent="1"/>
    </xf>
    <xf numFmtId="0" fontId="17" fillId="29" borderId="0" xfId="0" applyFont="1" applyFill="1" applyAlignment="1">
      <alignment horizontal="left" vertical="center" indent="1"/>
    </xf>
    <xf numFmtId="0" fontId="17" fillId="29" borderId="0" xfId="0" applyFont="1" applyFill="1" applyAlignment="1">
      <alignment horizontal="right" vertical="center" indent="1"/>
    </xf>
    <xf numFmtId="0" fontId="17" fillId="29" borderId="11" xfId="0" applyFont="1" applyFill="1" applyBorder="1" applyAlignment="1">
      <alignment horizontal="right" vertical="center" indent="1"/>
    </xf>
    <xf numFmtId="0" fontId="17" fillId="29" borderId="0" xfId="0" applyFont="1" applyFill="1" applyAlignment="1">
      <alignment horizontal="left" vertical="top" wrapText="1"/>
    </xf>
    <xf numFmtId="0" fontId="17" fillId="0" borderId="0" xfId="36" applyFont="1" applyFill="1" applyAlignment="1">
      <alignment horizontal="center" vertical="center"/>
    </xf>
    <xf numFmtId="0" fontId="30" fillId="0" borderId="0" xfId="0" applyFont="1" applyAlignment="1">
      <alignment horizontal="left" indent="1"/>
    </xf>
    <xf numFmtId="0" fontId="17" fillId="0" borderId="0" xfId="0" applyFont="1">
      <alignment horizontal="left" vertical="center" indent="1" readingOrder="1"/>
    </xf>
    <xf numFmtId="0" fontId="29" fillId="29" borderId="0" xfId="0" applyFont="1" applyFill="1">
      <alignment horizontal="left" vertical="center" indent="1" readingOrder="1"/>
    </xf>
    <xf numFmtId="0" fontId="29" fillId="0" borderId="0" xfId="0" applyFont="1">
      <alignment horizontal="left" vertical="center" indent="1" readingOrder="1"/>
    </xf>
    <xf numFmtId="37" fontId="21" fillId="29" borderId="0" xfId="0" applyNumberFormat="1" applyFont="1" applyFill="1" applyAlignment="1">
      <alignment horizontal="right" vertical="center" indent="1"/>
    </xf>
    <xf numFmtId="0" fontId="17" fillId="29" borderId="118" xfId="0" applyFont="1" applyFill="1" applyBorder="1">
      <alignment horizontal="left" vertical="center" indent="1" readingOrder="1"/>
    </xf>
    <xf numFmtId="0" fontId="21" fillId="29" borderId="0" xfId="0" applyFont="1" applyFill="1">
      <alignment horizontal="left" vertical="center" indent="1" readingOrder="1"/>
    </xf>
    <xf numFmtId="3" fontId="21" fillId="29" borderId="0" xfId="0" applyNumberFormat="1" applyFont="1" applyFill="1" applyAlignment="1">
      <alignment horizontal="right" vertical="center" indent="1"/>
    </xf>
    <xf numFmtId="0" fontId="21" fillId="0" borderId="0" xfId="0" applyFont="1">
      <alignment horizontal="left" vertical="center" indent="1" readingOrder="1"/>
    </xf>
    <xf numFmtId="0" fontId="20" fillId="0" borderId="0" xfId="0" applyFont="1" applyAlignment="1">
      <alignment horizontal="left" vertical="center"/>
    </xf>
    <xf numFmtId="165" fontId="20" fillId="0" borderId="0" xfId="0" applyNumberFormat="1" applyFont="1">
      <alignment horizontal="left" vertical="center" indent="1" readingOrder="1"/>
    </xf>
    <xf numFmtId="166" fontId="17" fillId="0" borderId="0" xfId="0" applyNumberFormat="1" applyFont="1" applyAlignment="1">
      <alignment horizontal="right" vertical="center"/>
    </xf>
    <xf numFmtId="165" fontId="17" fillId="0" borderId="0" xfId="0" applyNumberFormat="1" applyFont="1">
      <alignment horizontal="left" vertical="center" indent="1" readingOrder="1"/>
    </xf>
    <xf numFmtId="0" fontId="20" fillId="0" borderId="0" xfId="0" applyFont="1">
      <alignment horizontal="left" vertical="center" indent="1" readingOrder="1"/>
    </xf>
    <xf numFmtId="0" fontId="20" fillId="0" borderId="0" xfId="0" applyFont="1" applyAlignment="1">
      <alignment horizontal="left" vertical="center" indent="1"/>
    </xf>
    <xf numFmtId="0" fontId="25" fillId="29" borderId="0" xfId="0" applyFont="1" applyFill="1">
      <alignment horizontal="left" vertical="center" indent="1" readingOrder="1"/>
    </xf>
    <xf numFmtId="3" fontId="17" fillId="0" borderId="0" xfId="0" applyNumberFormat="1" applyFont="1" applyAlignment="1">
      <alignment horizontal="right" vertical="center" indent="1"/>
    </xf>
    <xf numFmtId="0" fontId="0" fillId="16" borderId="0" xfId="23" applyFont="1" applyAlignment="1">
      <alignment horizontal="left" vertical="center"/>
    </xf>
    <xf numFmtId="3" fontId="0" fillId="16" borderId="0" xfId="23" applyNumberFormat="1" applyFont="1" applyAlignment="1">
      <alignment horizontal="left" vertical="center"/>
    </xf>
    <xf numFmtId="3" fontId="0" fillId="29" borderId="0" xfId="0" applyNumberFormat="1" applyFill="1" applyAlignment="1">
      <alignment horizontal="left" vertical="center"/>
    </xf>
    <xf numFmtId="3" fontId="21" fillId="16" borderId="0" xfId="23" applyNumberFormat="1" applyAlignment="1">
      <alignment horizontal="left" vertical="center"/>
    </xf>
    <xf numFmtId="0" fontId="31" fillId="29" borderId="0" xfId="0" applyFont="1" applyFill="1" applyAlignment="1">
      <alignment vertical="center"/>
    </xf>
    <xf numFmtId="0" fontId="31" fillId="0" borderId="0" xfId="0" applyFont="1" applyAlignment="1">
      <alignment vertical="center"/>
    </xf>
    <xf numFmtId="0" fontId="23" fillId="29" borderId="0" xfId="1" applyFont="1" applyAlignment="1"/>
    <xf numFmtId="0" fontId="36" fillId="29" borderId="0" xfId="0" applyFont="1" applyFill="1" applyAlignment="1">
      <alignment vertical="center"/>
    </xf>
    <xf numFmtId="0" fontId="36" fillId="29" borderId="17" xfId="0" applyFont="1" applyFill="1" applyBorder="1" applyAlignment="1">
      <alignment vertical="center"/>
    </xf>
    <xf numFmtId="0" fontId="36" fillId="29" borderId="17" xfId="0" applyFont="1" applyFill="1" applyBorder="1">
      <alignment horizontal="left" vertical="center" indent="1" readingOrder="1"/>
    </xf>
    <xf numFmtId="0" fontId="21" fillId="29" borderId="0" xfId="36" applyFont="1" applyFill="1" applyAlignment="1">
      <alignment vertical="center"/>
    </xf>
    <xf numFmtId="0" fontId="21" fillId="29" borderId="0" xfId="36" applyFont="1" applyFill="1" applyAlignment="1">
      <alignment horizontal="center" vertical="center"/>
    </xf>
    <xf numFmtId="0" fontId="17" fillId="28" borderId="0" xfId="36" applyFont="1" applyAlignment="1">
      <alignment vertical="top" wrapText="1"/>
    </xf>
    <xf numFmtId="0" fontId="37" fillId="29" borderId="85" xfId="0" applyFont="1" applyFill="1" applyBorder="1" applyAlignment="1" applyProtection="1">
      <alignment vertical="center"/>
      <protection hidden="1"/>
    </xf>
    <xf numFmtId="0" fontId="37" fillId="29" borderId="86" xfId="0" applyFont="1" applyFill="1" applyBorder="1" applyAlignment="1" applyProtection="1">
      <alignment vertical="center"/>
      <protection hidden="1"/>
    </xf>
    <xf numFmtId="0" fontId="37" fillId="29" borderId="67" xfId="0" applyFont="1" applyFill="1" applyBorder="1" applyAlignment="1" applyProtection="1">
      <alignment vertical="center"/>
      <protection hidden="1"/>
    </xf>
    <xf numFmtId="0" fontId="37" fillId="29" borderId="68" xfId="0" applyFont="1" applyFill="1" applyBorder="1" applyAlignment="1" applyProtection="1">
      <alignment vertical="center"/>
      <protection hidden="1"/>
    </xf>
    <xf numFmtId="0" fontId="37" fillId="29" borderId="78" xfId="0" applyFont="1" applyFill="1" applyBorder="1" applyAlignment="1" applyProtection="1">
      <alignment vertical="center"/>
      <protection hidden="1"/>
    </xf>
    <xf numFmtId="0" fontId="37" fillId="29" borderId="79" xfId="0" applyFont="1" applyFill="1" applyBorder="1" applyAlignment="1" applyProtection="1">
      <alignment vertical="center"/>
      <protection hidden="1"/>
    </xf>
    <xf numFmtId="0" fontId="39" fillId="29" borderId="0" xfId="0" applyFont="1" applyFill="1" applyAlignment="1" applyProtection="1">
      <alignment horizontal="left" vertical="center" indent="1"/>
      <protection hidden="1"/>
    </xf>
    <xf numFmtId="0" fontId="40" fillId="29" borderId="0" xfId="0" applyFont="1" applyFill="1" applyAlignment="1" applyProtection="1">
      <alignment horizontal="left" indent="1"/>
      <protection hidden="1"/>
    </xf>
    <xf numFmtId="3" fontId="41" fillId="29" borderId="0" xfId="41" applyNumberFormat="1" applyFont="1" applyFill="1" applyBorder="1" applyAlignment="1" applyProtection="1">
      <alignment horizontal="right" indent="1"/>
      <protection hidden="1"/>
    </xf>
    <xf numFmtId="3" fontId="41" fillId="29" borderId="0" xfId="42" applyNumberFormat="1" applyFont="1" applyFill="1" applyBorder="1" applyAlignment="1" applyProtection="1">
      <alignment horizontal="right" vertical="top" wrapText="1" indent="1"/>
      <protection hidden="1"/>
    </xf>
    <xf numFmtId="0" fontId="37" fillId="29" borderId="14" xfId="0" applyFont="1" applyFill="1" applyBorder="1" applyAlignment="1" applyProtection="1">
      <alignment vertical="center"/>
      <protection hidden="1"/>
    </xf>
    <xf numFmtId="0" fontId="37" fillId="29" borderId="84" xfId="0" applyFont="1" applyFill="1" applyBorder="1" applyAlignment="1" applyProtection="1">
      <alignment vertical="center"/>
      <protection hidden="1"/>
    </xf>
    <xf numFmtId="0" fontId="42" fillId="29" borderId="0" xfId="0" applyFont="1" applyFill="1" applyAlignment="1" applyProtection="1">
      <alignment vertical="center"/>
      <protection hidden="1"/>
    </xf>
    <xf numFmtId="0" fontId="36" fillId="29" borderId="47" xfId="0" applyFont="1" applyFill="1" applyBorder="1" applyAlignment="1">
      <alignment vertical="center"/>
    </xf>
    <xf numFmtId="0" fontId="36" fillId="29" borderId="47" xfId="0" applyFont="1" applyFill="1" applyBorder="1">
      <alignment horizontal="left" vertical="center" indent="1" readingOrder="1"/>
    </xf>
    <xf numFmtId="0" fontId="36" fillId="29" borderId="0" xfId="0" applyFont="1" applyFill="1">
      <alignment horizontal="left" vertical="center" indent="1" readingOrder="1"/>
    </xf>
    <xf numFmtId="0" fontId="37" fillId="29" borderId="70" xfId="0" applyFont="1" applyFill="1" applyBorder="1" applyAlignment="1" applyProtection="1">
      <alignment vertical="center"/>
      <protection hidden="1"/>
    </xf>
    <xf numFmtId="0" fontId="37" fillId="29" borderId="71" xfId="0" applyFont="1" applyFill="1" applyBorder="1" applyAlignment="1" applyProtection="1">
      <alignment vertical="center"/>
      <protection hidden="1"/>
    </xf>
    <xf numFmtId="0" fontId="41" fillId="29" borderId="0" xfId="0" applyFont="1" applyFill="1" applyAlignment="1" applyProtection="1">
      <alignment horizontal="left" vertical="center" indent="1"/>
      <protection hidden="1"/>
    </xf>
    <xf numFmtId="0" fontId="36" fillId="0" borderId="0" xfId="0" applyFont="1" applyAlignment="1">
      <alignment vertical="center"/>
    </xf>
    <xf numFmtId="4" fontId="20" fillId="34" borderId="0" xfId="0" applyNumberFormat="1" applyFont="1" applyFill="1" applyAlignment="1">
      <alignment horizontal="right" vertical="center" indent="2"/>
    </xf>
    <xf numFmtId="38" fontId="21" fillId="0" borderId="57" xfId="0" applyNumberFormat="1" applyFont="1" applyBorder="1" applyAlignment="1" applyProtection="1">
      <alignment horizontal="right" vertical="center"/>
      <protection hidden="1"/>
    </xf>
    <xf numFmtId="3" fontId="21" fillId="0" borderId="57" xfId="0" applyNumberFormat="1" applyFont="1" applyBorder="1" applyAlignment="1">
      <alignment horizontal="right" vertical="center" indent="1"/>
    </xf>
    <xf numFmtId="164" fontId="17" fillId="0" borderId="0" xfId="43" applyProtection="1">
      <alignment horizontal="center" vertical="center"/>
      <protection hidden="1"/>
    </xf>
    <xf numFmtId="38" fontId="21" fillId="0" borderId="213" xfId="0" applyNumberFormat="1" applyFont="1" applyBorder="1" applyAlignment="1" applyProtection="1">
      <alignment horizontal="left" vertical="center"/>
      <protection hidden="1"/>
    </xf>
    <xf numFmtId="3" fontId="21" fillId="0" borderId="214" xfId="0" applyNumberFormat="1" applyFont="1" applyBorder="1" applyAlignment="1">
      <alignment horizontal="right" vertical="center" indent="1"/>
    </xf>
    <xf numFmtId="164" fontId="17" fillId="0" borderId="0" xfId="43">
      <alignment horizontal="center" vertical="center"/>
    </xf>
    <xf numFmtId="171" fontId="17" fillId="0" borderId="5" xfId="0" applyNumberFormat="1" applyFont="1" applyBorder="1" applyAlignment="1">
      <alignment horizontal="left" vertical="center" indent="1"/>
    </xf>
    <xf numFmtId="0" fontId="17" fillId="0" borderId="5" xfId="0" applyFont="1" applyBorder="1" applyAlignment="1">
      <alignment horizontal="left" vertical="center" indent="1"/>
    </xf>
    <xf numFmtId="0" fontId="23" fillId="29" borderId="55" xfId="1" applyFont="1" applyBorder="1" applyAlignment="1"/>
    <xf numFmtId="164" fontId="17" fillId="0" borderId="0" xfId="0" applyNumberFormat="1" applyFont="1">
      <alignment horizontal="left" vertical="center" indent="1" readingOrder="1"/>
    </xf>
    <xf numFmtId="0" fontId="17" fillId="29" borderId="117" xfId="0" applyFont="1" applyFill="1" applyBorder="1" applyAlignment="1">
      <alignment vertical="center"/>
    </xf>
    <xf numFmtId="0" fontId="36" fillId="29" borderId="49" xfId="0" applyFont="1" applyFill="1" applyBorder="1" applyAlignment="1">
      <alignment vertical="center"/>
    </xf>
    <xf numFmtId="0" fontId="29" fillId="29" borderId="0" xfId="0" applyFont="1" applyFill="1" applyAlignment="1">
      <alignment vertical="center"/>
    </xf>
    <xf numFmtId="0" fontId="21" fillId="0" borderId="155" xfId="0" applyFont="1" applyBorder="1" applyAlignment="1">
      <alignment horizontal="left" indent="1"/>
    </xf>
    <xf numFmtId="0" fontId="21" fillId="0" borderId="144" xfId="0" applyFont="1" applyBorder="1" applyAlignment="1">
      <alignment horizontal="center"/>
    </xf>
    <xf numFmtId="0" fontId="21" fillId="0" borderId="144" xfId="0" applyFont="1" applyBorder="1" applyAlignment="1">
      <alignment horizontal="center" wrapText="1"/>
    </xf>
    <xf numFmtId="0" fontId="21" fillId="0" borderId="182" xfId="0" applyFont="1" applyBorder="1" applyAlignment="1">
      <alignment horizontal="center" wrapText="1"/>
    </xf>
    <xf numFmtId="3" fontId="0" fillId="0" borderId="0" xfId="0" applyNumberFormat="1" applyAlignment="1">
      <alignment horizontal="right" vertical="center" indent="1"/>
    </xf>
    <xf numFmtId="3" fontId="0" fillId="0" borderId="119" xfId="0" applyNumberFormat="1" applyBorder="1" applyAlignment="1">
      <alignment horizontal="right" vertical="center" indent="1"/>
    </xf>
    <xf numFmtId="0" fontId="17" fillId="0" borderId="213" xfId="0" applyFont="1" applyBorder="1" applyAlignment="1">
      <alignment horizontal="left" vertical="center"/>
    </xf>
    <xf numFmtId="164" fontId="17" fillId="0" borderId="145" xfId="0" applyNumberFormat="1" applyFont="1" applyBorder="1">
      <alignment horizontal="left" vertical="center" indent="1" readingOrder="1"/>
    </xf>
    <xf numFmtId="0" fontId="17" fillId="0" borderId="155" xfId="0" applyFont="1" applyBorder="1" applyAlignment="1" applyProtection="1">
      <alignment horizontal="left" indent="1"/>
      <protection hidden="1"/>
    </xf>
    <xf numFmtId="0" fontId="17" fillId="0" borderId="144" xfId="0" applyFont="1" applyBorder="1" applyAlignment="1" applyProtection="1">
      <alignment horizontal="center"/>
      <protection hidden="1"/>
    </xf>
    <xf numFmtId="0" fontId="17" fillId="0" borderId="144" xfId="0" applyFont="1" applyBorder="1" applyAlignment="1" applyProtection="1">
      <alignment horizontal="center" wrapText="1"/>
      <protection hidden="1"/>
    </xf>
    <xf numFmtId="0" fontId="17" fillId="0" borderId="182" xfId="0" applyFont="1" applyBorder="1" applyAlignment="1" applyProtection="1">
      <alignment horizontal="center" wrapText="1"/>
      <protection hidden="1"/>
    </xf>
    <xf numFmtId="0" fontId="17" fillId="0" borderId="5" xfId="0" applyFont="1" applyBorder="1" applyAlignment="1" applyProtection="1">
      <alignment horizontal="left" vertical="center" indent="1"/>
      <protection hidden="1"/>
    </xf>
    <xf numFmtId="4" fontId="0" fillId="0" borderId="119" xfId="0" applyNumberFormat="1" applyBorder="1" applyAlignment="1">
      <alignment horizontal="right" vertical="center" indent="1"/>
    </xf>
    <xf numFmtId="170" fontId="17" fillId="0" borderId="5" xfId="0" applyNumberFormat="1" applyFont="1" applyBorder="1" applyAlignment="1" applyProtection="1">
      <alignment horizontal="left" vertical="center" indent="1"/>
      <protection hidden="1"/>
    </xf>
    <xf numFmtId="0" fontId="17" fillId="29" borderId="0" xfId="0" applyFont="1" applyFill="1" applyAlignment="1" applyProtection="1">
      <alignment horizontal="left" vertical="center" indent="1"/>
      <protection hidden="1"/>
    </xf>
    <xf numFmtId="164" fontId="17" fillId="29" borderId="0" xfId="0" applyNumberFormat="1" applyFont="1" applyFill="1" applyProtection="1">
      <alignment horizontal="left" vertical="center" indent="1" readingOrder="1"/>
      <protection hidden="1"/>
    </xf>
    <xf numFmtId="4" fontId="17" fillId="29" borderId="0" xfId="0" applyNumberFormat="1" applyFont="1" applyFill="1" applyAlignment="1">
      <alignment horizontal="right" vertical="center" indent="2"/>
    </xf>
    <xf numFmtId="0" fontId="17" fillId="39" borderId="0" xfId="0" applyFont="1" applyFill="1" applyAlignment="1" applyProtection="1">
      <alignment horizontal="left" vertical="center" indent="1"/>
      <protection hidden="1"/>
    </xf>
    <xf numFmtId="164" fontId="17" fillId="39" borderId="0" xfId="0" applyNumberFormat="1" applyFont="1" applyFill="1" applyProtection="1">
      <alignment horizontal="left" vertical="center" indent="1" readingOrder="1"/>
      <protection hidden="1"/>
    </xf>
    <xf numFmtId="3" fontId="17" fillId="39" borderId="0" xfId="0" applyNumberFormat="1" applyFont="1" applyFill="1" applyAlignment="1">
      <alignment horizontal="right" vertical="center" indent="1"/>
    </xf>
    <xf numFmtId="4" fontId="17" fillId="39" borderId="0" xfId="0" applyNumberFormat="1" applyFont="1" applyFill="1" applyAlignment="1">
      <alignment horizontal="right" vertical="center" indent="2"/>
    </xf>
    <xf numFmtId="0" fontId="21" fillId="0" borderId="215" xfId="0" applyFont="1" applyBorder="1" applyAlignment="1" applyProtection="1">
      <alignment horizontal="left" indent="1"/>
      <protection hidden="1"/>
    </xf>
    <xf numFmtId="1" fontId="21" fillId="0" borderId="215" xfId="0" applyNumberFormat="1" applyFont="1" applyBorder="1" applyAlignment="1" applyProtection="1">
      <alignment horizontal="center"/>
      <protection hidden="1"/>
    </xf>
    <xf numFmtId="0" fontId="21" fillId="0" borderId="215" xfId="0" applyFont="1" applyBorder="1" applyAlignment="1" applyProtection="1">
      <alignment horizontal="center"/>
      <protection hidden="1"/>
    </xf>
    <xf numFmtId="0" fontId="21" fillId="0" borderId="215" xfId="0" applyFont="1" applyBorder="1" applyAlignment="1" applyProtection="1">
      <alignment horizontal="center" wrapText="1"/>
      <protection hidden="1"/>
    </xf>
    <xf numFmtId="0" fontId="37" fillId="29" borderId="85" xfId="0" applyFont="1" applyFill="1" applyBorder="1" applyAlignment="1" applyProtection="1">
      <alignment horizontal="left" vertical="center"/>
      <protection hidden="1"/>
    </xf>
    <xf numFmtId="3" fontId="46" fillId="36" borderId="0" xfId="0" applyNumberFormat="1" applyFont="1" applyFill="1" applyAlignment="1">
      <alignment horizontal="right" vertical="center" indent="1"/>
    </xf>
    <xf numFmtId="0" fontId="46" fillId="36" borderId="0" xfId="0" applyFont="1" applyFill="1">
      <alignment horizontal="left" vertical="center" indent="1" readingOrder="1"/>
    </xf>
    <xf numFmtId="0" fontId="46" fillId="36" borderId="0" xfId="0" applyFont="1" applyFill="1" applyAlignment="1">
      <alignment horizontal="left" vertical="center"/>
    </xf>
    <xf numFmtId="0" fontId="46" fillId="36" borderId="0" xfId="0" applyFont="1" applyFill="1" applyAlignment="1">
      <alignment horizontal="right" vertical="center" indent="1"/>
    </xf>
    <xf numFmtId="0" fontId="46" fillId="36" borderId="0" xfId="0" applyFont="1" applyFill="1" applyAlignment="1">
      <alignment horizontal="right" vertical="center" indent="2"/>
    </xf>
    <xf numFmtId="0" fontId="46" fillId="36" borderId="0" xfId="0" applyFont="1" applyFill="1" applyAlignment="1">
      <alignment horizontal="left" vertical="center" indent="1"/>
    </xf>
    <xf numFmtId="0" fontId="26" fillId="34" borderId="99" xfId="2" applyFont="1" applyFill="1" applyBorder="1" applyAlignment="1" applyProtection="1">
      <alignment horizontal="left" vertical="center" indent="1"/>
      <protection hidden="1"/>
    </xf>
    <xf numFmtId="0" fontId="37" fillId="29" borderId="158" xfId="0" applyFont="1" applyFill="1" applyBorder="1" applyAlignment="1" applyProtection="1">
      <alignment horizontal="left" vertical="center" indent="1"/>
      <protection hidden="1"/>
    </xf>
    <xf numFmtId="0" fontId="37" fillId="29" borderId="88" xfId="0" applyFont="1" applyFill="1" applyBorder="1" applyAlignment="1" applyProtection="1">
      <alignment horizontal="left" vertical="center" indent="1"/>
      <protection hidden="1"/>
    </xf>
    <xf numFmtId="0" fontId="37" fillId="29" borderId="66" xfId="0" applyFont="1" applyFill="1" applyBorder="1" applyAlignment="1" applyProtection="1">
      <alignment horizontal="left" vertical="center" indent="1"/>
      <protection hidden="1"/>
    </xf>
    <xf numFmtId="0" fontId="37" fillId="29" borderId="77" xfId="0" applyFont="1" applyFill="1" applyBorder="1" applyAlignment="1" applyProtection="1">
      <alignment horizontal="left" vertical="center" indent="1"/>
      <protection hidden="1"/>
    </xf>
    <xf numFmtId="0" fontId="37" fillId="29" borderId="75" xfId="0" applyFont="1" applyFill="1" applyBorder="1" applyAlignment="1" applyProtection="1">
      <alignment horizontal="left" vertical="center" indent="2"/>
      <protection hidden="1"/>
    </xf>
    <xf numFmtId="0" fontId="37" fillId="29" borderId="66" xfId="0" applyFont="1" applyFill="1" applyBorder="1" applyAlignment="1" applyProtection="1">
      <alignment horizontal="left" vertical="center" indent="2"/>
      <protection hidden="1"/>
    </xf>
    <xf numFmtId="0" fontId="37" fillId="29" borderId="77" xfId="0" applyFont="1" applyFill="1" applyBorder="1" applyAlignment="1" applyProtection="1">
      <alignment horizontal="left" vertical="center" indent="2"/>
      <protection hidden="1"/>
    </xf>
    <xf numFmtId="0" fontId="37" fillId="29" borderId="83" xfId="0" applyFont="1" applyFill="1" applyBorder="1" applyAlignment="1" applyProtection="1">
      <alignment horizontal="left" vertical="center" indent="1"/>
      <protection hidden="1"/>
    </xf>
    <xf numFmtId="0" fontId="37" fillId="29" borderId="186" xfId="0" applyFont="1" applyFill="1" applyBorder="1" applyAlignment="1" applyProtection="1">
      <alignment horizontal="left" vertical="center" indent="1"/>
      <protection hidden="1"/>
    </xf>
    <xf numFmtId="0" fontId="26" fillId="29" borderId="0" xfId="15" applyFont="1" applyFill="1" applyBorder="1" applyAlignment="1" applyProtection="1">
      <alignment vertical="center"/>
      <protection hidden="1"/>
    </xf>
    <xf numFmtId="3" fontId="0" fillId="29" borderId="0" xfId="0" applyNumberFormat="1" applyFill="1" applyAlignment="1">
      <alignment horizontal="right" vertical="center" indent="1"/>
    </xf>
    <xf numFmtId="37" fontId="0" fillId="29" borderId="0" xfId="0" applyNumberFormat="1" applyFill="1" applyAlignment="1">
      <alignment horizontal="right" vertical="center" indent="1"/>
    </xf>
    <xf numFmtId="165" fontId="17" fillId="0" borderId="0" xfId="0" applyNumberFormat="1" applyFont="1" applyAlignment="1">
      <alignment horizontal="left" vertical="center" readingOrder="1"/>
    </xf>
    <xf numFmtId="0" fontId="26" fillId="34" borderId="90" xfId="0" applyFont="1" applyFill="1" applyBorder="1" applyAlignment="1">
      <alignment horizontal="left" vertical="center" indent="1"/>
    </xf>
    <xf numFmtId="0" fontId="26" fillId="34" borderId="91" xfId="0" applyFont="1" applyFill="1" applyBorder="1" applyAlignment="1">
      <alignment horizontal="left" vertical="center" indent="1"/>
    </xf>
    <xf numFmtId="0" fontId="26" fillId="34" borderId="92" xfId="0" applyFont="1" applyFill="1" applyBorder="1" applyAlignment="1">
      <alignment horizontal="left" vertical="center" indent="1"/>
    </xf>
    <xf numFmtId="0" fontId="0" fillId="36" borderId="118" xfId="0" applyFill="1" applyBorder="1" applyAlignment="1">
      <alignment horizontal="left" vertical="center" wrapText="1" indent="1"/>
    </xf>
    <xf numFmtId="0" fontId="0" fillId="36" borderId="0" xfId="0" applyFill="1" applyAlignment="1">
      <alignment horizontal="left" vertical="center" wrapText="1" indent="1"/>
    </xf>
    <xf numFmtId="0" fontId="23" fillId="29" borderId="118" xfId="0" applyFont="1" applyFill="1" applyBorder="1" applyAlignment="1">
      <alignment horizontal="center"/>
    </xf>
    <xf numFmtId="0" fontId="23" fillId="29" borderId="0" xfId="0" applyFont="1" applyFill="1" applyAlignment="1">
      <alignment horizontal="center"/>
    </xf>
    <xf numFmtId="0" fontId="34" fillId="29" borderId="0" xfId="0" applyFont="1" applyFill="1" applyAlignment="1">
      <alignment horizontal="right" vertical="center" readingOrder="1"/>
    </xf>
    <xf numFmtId="0" fontId="29" fillId="29" borderId="0" xfId="45" applyFont="1" applyFill="1" applyBorder="1" applyAlignment="1">
      <alignment horizontal="left" vertical="center" wrapText="1" indent="1"/>
    </xf>
    <xf numFmtId="0" fontId="29" fillId="29" borderId="121" xfId="45" applyFont="1" applyFill="1" applyBorder="1" applyAlignment="1">
      <alignment horizontal="left" vertical="center" wrapText="1" indent="1"/>
    </xf>
    <xf numFmtId="0" fontId="25" fillId="38" borderId="0" xfId="0" applyFont="1" applyFill="1" applyAlignment="1">
      <alignment horizontal="center" vertical="center" readingOrder="1"/>
    </xf>
    <xf numFmtId="0" fontId="17" fillId="16" borderId="0" xfId="23" applyFont="1" applyBorder="1" applyAlignment="1">
      <alignment horizontal="left" vertical="center" indent="1"/>
    </xf>
    <xf numFmtId="0" fontId="0" fillId="29" borderId="0" xfId="0" applyFill="1" applyAlignment="1">
      <alignment horizontal="left" vertical="center" indent="1"/>
    </xf>
    <xf numFmtId="0" fontId="22" fillId="38" borderId="0" xfId="0" applyFont="1" applyFill="1" applyAlignment="1">
      <alignment horizontal="center" vertical="center" readingOrder="1"/>
    </xf>
    <xf numFmtId="0" fontId="17" fillId="29" borderId="121" xfId="0" applyFont="1" applyFill="1" applyBorder="1">
      <alignment horizontal="left" vertical="center" indent="1" readingOrder="1"/>
    </xf>
    <xf numFmtId="0" fontId="26" fillId="8" borderId="118" xfId="15" applyFont="1" applyBorder="1" applyAlignment="1">
      <alignment horizontal="left" vertical="center" indent="1"/>
    </xf>
    <xf numFmtId="0" fontId="26" fillId="8" borderId="98" xfId="15" applyFont="1" applyBorder="1" applyAlignment="1">
      <alignment horizontal="left" vertical="center" indent="1"/>
    </xf>
    <xf numFmtId="0" fontId="26" fillId="8" borderId="100" xfId="15" applyFont="1" applyBorder="1" applyAlignment="1">
      <alignment horizontal="left" vertical="center" indent="1"/>
    </xf>
    <xf numFmtId="0" fontId="17" fillId="16" borderId="119" xfId="23" applyFont="1" applyBorder="1" applyAlignment="1">
      <alignment horizontal="left" vertical="center" indent="1"/>
    </xf>
    <xf numFmtId="165" fontId="17" fillId="16" borderId="0" xfId="23" applyNumberFormat="1" applyFont="1" applyBorder="1" applyAlignment="1">
      <alignment horizontal="left" vertical="center" indent="1"/>
    </xf>
    <xf numFmtId="0" fontId="0" fillId="29" borderId="119" xfId="0" applyFill="1" applyBorder="1" applyAlignment="1">
      <alignment horizontal="left" vertical="center" indent="1"/>
    </xf>
    <xf numFmtId="0" fontId="0" fillId="29" borderId="5" xfId="0" applyFill="1" applyBorder="1" applyAlignment="1">
      <alignment horizontal="left" vertical="center" indent="1"/>
    </xf>
    <xf numFmtId="0" fontId="17" fillId="16" borderId="5" xfId="23" applyFont="1" applyBorder="1" applyAlignment="1">
      <alignment horizontal="left" vertical="center" indent="1"/>
    </xf>
    <xf numFmtId="165" fontId="0" fillId="29" borderId="0" xfId="0" applyNumberFormat="1" applyFill="1" applyAlignment="1">
      <alignment horizontal="left" vertical="center" indent="1"/>
    </xf>
    <xf numFmtId="0" fontId="0" fillId="29" borderId="120" xfId="0" applyFill="1" applyBorder="1" applyAlignment="1">
      <alignment horizontal="left" vertical="center" indent="1"/>
    </xf>
    <xf numFmtId="0" fontId="0" fillId="29" borderId="121" xfId="0" applyFill="1" applyBorder="1" applyAlignment="1">
      <alignment horizontal="left" vertical="center" indent="1"/>
    </xf>
    <xf numFmtId="165" fontId="0" fillId="29" borderId="121" xfId="0" applyNumberFormat="1" applyFill="1" applyBorder="1" applyAlignment="1">
      <alignment horizontal="left" vertical="center" indent="1"/>
    </xf>
    <xf numFmtId="0" fontId="0" fillId="29" borderId="122" xfId="0" applyFill="1" applyBorder="1" applyAlignment="1">
      <alignment horizontal="left" vertical="center" indent="1"/>
    </xf>
    <xf numFmtId="0" fontId="21" fillId="29" borderId="100" xfId="0" applyFont="1" applyFill="1" applyBorder="1" applyAlignment="1">
      <alignment horizontal="left" vertical="center" indent="1"/>
    </xf>
    <xf numFmtId="0" fontId="21" fillId="29" borderId="118" xfId="0" applyFont="1" applyFill="1" applyBorder="1" applyAlignment="1">
      <alignment horizontal="left" vertical="center" indent="1"/>
    </xf>
    <xf numFmtId="0" fontId="21" fillId="29" borderId="98" xfId="0" applyFont="1" applyFill="1" applyBorder="1" applyAlignment="1">
      <alignment horizontal="left" vertical="center" indent="1"/>
    </xf>
    <xf numFmtId="0" fontId="47" fillId="38" borderId="120" xfId="45" applyFill="1" applyBorder="1" applyAlignment="1">
      <alignment horizontal="left" vertical="center" wrapText="1" indent="1"/>
    </xf>
    <xf numFmtId="0" fontId="47" fillId="38" borderId="121" xfId="45" applyFill="1" applyBorder="1" applyAlignment="1">
      <alignment horizontal="left" vertical="center" wrapText="1" indent="1"/>
    </xf>
    <xf numFmtId="0" fontId="47" fillId="38" borderId="122" xfId="45" applyFill="1" applyBorder="1" applyAlignment="1">
      <alignment horizontal="left" vertical="center" wrapText="1" indent="1"/>
    </xf>
    <xf numFmtId="0" fontId="47" fillId="29" borderId="120" xfId="45" applyFill="1" applyBorder="1" applyAlignment="1">
      <alignment horizontal="left" vertical="center" wrapText="1" indent="1"/>
    </xf>
    <xf numFmtId="0" fontId="47" fillId="29" borderId="121" xfId="45" applyFill="1" applyBorder="1" applyAlignment="1">
      <alignment horizontal="left" vertical="center" wrapText="1" indent="1"/>
    </xf>
    <xf numFmtId="0" fontId="47" fillId="29" borderId="122" xfId="45" applyFill="1" applyBorder="1" applyAlignment="1">
      <alignment horizontal="left" vertical="center" wrapText="1" indent="1"/>
    </xf>
    <xf numFmtId="0" fontId="21" fillId="38" borderId="100" xfId="0" applyFont="1" applyFill="1" applyBorder="1" applyAlignment="1">
      <alignment horizontal="left" vertical="center" indent="1"/>
    </xf>
    <xf numFmtId="0" fontId="21" fillId="38" borderId="118" xfId="0" applyFont="1" applyFill="1" applyBorder="1" applyAlignment="1">
      <alignment horizontal="left" vertical="center" indent="1"/>
    </xf>
    <xf numFmtId="0" fontId="21" fillId="38" borderId="98" xfId="0" applyFont="1" applyFill="1" applyBorder="1" applyAlignment="1">
      <alignment horizontal="left" vertical="center" indent="1"/>
    </xf>
    <xf numFmtId="0" fontId="43" fillId="37" borderId="89" xfId="19" applyFont="1" applyFill="1" applyBorder="1" applyAlignment="1">
      <alignment horizontal="left" vertical="center" indent="1"/>
    </xf>
    <xf numFmtId="0" fontId="21" fillId="38" borderId="89" xfId="0" applyFont="1" applyFill="1" applyBorder="1" applyAlignment="1">
      <alignment horizontal="left" vertical="center" indent="2"/>
    </xf>
    <xf numFmtId="0" fontId="17" fillId="38" borderId="89" xfId="0" applyFont="1" applyFill="1" applyBorder="1" applyAlignment="1">
      <alignment horizontal="left" vertical="center" wrapText="1" indent="1"/>
    </xf>
    <xf numFmtId="0" fontId="21" fillId="29" borderId="89" xfId="0" applyFont="1" applyFill="1" applyBorder="1" applyAlignment="1">
      <alignment horizontal="left" vertical="center" indent="2"/>
    </xf>
    <xf numFmtId="0" fontId="17" fillId="29" borderId="89" xfId="0" applyFont="1" applyFill="1" applyBorder="1" applyAlignment="1">
      <alignment horizontal="left" vertical="center" wrapText="1" indent="1"/>
    </xf>
    <xf numFmtId="0" fontId="18" fillId="35" borderId="89" xfId="15" applyFont="1" applyFill="1" applyBorder="1" applyAlignment="1">
      <alignment horizontal="left" vertical="center" indent="1"/>
    </xf>
    <xf numFmtId="0" fontId="21" fillId="29" borderId="89" xfId="0" applyFont="1" applyFill="1" applyBorder="1" applyAlignment="1">
      <alignment horizontal="left" vertical="center" indent="1"/>
    </xf>
    <xf numFmtId="0" fontId="29" fillId="38" borderId="89" xfId="0" applyFont="1" applyFill="1" applyBorder="1" applyAlignment="1">
      <alignment horizontal="left" vertical="center" wrapText="1" indent="1"/>
    </xf>
    <xf numFmtId="0" fontId="26" fillId="34" borderId="100" xfId="0" applyFont="1" applyFill="1" applyBorder="1" applyAlignment="1">
      <alignment horizontal="left" vertical="center" indent="1"/>
    </xf>
    <xf numFmtId="0" fontId="26" fillId="34" borderId="118" xfId="0" applyFont="1" applyFill="1" applyBorder="1" applyAlignment="1">
      <alignment horizontal="left" vertical="center" indent="1"/>
    </xf>
    <xf numFmtId="0" fontId="26" fillId="34" borderId="98" xfId="0" applyFont="1" applyFill="1" applyBorder="1" applyAlignment="1">
      <alignment horizontal="left" vertical="center" indent="1"/>
    </xf>
    <xf numFmtId="0" fontId="21" fillId="40" borderId="89" xfId="0" applyFont="1" applyFill="1" applyBorder="1" applyAlignment="1">
      <alignment horizontal="left" vertical="center" indent="2"/>
    </xf>
    <xf numFmtId="0" fontId="17" fillId="40" borderId="89" xfId="0" applyFont="1" applyFill="1" applyBorder="1" applyAlignment="1">
      <alignment horizontal="left" vertical="center" wrapText="1" indent="1"/>
    </xf>
    <xf numFmtId="0" fontId="26" fillId="41" borderId="16" xfId="0" applyFont="1" applyFill="1" applyBorder="1" applyAlignment="1">
      <alignment horizontal="left" vertical="center" indent="1"/>
    </xf>
    <xf numFmtId="0" fontId="26" fillId="41" borderId="17" xfId="0" applyFont="1" applyFill="1" applyBorder="1" applyAlignment="1">
      <alignment horizontal="left" vertical="center" indent="1"/>
    </xf>
    <xf numFmtId="0" fontId="26" fillId="41" borderId="18" xfId="0" applyFont="1" applyFill="1" applyBorder="1" applyAlignment="1">
      <alignment horizontal="left" vertical="center" indent="1"/>
    </xf>
    <xf numFmtId="0" fontId="17" fillId="29" borderId="226" xfId="0" applyFont="1" applyFill="1" applyBorder="1">
      <alignment horizontal="left" vertical="center" indent="1" readingOrder="1"/>
    </xf>
    <xf numFmtId="0" fontId="17" fillId="29" borderId="227" xfId="0" applyFont="1" applyFill="1" applyBorder="1">
      <alignment horizontal="left" vertical="center" indent="1" readingOrder="1"/>
    </xf>
    <xf numFmtId="0" fontId="17" fillId="38" borderId="226" xfId="0" applyFont="1" applyFill="1" applyBorder="1">
      <alignment horizontal="left" vertical="center" indent="1" readingOrder="1"/>
    </xf>
    <xf numFmtId="0" fontId="17" fillId="38" borderId="227" xfId="0" applyFont="1" applyFill="1" applyBorder="1">
      <alignment horizontal="left" vertical="center" indent="1" readingOrder="1"/>
    </xf>
    <xf numFmtId="0" fontId="26" fillId="35" borderId="34" xfId="0" applyFont="1" applyFill="1" applyBorder="1" applyAlignment="1">
      <alignment horizontal="left" vertical="center" indent="1"/>
    </xf>
    <xf numFmtId="0" fontId="26" fillId="35" borderId="18" xfId="0" applyFont="1" applyFill="1" applyBorder="1" applyAlignment="1">
      <alignment horizontal="left" vertical="center" indent="1"/>
    </xf>
    <xf numFmtId="0" fontId="17" fillId="29" borderId="231" xfId="0" applyFont="1" applyFill="1" applyBorder="1">
      <alignment horizontal="left" vertical="center" indent="1" readingOrder="1"/>
    </xf>
    <xf numFmtId="0" fontId="17" fillId="29" borderId="232" xfId="0" applyFont="1" applyFill="1" applyBorder="1">
      <alignment horizontal="left" vertical="center" indent="1" readingOrder="1"/>
    </xf>
    <xf numFmtId="0" fontId="17" fillId="29" borderId="63" xfId="0" applyFont="1" applyFill="1" applyBorder="1" applyAlignment="1">
      <alignment horizontal="left" vertical="center" indent="1"/>
    </xf>
    <xf numFmtId="0" fontId="17" fillId="29" borderId="232" xfId="0" applyFont="1" applyFill="1" applyBorder="1" applyAlignment="1">
      <alignment horizontal="left" vertical="center" indent="1"/>
    </xf>
    <xf numFmtId="0" fontId="17" fillId="38" borderId="67" xfId="0" applyFont="1" applyFill="1" applyBorder="1" applyAlignment="1">
      <alignment horizontal="left" vertical="center" indent="1"/>
    </xf>
    <xf numFmtId="0" fontId="17" fillId="38" borderId="227" xfId="0" applyFont="1" applyFill="1" applyBorder="1" applyAlignment="1">
      <alignment horizontal="left" vertical="center" indent="1"/>
    </xf>
    <xf numFmtId="0" fontId="17" fillId="29" borderId="229" xfId="0" applyFont="1" applyFill="1" applyBorder="1" applyAlignment="1">
      <alignment horizontal="left" vertical="center" indent="1"/>
    </xf>
    <xf numFmtId="0" fontId="17" fillId="29" borderId="230" xfId="0" applyFont="1" applyFill="1" applyBorder="1" applyAlignment="1">
      <alignment horizontal="left" vertical="center" indent="1"/>
    </xf>
    <xf numFmtId="0" fontId="17" fillId="29" borderId="228" xfId="0" applyFont="1" applyFill="1" applyBorder="1">
      <alignment horizontal="left" vertical="center" indent="1" readingOrder="1"/>
    </xf>
    <xf numFmtId="0" fontId="17" fillId="29" borderId="230" xfId="0" applyFont="1" applyFill="1" applyBorder="1">
      <alignment horizontal="left" vertical="center" indent="1" readingOrder="1"/>
    </xf>
    <xf numFmtId="0" fontId="17" fillId="29" borderId="67" xfId="0" applyFont="1" applyFill="1" applyBorder="1" applyAlignment="1">
      <alignment horizontal="left" vertical="center" indent="1"/>
    </xf>
    <xf numFmtId="0" fontId="17" fillId="29" borderId="227" xfId="0" applyFont="1" applyFill="1" applyBorder="1" applyAlignment="1">
      <alignment horizontal="left" vertical="center" indent="1"/>
    </xf>
    <xf numFmtId="0" fontId="47" fillId="38" borderId="5" xfId="45" applyFill="1" applyBorder="1" applyAlignment="1">
      <alignment horizontal="left" vertical="center" wrapText="1" indent="1"/>
    </xf>
    <xf numFmtId="0" fontId="47" fillId="38" borderId="0" xfId="45" applyFill="1" applyBorder="1" applyAlignment="1">
      <alignment horizontal="left" vertical="center" wrapText="1" indent="1"/>
    </xf>
    <xf numFmtId="0" fontId="47" fillId="38" borderId="119" xfId="45" applyFill="1" applyBorder="1" applyAlignment="1">
      <alignment horizontal="left" vertical="center" wrapText="1" indent="1"/>
    </xf>
    <xf numFmtId="0" fontId="47" fillId="29" borderId="5" xfId="45" applyFill="1" applyBorder="1" applyAlignment="1">
      <alignment horizontal="left" vertical="center" wrapText="1" indent="1"/>
    </xf>
    <xf numFmtId="0" fontId="47" fillId="29" borderId="0" xfId="45" applyFill="1" applyBorder="1" applyAlignment="1">
      <alignment horizontal="left" vertical="center" wrapText="1" indent="1"/>
    </xf>
    <xf numFmtId="0" fontId="47" fillId="29" borderId="119" xfId="45" applyFill="1" applyBorder="1" applyAlignment="1">
      <alignment horizontal="left" vertical="center" wrapText="1" indent="1"/>
    </xf>
    <xf numFmtId="0" fontId="21" fillId="38" borderId="5" xfId="0" applyFont="1" applyFill="1" applyBorder="1" applyAlignment="1">
      <alignment horizontal="left" vertical="center" indent="1"/>
    </xf>
    <xf numFmtId="0" fontId="21" fillId="38" borderId="0" xfId="0" applyFont="1" applyFill="1" applyAlignment="1">
      <alignment horizontal="left" vertical="center" indent="1"/>
    </xf>
    <xf numFmtId="0" fontId="21" fillId="38" borderId="119" xfId="0" applyFont="1" applyFill="1" applyBorder="1" applyAlignment="1">
      <alignment horizontal="left" vertical="center" indent="1"/>
    </xf>
    <xf numFmtId="0" fontId="21" fillId="38" borderId="100" xfId="0" applyFont="1" applyFill="1" applyBorder="1" applyAlignment="1">
      <alignment horizontal="left" vertical="center" wrapText="1" indent="1"/>
    </xf>
    <xf numFmtId="0" fontId="21" fillId="38" borderId="0" xfId="0" applyFont="1" applyFill="1" applyBorder="1" applyAlignment="1">
      <alignment horizontal="left" vertical="center" indent="1"/>
    </xf>
    <xf numFmtId="0" fontId="26" fillId="8" borderId="47" xfId="15" applyFont="1" applyBorder="1" applyAlignment="1">
      <alignment horizontal="center" wrapText="1"/>
    </xf>
    <xf numFmtId="0" fontId="26" fillId="8" borderId="0" xfId="15" applyFont="1" applyBorder="1" applyAlignment="1">
      <alignment horizontal="center" wrapText="1"/>
    </xf>
    <xf numFmtId="0" fontId="26" fillId="8" borderId="48" xfId="15" applyFont="1" applyBorder="1" applyAlignment="1">
      <alignment horizontal="center" wrapText="1"/>
    </xf>
    <xf numFmtId="0" fontId="26" fillId="8" borderId="49" xfId="15" applyFont="1" applyBorder="1" applyAlignment="1">
      <alignment horizontal="center" wrapText="1"/>
    </xf>
    <xf numFmtId="0" fontId="26" fillId="12" borderId="16" xfId="19" applyFont="1" applyBorder="1" applyAlignment="1">
      <alignment horizontal="left" vertical="center" indent="1"/>
    </xf>
    <xf numFmtId="0" fontId="26" fillId="12" borderId="17" xfId="19" applyFont="1" applyBorder="1" applyAlignment="1">
      <alignment horizontal="left" vertical="center" indent="1"/>
    </xf>
    <xf numFmtId="0" fontId="26" fillId="12" borderId="18" xfId="19" applyFont="1" applyBorder="1" applyAlignment="1">
      <alignment horizontal="left" vertical="center" indent="1"/>
    </xf>
    <xf numFmtId="0" fontId="18" fillId="8" borderId="90" xfId="15" quotePrefix="1" applyFont="1" applyBorder="1" applyAlignment="1" applyProtection="1">
      <alignment horizontal="left" vertical="center" indent="1"/>
      <protection locked="0"/>
    </xf>
    <xf numFmtId="0" fontId="18" fillId="8" borderId="91" xfId="15" quotePrefix="1" applyFont="1" applyBorder="1" applyAlignment="1" applyProtection="1">
      <alignment horizontal="left" vertical="center" indent="1"/>
      <protection locked="0"/>
    </xf>
    <xf numFmtId="0" fontId="18" fillId="8" borderId="92" xfId="15" quotePrefix="1" applyFont="1" applyBorder="1" applyAlignment="1" applyProtection="1">
      <alignment horizontal="left" vertical="center" indent="1"/>
      <protection locked="0"/>
    </xf>
    <xf numFmtId="0" fontId="25" fillId="30" borderId="223" xfId="37" quotePrefix="1" applyFont="1" applyBorder="1" applyAlignment="1">
      <alignment horizontal="left" vertical="center" indent="1"/>
    </xf>
    <xf numFmtId="0" fontId="25" fillId="30" borderId="224" xfId="37" quotePrefix="1" applyFont="1" applyBorder="1" applyAlignment="1">
      <alignment horizontal="left" vertical="center" indent="1"/>
    </xf>
    <xf numFmtId="0" fontId="25" fillId="30" borderId="225" xfId="37" quotePrefix="1" applyFont="1" applyBorder="1" applyAlignment="1">
      <alignment horizontal="left" vertical="center" indent="1"/>
    </xf>
    <xf numFmtId="0" fontId="29" fillId="28" borderId="13" xfId="36" applyFont="1" applyBorder="1" applyAlignment="1">
      <alignment horizontal="left" vertical="center" indent="1"/>
    </xf>
    <xf numFmtId="0" fontId="29" fillId="28" borderId="0" xfId="36" applyFont="1" applyBorder="1" applyAlignment="1">
      <alignment horizontal="left" vertical="center" indent="1"/>
    </xf>
    <xf numFmtId="0" fontId="36" fillId="29" borderId="19" xfId="0" applyFont="1" applyFill="1" applyBorder="1" applyAlignment="1">
      <alignment horizontal="left" vertical="center" indent="1"/>
    </xf>
    <xf numFmtId="0" fontId="36" fillId="29" borderId="20" xfId="0" applyFont="1" applyFill="1" applyBorder="1" applyAlignment="1">
      <alignment horizontal="left" vertical="center" indent="1"/>
    </xf>
    <xf numFmtId="0" fontId="36" fillId="29" borderId="21" xfId="0" applyFont="1" applyFill="1" applyBorder="1" applyAlignment="1">
      <alignment horizontal="left" vertical="center" indent="1"/>
    </xf>
    <xf numFmtId="166" fontId="36" fillId="29" borderId="22" xfId="0" applyNumberFormat="1" applyFont="1" applyFill="1" applyBorder="1" applyAlignment="1">
      <alignment horizontal="right" vertical="center" indent="1"/>
    </xf>
    <xf numFmtId="0" fontId="26" fillId="8" borderId="46" xfId="15" applyFont="1" applyBorder="1" applyAlignment="1">
      <alignment horizontal="left" indent="1"/>
    </xf>
    <xf numFmtId="0" fontId="26" fillId="8" borderId="47" xfId="15" applyFont="1" applyBorder="1" applyAlignment="1">
      <alignment horizontal="left" indent="1"/>
    </xf>
    <xf numFmtId="0" fontId="26" fillId="8" borderId="15" xfId="15" applyFont="1" applyBorder="1" applyAlignment="1">
      <alignment horizontal="left" indent="1"/>
    </xf>
    <xf numFmtId="0" fontId="26" fillId="8" borderId="0" xfId="15" applyFont="1" applyBorder="1" applyAlignment="1">
      <alignment horizontal="left" indent="1"/>
    </xf>
    <xf numFmtId="0" fontId="36" fillId="29" borderId="24" xfId="0" applyFont="1" applyFill="1" applyBorder="1" applyAlignment="1">
      <alignment horizontal="left" vertical="center" indent="1"/>
    </xf>
    <xf numFmtId="0" fontId="36" fillId="29" borderId="11" xfId="0" applyFont="1" applyFill="1" applyBorder="1" applyAlignment="1">
      <alignment horizontal="left" vertical="center" indent="1"/>
    </xf>
    <xf numFmtId="0" fontId="36" fillId="29" borderId="25" xfId="0" applyFont="1" applyFill="1" applyBorder="1" applyAlignment="1">
      <alignment horizontal="left" vertical="center" indent="1"/>
    </xf>
    <xf numFmtId="166" fontId="36" fillId="29" borderId="26" xfId="0" applyNumberFormat="1" applyFont="1" applyFill="1" applyBorder="1" applyAlignment="1">
      <alignment horizontal="right" vertical="center" indent="1"/>
    </xf>
    <xf numFmtId="166" fontId="36" fillId="33" borderId="23" xfId="0" applyNumberFormat="1" applyFont="1" applyFill="1" applyBorder="1" applyAlignment="1">
      <alignment horizontal="right" vertical="center" indent="1"/>
    </xf>
    <xf numFmtId="166" fontId="36" fillId="29" borderId="27" xfId="0" applyNumberFormat="1" applyFont="1" applyFill="1" applyBorder="1" applyAlignment="1">
      <alignment horizontal="right" vertical="center" indent="1"/>
    </xf>
    <xf numFmtId="166" fontId="36" fillId="33" borderId="28" xfId="0" applyNumberFormat="1" applyFont="1" applyFill="1" applyBorder="1" applyAlignment="1">
      <alignment horizontal="right" vertical="center" indent="1"/>
    </xf>
    <xf numFmtId="0" fontId="36" fillId="33" borderId="34" xfId="0" applyFont="1" applyFill="1" applyBorder="1" applyAlignment="1">
      <alignment horizontal="right" vertical="center" indent="1"/>
    </xf>
    <xf numFmtId="166" fontId="36" fillId="33" borderId="16" xfId="0" applyNumberFormat="1" applyFont="1" applyFill="1" applyBorder="1" applyAlignment="1">
      <alignment horizontal="right" vertical="center" indent="1"/>
    </xf>
    <xf numFmtId="166" fontId="36" fillId="33" borderId="17" xfId="0" applyNumberFormat="1" applyFont="1" applyFill="1" applyBorder="1" applyAlignment="1">
      <alignment horizontal="right" vertical="center" indent="1"/>
    </xf>
    <xf numFmtId="166" fontId="36" fillId="33" borderId="18" xfId="0" applyNumberFormat="1" applyFont="1" applyFill="1" applyBorder="1" applyAlignment="1">
      <alignment horizontal="right" vertical="center" indent="1"/>
    </xf>
    <xf numFmtId="0" fontId="36" fillId="29" borderId="29" xfId="0" applyFont="1" applyFill="1" applyBorder="1" applyAlignment="1">
      <alignment horizontal="left" vertical="center" indent="1"/>
    </xf>
    <xf numFmtId="0" fontId="36" fillId="29" borderId="30" xfId="0" applyFont="1" applyFill="1" applyBorder="1" applyAlignment="1">
      <alignment horizontal="left" vertical="center" indent="1"/>
    </xf>
    <xf numFmtId="0" fontId="36" fillId="29" borderId="31" xfId="0" applyFont="1" applyFill="1" applyBorder="1" applyAlignment="1">
      <alignment horizontal="left" vertical="center" indent="1"/>
    </xf>
    <xf numFmtId="166" fontId="36" fillId="29" borderId="32" xfId="0" applyNumberFormat="1" applyFont="1" applyFill="1" applyBorder="1" applyAlignment="1">
      <alignment horizontal="right" vertical="center" indent="1"/>
    </xf>
    <xf numFmtId="166" fontId="36" fillId="33" borderId="34" xfId="0" applyNumberFormat="1" applyFont="1" applyFill="1" applyBorder="1" applyAlignment="1">
      <alignment horizontal="right" vertical="center" indent="1"/>
    </xf>
    <xf numFmtId="166" fontId="36" fillId="29" borderId="33" xfId="0" applyNumberFormat="1" applyFont="1" applyFill="1" applyBorder="1" applyAlignment="1">
      <alignment horizontal="right" vertical="center" indent="1"/>
    </xf>
    <xf numFmtId="0" fontId="36" fillId="29" borderId="17" xfId="0" applyFont="1" applyFill="1" applyBorder="1">
      <alignment horizontal="left" vertical="center" indent="1" readingOrder="1"/>
    </xf>
    <xf numFmtId="0" fontId="36" fillId="33" borderId="34" xfId="0" applyFont="1" applyFill="1" applyBorder="1" applyAlignment="1">
      <alignment horizontal="left" vertical="center" indent="1"/>
    </xf>
    <xf numFmtId="0" fontId="36" fillId="36" borderId="16" xfId="0" applyFont="1" applyFill="1" applyBorder="1" applyAlignment="1">
      <alignment horizontal="left" vertical="center" indent="1"/>
    </xf>
    <xf numFmtId="0" fontId="36" fillId="36" borderId="17" xfId="0" applyFont="1" applyFill="1" applyBorder="1" applyAlignment="1">
      <alignment horizontal="left" vertical="center" indent="1"/>
    </xf>
    <xf numFmtId="0" fontId="36" fillId="36" borderId="18" xfId="0" applyFont="1" applyFill="1" applyBorder="1" applyAlignment="1">
      <alignment horizontal="left" vertical="center" indent="1"/>
    </xf>
    <xf numFmtId="166" fontId="36" fillId="29" borderId="35" xfId="0" applyNumberFormat="1" applyFont="1" applyFill="1" applyBorder="1" applyAlignment="1">
      <alignment horizontal="right" vertical="center" indent="1"/>
    </xf>
    <xf numFmtId="166" fontId="36" fillId="33" borderId="36" xfId="0" applyNumberFormat="1" applyFont="1" applyFill="1" applyBorder="1" applyAlignment="1">
      <alignment horizontal="right" vertical="center" indent="1"/>
    </xf>
    <xf numFmtId="166" fontId="36" fillId="29" borderId="37" xfId="0" applyNumberFormat="1" applyFont="1" applyFill="1" applyBorder="1" applyAlignment="1">
      <alignment horizontal="right" vertical="center" indent="1"/>
    </xf>
    <xf numFmtId="166" fontId="36" fillId="29" borderId="38" xfId="0" applyNumberFormat="1" applyFont="1" applyFill="1" applyBorder="1" applyAlignment="1">
      <alignment horizontal="right" vertical="center" indent="1"/>
    </xf>
    <xf numFmtId="0" fontId="36" fillId="29" borderId="39" xfId="0" applyFont="1" applyFill="1" applyBorder="1" applyAlignment="1">
      <alignment horizontal="left" vertical="center" indent="1"/>
    </xf>
    <xf numFmtId="0" fontId="36" fillId="29" borderId="40" xfId="0" applyFont="1" applyFill="1" applyBorder="1" applyAlignment="1">
      <alignment horizontal="left" vertical="center" indent="1"/>
    </xf>
    <xf numFmtId="0" fontId="36" fillId="29" borderId="41" xfId="0" applyFont="1" applyFill="1" applyBorder="1" applyAlignment="1">
      <alignment horizontal="left" vertical="center" indent="1"/>
    </xf>
    <xf numFmtId="166" fontId="36" fillId="29" borderId="42" xfId="0" applyNumberFormat="1" applyFont="1" applyFill="1" applyBorder="1" applyAlignment="1">
      <alignment horizontal="right" vertical="center" indent="1"/>
    </xf>
    <xf numFmtId="166" fontId="36" fillId="29" borderId="44" xfId="0" applyNumberFormat="1" applyFont="1" applyFill="1" applyBorder="1" applyAlignment="1">
      <alignment horizontal="right" vertical="center" indent="1"/>
    </xf>
    <xf numFmtId="166" fontId="36" fillId="29" borderId="43" xfId="0" applyNumberFormat="1" applyFont="1" applyFill="1" applyBorder="1" applyAlignment="1">
      <alignment horizontal="right" vertical="center" indent="1"/>
    </xf>
    <xf numFmtId="166" fontId="36" fillId="29" borderId="45" xfId="0" applyNumberFormat="1" applyFont="1" applyFill="1" applyBorder="1" applyAlignment="1">
      <alignment horizontal="right" vertical="center" indent="1"/>
    </xf>
    <xf numFmtId="0" fontId="26" fillId="8" borderId="0" xfId="15" applyFont="1" applyAlignment="1">
      <alignment horizontal="center" wrapText="1"/>
    </xf>
    <xf numFmtId="0" fontId="26" fillId="8" borderId="0" xfId="15" applyFont="1" applyAlignment="1">
      <alignment horizontal="left" indent="1"/>
    </xf>
    <xf numFmtId="0" fontId="36" fillId="29" borderId="44" xfId="0" applyFont="1" applyFill="1" applyBorder="1" applyAlignment="1">
      <alignment horizontal="left" vertical="center" indent="1"/>
    </xf>
    <xf numFmtId="0" fontId="36" fillId="29" borderId="50" xfId="0" applyFont="1" applyFill="1" applyBorder="1" applyAlignment="1">
      <alignment horizontal="left" vertical="center" indent="1"/>
    </xf>
    <xf numFmtId="0" fontId="36" fillId="29" borderId="45" xfId="0" applyFont="1" applyFill="1" applyBorder="1" applyAlignment="1">
      <alignment horizontal="left" vertical="center" indent="1"/>
    </xf>
    <xf numFmtId="166" fontId="36" fillId="33" borderId="54" xfId="0" applyNumberFormat="1" applyFont="1" applyFill="1" applyBorder="1" applyAlignment="1">
      <alignment horizontal="right" vertical="center" indent="1"/>
    </xf>
    <xf numFmtId="0" fontId="23" fillId="29" borderId="0" xfId="1" applyFont="1" applyAlignment="1">
      <alignment horizontal="center"/>
    </xf>
    <xf numFmtId="0" fontId="36" fillId="29" borderId="47" xfId="0" applyFont="1" applyFill="1" applyBorder="1">
      <alignment horizontal="left" vertical="center" indent="1" readingOrder="1"/>
    </xf>
    <xf numFmtId="0" fontId="26" fillId="34" borderId="46" xfId="0" applyFont="1" applyFill="1" applyBorder="1" applyAlignment="1">
      <alignment horizontal="left" vertical="center" indent="1"/>
    </xf>
    <xf numFmtId="0" fontId="26" fillId="34" borderId="47" xfId="0" applyFont="1" applyFill="1" applyBorder="1" applyAlignment="1">
      <alignment horizontal="left" vertical="center" indent="1"/>
    </xf>
    <xf numFmtId="0" fontId="26" fillId="34" borderId="48" xfId="0" applyFont="1" applyFill="1" applyBorder="1" applyAlignment="1">
      <alignment horizontal="left" vertical="center" indent="1"/>
    </xf>
    <xf numFmtId="0" fontId="36" fillId="29" borderId="51" xfId="0" applyFont="1" applyFill="1" applyBorder="1" applyAlignment="1">
      <alignment horizontal="left" vertical="center" indent="1"/>
    </xf>
    <xf numFmtId="0" fontId="36" fillId="29" borderId="52" xfId="0" applyFont="1" applyFill="1" applyBorder="1" applyAlignment="1">
      <alignment horizontal="left" vertical="center" indent="1"/>
    </xf>
    <xf numFmtId="0" fontId="36" fillId="29" borderId="53" xfId="0" applyFont="1" applyFill="1" applyBorder="1" applyAlignment="1">
      <alignment horizontal="left" vertical="center" indent="1"/>
    </xf>
    <xf numFmtId="0" fontId="26" fillId="8" borderId="159" xfId="15" applyFont="1" applyBorder="1" applyAlignment="1">
      <alignment horizontal="left" vertical="center" indent="1"/>
    </xf>
    <xf numFmtId="0" fontId="26" fillId="8" borderId="160" xfId="15" applyFont="1" applyBorder="1" applyAlignment="1">
      <alignment horizontal="left" vertical="center" indent="1"/>
    </xf>
    <xf numFmtId="0" fontId="26" fillId="8" borderId="161" xfId="15" applyFont="1" applyBorder="1" applyAlignment="1">
      <alignment horizontal="left" vertical="center" indent="1"/>
    </xf>
    <xf numFmtId="3" fontId="37" fillId="29" borderId="183" xfId="0" applyNumberFormat="1" applyFont="1" applyFill="1" applyBorder="1" applyAlignment="1" applyProtection="1">
      <alignment horizontal="right" vertical="center" indent="1"/>
      <protection hidden="1"/>
    </xf>
    <xf numFmtId="167" fontId="37" fillId="29" borderId="183" xfId="42" applyNumberFormat="1" applyFont="1" applyFill="1" applyBorder="1" applyAlignment="1" applyProtection="1">
      <alignment horizontal="center" vertical="center"/>
      <protection hidden="1"/>
    </xf>
    <xf numFmtId="0" fontId="36" fillId="29" borderId="166" xfId="0" applyFont="1" applyFill="1" applyBorder="1" applyAlignment="1">
      <alignment horizontal="left" vertical="center" indent="1"/>
    </xf>
    <xf numFmtId="166" fontId="36" fillId="33" borderId="200" xfId="0" applyNumberFormat="1" applyFont="1" applyFill="1" applyBorder="1" applyAlignment="1">
      <alignment horizontal="right" vertical="center" indent="1"/>
    </xf>
    <xf numFmtId="166" fontId="36" fillId="33" borderId="167" xfId="0" applyNumberFormat="1" applyFont="1" applyFill="1" applyBorder="1" applyAlignment="1">
      <alignment horizontal="right" vertical="center" indent="1"/>
    </xf>
    <xf numFmtId="166" fontId="36" fillId="33" borderId="152" xfId="0" applyNumberFormat="1" applyFont="1" applyFill="1" applyBorder="1" applyAlignment="1">
      <alignment horizontal="right" vertical="center" indent="1"/>
    </xf>
    <xf numFmtId="0" fontId="36" fillId="29" borderId="185" xfId="0" applyFont="1" applyFill="1" applyBorder="1" applyAlignment="1">
      <alignment horizontal="left" vertical="center" indent="1"/>
    </xf>
    <xf numFmtId="0" fontId="36" fillId="29" borderId="7" xfId="0" applyFont="1" applyFill="1" applyBorder="1" applyAlignment="1">
      <alignment horizontal="left" vertical="center" indent="1"/>
    </xf>
    <xf numFmtId="3" fontId="25" fillId="28" borderId="89" xfId="36" applyNumberFormat="1" applyFont="1" applyBorder="1" applyAlignment="1">
      <alignment horizontal="center" vertical="center"/>
    </xf>
    <xf numFmtId="0" fontId="35" fillId="8" borderId="89" xfId="15" applyFont="1" applyBorder="1" applyAlignment="1">
      <alignment horizontal="center" vertical="center"/>
    </xf>
    <xf numFmtId="166" fontId="36" fillId="33" borderId="212" xfId="0" applyNumberFormat="1" applyFont="1" applyFill="1" applyBorder="1" applyAlignment="1">
      <alignment horizontal="right" vertical="center" indent="1"/>
    </xf>
    <xf numFmtId="166" fontId="36" fillId="33" borderId="210" xfId="0" applyNumberFormat="1" applyFont="1" applyFill="1" applyBorder="1" applyAlignment="1">
      <alignment horizontal="right" vertical="center" indent="1"/>
    </xf>
    <xf numFmtId="166" fontId="36" fillId="33" borderId="199" xfId="0" applyNumberFormat="1" applyFont="1" applyFill="1" applyBorder="1" applyAlignment="1">
      <alignment horizontal="right" vertical="center" indent="1"/>
    </xf>
    <xf numFmtId="166" fontId="36" fillId="33" borderId="174" xfId="0" applyNumberFormat="1" applyFont="1" applyFill="1" applyBorder="1" applyAlignment="1">
      <alignment horizontal="right" vertical="center" indent="1"/>
    </xf>
    <xf numFmtId="166" fontId="36" fillId="33" borderId="175" xfId="0" applyNumberFormat="1" applyFont="1" applyFill="1" applyBorder="1" applyAlignment="1">
      <alignment horizontal="right" vertical="center" indent="1"/>
    </xf>
    <xf numFmtId="3" fontId="37" fillId="29" borderId="69" xfId="0" applyNumberFormat="1" applyFont="1" applyFill="1" applyBorder="1" applyAlignment="1" applyProtection="1">
      <alignment horizontal="right" vertical="center" indent="1"/>
      <protection hidden="1"/>
    </xf>
    <xf numFmtId="167" fontId="37" fillId="29" borderId="69" xfId="42" applyNumberFormat="1" applyFont="1" applyFill="1" applyBorder="1" applyAlignment="1" applyProtection="1">
      <alignment horizontal="center" vertical="center"/>
      <protection hidden="1"/>
    </xf>
    <xf numFmtId="0" fontId="36" fillId="33" borderId="127" xfId="0" applyFont="1" applyFill="1" applyBorder="1" applyAlignment="1">
      <alignment horizontal="left" vertical="center" indent="1"/>
    </xf>
    <xf numFmtId="166" fontId="36" fillId="33" borderId="127" xfId="0" applyNumberFormat="1" applyFont="1" applyFill="1" applyBorder="1" applyAlignment="1">
      <alignment horizontal="right" vertical="center" indent="1"/>
    </xf>
    <xf numFmtId="0" fontId="36" fillId="33" borderId="169" xfId="0" applyFont="1" applyFill="1" applyBorder="1" applyAlignment="1">
      <alignment horizontal="right" vertical="center" indent="1"/>
    </xf>
    <xf numFmtId="0" fontId="36" fillId="33" borderId="170" xfId="0" applyFont="1" applyFill="1" applyBorder="1" applyAlignment="1">
      <alignment horizontal="right" vertical="center" indent="1"/>
    </xf>
    <xf numFmtId="0" fontId="36" fillId="33" borderId="211" xfId="0" applyFont="1" applyFill="1" applyBorder="1" applyAlignment="1">
      <alignment horizontal="right" vertical="center" indent="1"/>
    </xf>
    <xf numFmtId="0" fontId="36" fillId="29" borderId="168" xfId="0" applyFont="1" applyFill="1" applyBorder="1" applyAlignment="1">
      <alignment horizontal="left" vertical="center" indent="1"/>
    </xf>
    <xf numFmtId="0" fontId="37" fillId="29" borderId="183" xfId="0" applyFont="1" applyFill="1" applyBorder="1" applyAlignment="1" applyProtection="1">
      <alignment horizontal="left" vertical="center" indent="4"/>
      <protection hidden="1"/>
    </xf>
    <xf numFmtId="166" fontId="36" fillId="33" borderId="181" xfId="0" applyNumberFormat="1" applyFont="1" applyFill="1" applyBorder="1" applyAlignment="1">
      <alignment horizontal="right" vertical="center" indent="1"/>
    </xf>
    <xf numFmtId="166" fontId="36" fillId="33" borderId="170" xfId="0" applyNumberFormat="1" applyFont="1" applyFill="1" applyBorder="1" applyAlignment="1">
      <alignment horizontal="right" vertical="center" indent="1"/>
    </xf>
    <xf numFmtId="166" fontId="36" fillId="33" borderId="171" xfId="0" applyNumberFormat="1" applyFont="1" applyFill="1" applyBorder="1" applyAlignment="1">
      <alignment horizontal="right" vertical="center" indent="1"/>
    </xf>
    <xf numFmtId="166" fontId="36" fillId="33" borderId="169" xfId="0" applyNumberFormat="1" applyFont="1" applyFill="1" applyBorder="1" applyAlignment="1">
      <alignment horizontal="right" vertical="center" indent="1"/>
    </xf>
    <xf numFmtId="0" fontId="37" fillId="29" borderId="69" xfId="0" applyFont="1" applyFill="1" applyBorder="1" applyAlignment="1" applyProtection="1">
      <alignment horizontal="left" vertical="center" indent="4"/>
      <protection hidden="1"/>
    </xf>
    <xf numFmtId="0" fontId="36" fillId="29" borderId="207" xfId="0" applyFont="1" applyFill="1" applyBorder="1" applyAlignment="1">
      <alignment horizontal="left" vertical="center" indent="1"/>
    </xf>
    <xf numFmtId="166" fontId="36" fillId="33" borderId="8" xfId="0" applyNumberFormat="1" applyFont="1" applyFill="1" applyBorder="1" applyAlignment="1">
      <alignment horizontal="right" vertical="center" indent="1"/>
    </xf>
    <xf numFmtId="0" fontId="36" fillId="29" borderId="206" xfId="0" applyFont="1" applyFill="1" applyBorder="1" applyAlignment="1">
      <alignment horizontal="left" vertical="center" indent="1"/>
    </xf>
    <xf numFmtId="166" fontId="36" fillId="33" borderId="6" xfId="0" applyNumberFormat="1" applyFont="1" applyFill="1" applyBorder="1" applyAlignment="1">
      <alignment horizontal="right" vertical="center" indent="1"/>
    </xf>
    <xf numFmtId="0" fontId="36" fillId="29" borderId="204" xfId="0" applyFont="1" applyFill="1" applyBorder="1" applyAlignment="1">
      <alignment horizontal="left" vertical="center" indent="1"/>
    </xf>
    <xf numFmtId="166" fontId="36" fillId="33" borderId="205" xfId="0" applyNumberFormat="1" applyFont="1" applyFill="1" applyBorder="1" applyAlignment="1">
      <alignment horizontal="right" vertical="center" indent="1"/>
    </xf>
    <xf numFmtId="0" fontId="36" fillId="29" borderId="208" xfId="0" applyFont="1" applyFill="1" applyBorder="1" applyAlignment="1">
      <alignment horizontal="left" vertical="center" indent="1"/>
    </xf>
    <xf numFmtId="166" fontId="36" fillId="33" borderId="101" xfId="0" applyNumberFormat="1" applyFont="1" applyFill="1" applyBorder="1" applyAlignment="1">
      <alignment horizontal="right" vertical="center" indent="1"/>
    </xf>
    <xf numFmtId="0" fontId="36" fillId="33" borderId="209" xfId="0" applyFont="1" applyFill="1" applyBorder="1" applyAlignment="1">
      <alignment horizontal="right" vertical="center" indent="1"/>
    </xf>
    <xf numFmtId="166" fontId="36" fillId="33" borderId="209" xfId="0" applyNumberFormat="1" applyFont="1" applyFill="1" applyBorder="1" applyAlignment="1">
      <alignment horizontal="right" vertical="center" indent="1"/>
    </xf>
    <xf numFmtId="166" fontId="36" fillId="33" borderId="89" xfId="0" applyNumberFormat="1" applyFont="1" applyFill="1" applyBorder="1" applyAlignment="1">
      <alignment horizontal="right" vertical="center" indent="1"/>
    </xf>
    <xf numFmtId="0" fontId="36" fillId="33" borderId="89" xfId="0" applyFont="1" applyFill="1" applyBorder="1" applyAlignment="1">
      <alignment horizontal="left" vertical="center" indent="1"/>
    </xf>
    <xf numFmtId="0" fontId="37" fillId="29" borderId="69" xfId="0" applyFont="1" applyFill="1" applyBorder="1" applyAlignment="1" applyProtection="1">
      <alignment horizontal="left" vertical="center" indent="1"/>
      <protection hidden="1"/>
    </xf>
    <xf numFmtId="167" fontId="37" fillId="33" borderId="8" xfId="42" applyNumberFormat="1" applyFont="1" applyFill="1" applyBorder="1" applyAlignment="1" applyProtection="1">
      <alignment horizontal="center" vertical="center"/>
    </xf>
    <xf numFmtId="0" fontId="36" fillId="29" borderId="89" xfId="0" applyFont="1" applyFill="1" applyBorder="1" applyAlignment="1">
      <alignment horizontal="left" vertical="center" indent="1"/>
    </xf>
    <xf numFmtId="0" fontId="36" fillId="33" borderId="89" xfId="0" applyFont="1" applyFill="1" applyBorder="1" applyAlignment="1">
      <alignment horizontal="right" vertical="center" indent="1"/>
    </xf>
    <xf numFmtId="0" fontId="26" fillId="12" borderId="90" xfId="19" applyFont="1" applyBorder="1" applyAlignment="1">
      <alignment horizontal="left" vertical="center" indent="1"/>
    </xf>
    <xf numFmtId="0" fontId="26" fillId="12" borderId="91" xfId="19" applyFont="1" applyBorder="1" applyAlignment="1">
      <alignment horizontal="left" vertical="center" indent="1"/>
    </xf>
    <xf numFmtId="0" fontId="26" fillId="12" borderId="91" xfId="19" applyFont="1" applyBorder="1" applyAlignment="1">
      <alignment horizontal="center" vertical="center"/>
    </xf>
    <xf numFmtId="0" fontId="26" fillId="12" borderId="92" xfId="19" applyFont="1" applyBorder="1" applyAlignment="1">
      <alignment horizontal="center" vertical="center"/>
    </xf>
    <xf numFmtId="0" fontId="36" fillId="33" borderId="127" xfId="0" applyFont="1" applyFill="1" applyBorder="1" applyAlignment="1">
      <alignment horizontal="right" vertical="center" indent="1"/>
    </xf>
    <xf numFmtId="0" fontId="36" fillId="29" borderId="187" xfId="0" applyFont="1" applyFill="1" applyBorder="1" applyAlignment="1">
      <alignment horizontal="left" vertical="center" indent="1"/>
    </xf>
    <xf numFmtId="0" fontId="36" fillId="29" borderId="93" xfId="0" applyFont="1" applyFill="1" applyBorder="1" applyAlignment="1">
      <alignment horizontal="left" vertical="center" indent="1"/>
    </xf>
    <xf numFmtId="166" fontId="36" fillId="33" borderId="196" xfId="0" applyNumberFormat="1" applyFont="1" applyFill="1" applyBorder="1" applyAlignment="1">
      <alignment horizontal="right" vertical="center" indent="1"/>
    </xf>
    <xf numFmtId="166" fontId="36" fillId="33" borderId="165" xfId="0" applyNumberFormat="1" applyFont="1" applyFill="1" applyBorder="1" applyAlignment="1">
      <alignment horizontal="right" vertical="center" indent="1"/>
    </xf>
    <xf numFmtId="0" fontId="36" fillId="33" borderId="188" xfId="0" applyFont="1" applyFill="1" applyBorder="1" applyAlignment="1">
      <alignment horizontal="right" vertical="center" indent="1"/>
    </xf>
    <xf numFmtId="0" fontId="36" fillId="33" borderId="189" xfId="0" applyFont="1" applyFill="1" applyBorder="1" applyAlignment="1">
      <alignment horizontal="right" vertical="center" indent="1"/>
    </xf>
    <xf numFmtId="0" fontId="36" fillId="33" borderId="195" xfId="0" applyFont="1" applyFill="1" applyBorder="1" applyAlignment="1">
      <alignment horizontal="right" vertical="center" indent="1"/>
    </xf>
    <xf numFmtId="166" fontId="36" fillId="33" borderId="188" xfId="0" applyNumberFormat="1" applyFont="1" applyFill="1" applyBorder="1" applyAlignment="1">
      <alignment horizontal="right" vertical="center" indent="1"/>
    </xf>
    <xf numFmtId="166" fontId="36" fillId="33" borderId="189" xfId="0" applyNumberFormat="1" applyFont="1" applyFill="1" applyBorder="1" applyAlignment="1">
      <alignment horizontal="right" vertical="center" indent="1"/>
    </xf>
    <xf numFmtId="166" fontId="36" fillId="33" borderId="190" xfId="0" applyNumberFormat="1" applyFont="1" applyFill="1" applyBorder="1" applyAlignment="1">
      <alignment horizontal="right" vertical="center" indent="1"/>
    </xf>
    <xf numFmtId="166" fontId="36" fillId="33" borderId="198" xfId="0" applyNumberFormat="1" applyFont="1" applyFill="1" applyBorder="1" applyAlignment="1">
      <alignment horizontal="right" vertical="center" indent="1"/>
    </xf>
    <xf numFmtId="0" fontId="36" fillId="29" borderId="191" xfId="0" applyFont="1" applyFill="1" applyBorder="1" applyAlignment="1">
      <alignment horizontal="left" vertical="center" indent="1"/>
    </xf>
    <xf numFmtId="0" fontId="36" fillId="29" borderId="192" xfId="0" applyFont="1" applyFill="1" applyBorder="1" applyAlignment="1">
      <alignment horizontal="left" vertical="center" indent="1"/>
    </xf>
    <xf numFmtId="166" fontId="36" fillId="33" borderId="177" xfId="0" applyNumberFormat="1" applyFont="1" applyFill="1" applyBorder="1" applyAlignment="1">
      <alignment horizontal="right" vertical="center" indent="1"/>
    </xf>
    <xf numFmtId="166" fontId="36" fillId="33" borderId="178" xfId="0" applyNumberFormat="1" applyFont="1" applyFill="1" applyBorder="1" applyAlignment="1">
      <alignment horizontal="right" vertical="center" indent="1"/>
    </xf>
    <xf numFmtId="0" fontId="36" fillId="33" borderId="176" xfId="0" applyFont="1" applyFill="1" applyBorder="1" applyAlignment="1">
      <alignment horizontal="right" vertical="center" indent="1"/>
    </xf>
    <xf numFmtId="0" fontId="36" fillId="33" borderId="177" xfId="0" applyFont="1" applyFill="1" applyBorder="1" applyAlignment="1">
      <alignment horizontal="right" vertical="center" indent="1"/>
    </xf>
    <xf numFmtId="0" fontId="36" fillId="36" borderId="90" xfId="0" applyFont="1" applyFill="1" applyBorder="1" applyAlignment="1">
      <alignment horizontal="left" vertical="center" indent="1"/>
    </xf>
    <xf numFmtId="0" fontId="36" fillId="36" borderId="91" xfId="0" applyFont="1" applyFill="1" applyBorder="1" applyAlignment="1">
      <alignment horizontal="left" vertical="center" indent="1"/>
    </xf>
    <xf numFmtId="0" fontId="36" fillId="36" borderId="92" xfId="0" applyFont="1" applyFill="1" applyBorder="1" applyAlignment="1">
      <alignment horizontal="left" vertical="center" indent="1"/>
    </xf>
    <xf numFmtId="0" fontId="26" fillId="12" borderId="159" xfId="19" applyFont="1" applyBorder="1" applyAlignment="1">
      <alignment horizontal="left" vertical="center" indent="1"/>
    </xf>
    <xf numFmtId="0" fontId="26" fillId="12" borderId="160" xfId="19" applyFont="1" applyBorder="1" applyAlignment="1">
      <alignment horizontal="left" vertical="center" indent="1"/>
    </xf>
    <xf numFmtId="0" fontId="26" fillId="12" borderId="160" xfId="19" applyFont="1" applyBorder="1" applyAlignment="1">
      <alignment horizontal="center" vertical="center"/>
    </xf>
    <xf numFmtId="0" fontId="26" fillId="12" borderId="161" xfId="19" applyFont="1" applyBorder="1" applyAlignment="1">
      <alignment horizontal="center" vertical="center"/>
    </xf>
    <xf numFmtId="0" fontId="26" fillId="12" borderId="202" xfId="19" applyFont="1" applyBorder="1" applyAlignment="1">
      <alignment horizontal="left" vertical="center" indent="1"/>
    </xf>
    <xf numFmtId="0" fontId="26" fillId="12" borderId="47" xfId="19" applyFont="1" applyBorder="1" applyAlignment="1">
      <alignment horizontal="left" vertical="center" indent="1"/>
    </xf>
    <xf numFmtId="0" fontId="26" fillId="12" borderId="47" xfId="19" applyFont="1" applyBorder="1" applyAlignment="1">
      <alignment horizontal="center" vertical="center"/>
    </xf>
    <xf numFmtId="0" fontId="26" fillId="12" borderId="203" xfId="19" applyFont="1" applyBorder="1" applyAlignment="1">
      <alignment horizontal="center" vertical="center"/>
    </xf>
    <xf numFmtId="0" fontId="26" fillId="12" borderId="100" xfId="19" applyFont="1" applyBorder="1" applyAlignment="1">
      <alignment horizontal="left" vertical="center" indent="1"/>
    </xf>
    <xf numFmtId="0" fontId="26" fillId="12" borderId="118" xfId="19" applyFont="1" applyBorder="1" applyAlignment="1">
      <alignment horizontal="left" vertical="center" indent="1"/>
    </xf>
    <xf numFmtId="0" fontId="26" fillId="12" borderId="118" xfId="19" applyFont="1" applyBorder="1" applyAlignment="1">
      <alignment horizontal="center" vertical="center"/>
    </xf>
    <xf numFmtId="0" fontId="26" fillId="12" borderId="98" xfId="19" applyFont="1" applyBorder="1" applyAlignment="1">
      <alignment horizontal="center" vertical="center"/>
    </xf>
    <xf numFmtId="166" fontId="36" fillId="33" borderId="197" xfId="0" applyNumberFormat="1" applyFont="1" applyFill="1" applyBorder="1" applyAlignment="1">
      <alignment horizontal="right" vertical="center" indent="1"/>
    </xf>
    <xf numFmtId="166" fontId="36" fillId="33" borderId="193" xfId="0" applyNumberFormat="1" applyFont="1" applyFill="1" applyBorder="1" applyAlignment="1">
      <alignment horizontal="right" vertical="center" indent="1"/>
    </xf>
    <xf numFmtId="166" fontId="36" fillId="33" borderId="194" xfId="0" applyNumberFormat="1" applyFont="1" applyFill="1" applyBorder="1" applyAlignment="1">
      <alignment horizontal="right" vertical="center" indent="1"/>
    </xf>
    <xf numFmtId="166" fontId="36" fillId="33" borderId="201" xfId="0" applyNumberFormat="1" applyFont="1" applyFill="1" applyBorder="1" applyAlignment="1">
      <alignment horizontal="right" vertical="center" indent="1"/>
    </xf>
    <xf numFmtId="0" fontId="37" fillId="33" borderId="89" xfId="0" applyFont="1" applyFill="1" applyBorder="1" applyAlignment="1" applyProtection="1">
      <alignment horizontal="right" vertical="center" indent="1"/>
      <protection hidden="1"/>
    </xf>
    <xf numFmtId="3" fontId="37" fillId="33" borderId="89" xfId="0" applyNumberFormat="1" applyFont="1" applyFill="1" applyBorder="1" applyAlignment="1">
      <alignment horizontal="right" vertical="center" indent="1"/>
    </xf>
    <xf numFmtId="0" fontId="26" fillId="8" borderId="99" xfId="15" applyFont="1" applyBorder="1" applyAlignment="1" applyProtection="1">
      <alignment horizontal="left" vertical="center" indent="1"/>
      <protection hidden="1"/>
    </xf>
    <xf numFmtId="167" fontId="37" fillId="33" borderId="89" xfId="42" applyNumberFormat="1" applyFont="1" applyFill="1" applyBorder="1" applyAlignment="1" applyProtection="1">
      <alignment horizontal="center" vertical="center"/>
    </xf>
    <xf numFmtId="0" fontId="26" fillId="34" borderId="72" xfId="2" applyFont="1" applyFill="1" applyBorder="1" applyAlignment="1" applyProtection="1">
      <alignment horizontal="center" vertical="center"/>
      <protection hidden="1"/>
    </xf>
    <xf numFmtId="0" fontId="37" fillId="29" borderId="65" xfId="0" applyFont="1" applyFill="1" applyBorder="1" applyAlignment="1" applyProtection="1">
      <alignment horizontal="left" vertical="center" indent="1"/>
      <protection hidden="1"/>
    </xf>
    <xf numFmtId="3" fontId="37" fillId="29" borderId="65" xfId="0" applyNumberFormat="1" applyFont="1" applyFill="1" applyBorder="1" applyAlignment="1" applyProtection="1">
      <alignment horizontal="right" vertical="center" indent="1"/>
      <protection hidden="1"/>
    </xf>
    <xf numFmtId="0" fontId="26" fillId="34" borderId="99" xfId="2" applyFont="1" applyFill="1" applyBorder="1" applyAlignment="1" applyProtection="1">
      <alignment horizontal="left" vertical="center" indent="1"/>
      <protection hidden="1"/>
    </xf>
    <xf numFmtId="0" fontId="26" fillId="35" borderId="213" xfId="0" applyFont="1" applyFill="1" applyBorder="1" applyAlignment="1" applyProtection="1">
      <alignment horizontal="left" vertical="center" indent="1"/>
      <protection hidden="1"/>
    </xf>
    <xf numFmtId="0" fontId="26" fillId="35" borderId="145" xfId="0" applyFont="1" applyFill="1" applyBorder="1" applyAlignment="1" applyProtection="1">
      <alignment horizontal="left" vertical="center" indent="1"/>
      <protection hidden="1"/>
    </xf>
    <xf numFmtId="0" fontId="26" fillId="35" borderId="145" xfId="0" applyFont="1" applyFill="1" applyBorder="1" applyProtection="1">
      <alignment horizontal="left" vertical="center" indent="1" readingOrder="1"/>
      <protection hidden="1"/>
    </xf>
    <xf numFmtId="0" fontId="26" fillId="35" borderId="214" xfId="0" applyFont="1" applyFill="1" applyBorder="1" applyProtection="1">
      <alignment horizontal="left" vertical="center" indent="1" readingOrder="1"/>
      <protection hidden="1"/>
    </xf>
    <xf numFmtId="0" fontId="37" fillId="29" borderId="97" xfId="0" applyFont="1" applyFill="1" applyBorder="1" applyAlignment="1" applyProtection="1">
      <alignment horizontal="left" vertical="center" indent="4"/>
      <protection hidden="1"/>
    </xf>
    <xf numFmtId="3" fontId="37" fillId="29" borderId="97" xfId="0" applyNumberFormat="1" applyFont="1" applyFill="1" applyBorder="1" applyAlignment="1" applyProtection="1">
      <alignment horizontal="right" vertical="center" indent="1"/>
      <protection hidden="1"/>
    </xf>
    <xf numFmtId="167" fontId="37" fillId="29" borderId="97" xfId="42" applyNumberFormat="1" applyFont="1" applyFill="1" applyBorder="1" applyAlignment="1" applyProtection="1">
      <alignment horizontal="center" vertical="center"/>
      <protection hidden="1"/>
    </xf>
    <xf numFmtId="0" fontId="26" fillId="12" borderId="90" xfId="19" applyFont="1" applyBorder="1" applyAlignment="1" applyProtection="1">
      <alignment horizontal="left" vertical="center" indent="1"/>
      <protection hidden="1"/>
    </xf>
    <xf numFmtId="0" fontId="26" fillId="12" borderId="91" xfId="19" applyFont="1" applyBorder="1" applyAlignment="1" applyProtection="1">
      <alignment horizontal="left" vertical="center" indent="1"/>
      <protection hidden="1"/>
    </xf>
    <xf numFmtId="0" fontId="26" fillId="12" borderId="91" xfId="19" applyFont="1" applyBorder="1" applyAlignment="1" applyProtection="1">
      <alignment horizontal="center" vertical="center"/>
      <protection hidden="1"/>
    </xf>
    <xf numFmtId="0" fontId="26" fillId="12" borderId="92" xfId="19" applyFont="1" applyBorder="1" applyAlignment="1" applyProtection="1">
      <alignment horizontal="center" vertical="center"/>
      <protection hidden="1"/>
    </xf>
    <xf numFmtId="0" fontId="37" fillId="29" borderId="97" xfId="0" applyFont="1" applyFill="1" applyBorder="1" applyAlignment="1" applyProtection="1">
      <alignment horizontal="left" vertical="center" indent="1"/>
      <protection hidden="1"/>
    </xf>
    <xf numFmtId="167" fontId="37" fillId="33" borderId="6" xfId="42" applyNumberFormat="1" applyFont="1" applyFill="1" applyBorder="1" applyAlignment="1" applyProtection="1">
      <alignment horizontal="center" vertical="center"/>
    </xf>
    <xf numFmtId="0" fontId="26" fillId="34" borderId="59" xfId="0" applyFont="1" applyFill="1" applyBorder="1" applyAlignment="1" applyProtection="1">
      <alignment horizontal="left" vertical="center" indent="1"/>
      <protection hidden="1"/>
    </xf>
    <xf numFmtId="0" fontId="26" fillId="34" borderId="60" xfId="0" applyFont="1" applyFill="1" applyBorder="1" applyAlignment="1" applyProtection="1">
      <alignment horizontal="left" vertical="center" indent="1"/>
      <protection hidden="1"/>
    </xf>
    <xf numFmtId="0" fontId="26" fillId="34" borderId="61" xfId="0" applyFont="1" applyFill="1" applyBorder="1" applyAlignment="1" applyProtection="1">
      <alignment horizontal="left" vertical="center" indent="1"/>
      <protection hidden="1"/>
    </xf>
    <xf numFmtId="0" fontId="26" fillId="34" borderId="62" xfId="0" applyFont="1" applyFill="1" applyBorder="1" applyAlignment="1" applyProtection="1">
      <alignment horizontal="left" vertical="center" indent="1"/>
      <protection hidden="1"/>
    </xf>
    <xf numFmtId="0" fontId="26" fillId="35" borderId="59" xfId="0" applyFont="1" applyFill="1" applyBorder="1" applyAlignment="1" applyProtection="1">
      <alignment horizontal="left" vertical="center" indent="1"/>
      <protection hidden="1"/>
    </xf>
    <xf numFmtId="0" fontId="26" fillId="35" borderId="60" xfId="0" applyFont="1" applyFill="1" applyBorder="1" applyAlignment="1" applyProtection="1">
      <alignment horizontal="left" vertical="center" indent="1"/>
      <protection hidden="1"/>
    </xf>
    <xf numFmtId="0" fontId="26" fillId="35" borderId="61" xfId="0" applyFont="1" applyFill="1" applyBorder="1" applyProtection="1">
      <alignment horizontal="left" vertical="center" indent="1" readingOrder="1"/>
      <protection hidden="1"/>
    </xf>
    <xf numFmtId="0" fontId="26" fillId="35" borderId="60" xfId="0" applyFont="1" applyFill="1" applyBorder="1" applyProtection="1">
      <alignment horizontal="left" vertical="center" indent="1" readingOrder="1"/>
      <protection hidden="1"/>
    </xf>
    <xf numFmtId="0" fontId="26" fillId="35" borderId="62" xfId="0" applyFont="1" applyFill="1" applyBorder="1" applyProtection="1">
      <alignment horizontal="left" vertical="center" indent="1" readingOrder="1"/>
      <protection hidden="1"/>
    </xf>
    <xf numFmtId="3" fontId="37" fillId="33" borderId="233" xfId="0" applyNumberFormat="1" applyFont="1" applyFill="1" applyBorder="1" applyAlignment="1" applyProtection="1">
      <alignment horizontal="right" vertical="center" indent="1"/>
      <protection hidden="1"/>
    </xf>
    <xf numFmtId="3" fontId="37" fillId="33" borderId="234" xfId="0" applyNumberFormat="1" applyFont="1" applyFill="1" applyBorder="1" applyAlignment="1" applyProtection="1">
      <alignment horizontal="right" vertical="center" indent="1"/>
      <protection hidden="1"/>
    </xf>
    <xf numFmtId="3" fontId="37" fillId="33" borderId="235" xfId="0" applyNumberFormat="1" applyFont="1" applyFill="1" applyBorder="1" applyAlignment="1" applyProtection="1">
      <alignment horizontal="right" vertical="center" indent="1"/>
      <protection hidden="1"/>
    </xf>
    <xf numFmtId="3" fontId="37" fillId="33" borderId="12" xfId="0" applyNumberFormat="1" applyFont="1" applyFill="1" applyBorder="1" applyAlignment="1" applyProtection="1">
      <alignment horizontal="right" vertical="center" indent="1"/>
      <protection hidden="1"/>
    </xf>
    <xf numFmtId="3" fontId="37" fillId="33" borderId="10" xfId="0" applyNumberFormat="1" applyFont="1" applyFill="1" applyBorder="1" applyAlignment="1" applyProtection="1">
      <alignment horizontal="right" vertical="center" indent="1"/>
      <protection hidden="1"/>
    </xf>
    <xf numFmtId="3" fontId="37" fillId="33" borderId="76" xfId="0" applyNumberFormat="1" applyFont="1" applyFill="1" applyBorder="1" applyAlignment="1" applyProtection="1">
      <alignment horizontal="right" vertical="center" indent="1"/>
      <protection hidden="1"/>
    </xf>
    <xf numFmtId="0" fontId="37" fillId="29" borderId="204" xfId="0" applyFont="1" applyFill="1" applyBorder="1" applyAlignment="1" applyProtection="1">
      <alignment horizontal="left" vertical="center" indent="1"/>
      <protection hidden="1"/>
    </xf>
    <xf numFmtId="3" fontId="37" fillId="33" borderId="205" xfId="0" applyNumberFormat="1" applyFont="1" applyFill="1" applyBorder="1" applyAlignment="1">
      <alignment horizontal="right" vertical="center" indent="1"/>
    </xf>
    <xf numFmtId="3" fontId="37" fillId="33" borderId="8" xfId="0" applyNumberFormat="1" applyFont="1" applyFill="1" applyBorder="1" applyAlignment="1">
      <alignment horizontal="right" vertical="center" indent="1"/>
    </xf>
    <xf numFmtId="3" fontId="37" fillId="33" borderId="80" xfId="0" applyNumberFormat="1" applyFont="1" applyFill="1" applyBorder="1" applyAlignment="1" applyProtection="1">
      <alignment horizontal="right" vertical="center" indent="1"/>
      <protection hidden="1"/>
    </xf>
    <xf numFmtId="3" fontId="37" fillId="33" borderId="81" xfId="0" applyNumberFormat="1" applyFont="1" applyFill="1" applyBorder="1" applyAlignment="1" applyProtection="1">
      <alignment horizontal="right" vertical="center" indent="1"/>
      <protection hidden="1"/>
    </xf>
    <xf numFmtId="3" fontId="37" fillId="33" borderId="82" xfId="0" applyNumberFormat="1" applyFont="1" applyFill="1" applyBorder="1" applyAlignment="1" applyProtection="1">
      <alignment horizontal="right" vertical="center" indent="1"/>
      <protection hidden="1"/>
    </xf>
    <xf numFmtId="0" fontId="26" fillId="12" borderId="59" xfId="19" applyFont="1" applyBorder="1" applyAlignment="1" applyProtection="1">
      <alignment horizontal="left" vertical="center" indent="1"/>
      <protection hidden="1"/>
    </xf>
    <xf numFmtId="0" fontId="26" fillId="12" borderId="60" xfId="19" applyFont="1" applyBorder="1" applyAlignment="1" applyProtection="1">
      <alignment horizontal="left" vertical="center" indent="1"/>
      <protection hidden="1"/>
    </xf>
    <xf numFmtId="0" fontId="26" fillId="12" borderId="61" xfId="19" applyFont="1" applyBorder="1" applyAlignment="1" applyProtection="1">
      <alignment horizontal="center" vertical="center"/>
      <protection hidden="1"/>
    </xf>
    <xf numFmtId="0" fontId="26" fillId="12" borderId="60" xfId="19" applyFont="1" applyBorder="1" applyAlignment="1" applyProtection="1">
      <alignment horizontal="center" vertical="center"/>
      <protection hidden="1"/>
    </xf>
    <xf numFmtId="0" fontId="26" fillId="12" borderId="62" xfId="19" applyFont="1" applyBorder="1" applyAlignment="1" applyProtection="1">
      <alignment horizontal="center" vertical="center"/>
      <protection hidden="1"/>
    </xf>
    <xf numFmtId="0" fontId="37" fillId="29" borderId="183" xfId="0" applyFont="1" applyFill="1" applyBorder="1" applyAlignment="1" applyProtection="1">
      <alignment horizontal="left" vertical="center" indent="1"/>
      <protection hidden="1"/>
    </xf>
    <xf numFmtId="167" fontId="37" fillId="33" borderId="101" xfId="42" applyNumberFormat="1" applyFont="1" applyFill="1" applyBorder="1" applyAlignment="1" applyProtection="1">
      <alignment horizontal="center" vertical="center"/>
    </xf>
    <xf numFmtId="0" fontId="26" fillId="8" borderId="59" xfId="15" applyFont="1" applyBorder="1" applyAlignment="1" applyProtection="1">
      <alignment horizontal="left" vertical="center" indent="1"/>
      <protection hidden="1"/>
    </xf>
    <xf numFmtId="0" fontId="26" fillId="8" borderId="60" xfId="15" applyFont="1" applyBorder="1" applyAlignment="1" applyProtection="1">
      <alignment horizontal="left" vertical="center" indent="1"/>
      <protection hidden="1"/>
    </xf>
    <xf numFmtId="0" fontId="26" fillId="8" borderId="62" xfId="15" applyFont="1" applyBorder="1" applyAlignment="1" applyProtection="1">
      <alignment horizontal="left" vertical="center" indent="1"/>
      <protection hidden="1"/>
    </xf>
    <xf numFmtId="3" fontId="37" fillId="33" borderId="183" xfId="0" applyNumberFormat="1" applyFont="1" applyFill="1" applyBorder="1" applyAlignment="1" applyProtection="1">
      <alignment horizontal="right" vertical="center" indent="1"/>
      <protection hidden="1"/>
    </xf>
    <xf numFmtId="3" fontId="37" fillId="33" borderId="101" xfId="0" applyNumberFormat="1" applyFont="1" applyFill="1" applyBorder="1" applyAlignment="1">
      <alignment horizontal="right" vertical="center" indent="1"/>
    </xf>
    <xf numFmtId="0" fontId="21" fillId="29" borderId="0" xfId="36" applyFont="1" applyFill="1" applyAlignment="1">
      <alignment horizontal="center" vertical="center"/>
    </xf>
    <xf numFmtId="0" fontId="26" fillId="8" borderId="155" xfId="15" applyFont="1" applyBorder="1" applyAlignment="1" applyProtection="1">
      <alignment horizontal="left" vertical="center" indent="1"/>
      <protection hidden="1"/>
    </xf>
    <xf numFmtId="0" fontId="26" fillId="8" borderId="144" xfId="15" applyFont="1" applyBorder="1" applyAlignment="1" applyProtection="1">
      <alignment horizontal="left" vertical="center" indent="1"/>
      <protection hidden="1"/>
    </xf>
    <xf numFmtId="0" fontId="26" fillId="8" borderId="182" xfId="15" applyFont="1" applyBorder="1" applyAlignment="1" applyProtection="1">
      <alignment horizontal="left" vertical="center" indent="1"/>
      <protection hidden="1"/>
    </xf>
    <xf numFmtId="0" fontId="26" fillId="12" borderId="61" xfId="19" applyFont="1" applyBorder="1" applyAlignment="1" applyProtection="1">
      <alignment horizontal="left" vertical="center" indent="1"/>
      <protection hidden="1"/>
    </xf>
    <xf numFmtId="0" fontId="26" fillId="12" borderId="156" xfId="19" applyFont="1" applyBorder="1" applyAlignment="1" applyProtection="1">
      <alignment horizontal="center" vertical="center"/>
      <protection hidden="1"/>
    </xf>
    <xf numFmtId="3" fontId="37" fillId="33" borderId="6" xfId="0" applyNumberFormat="1" applyFont="1" applyFill="1" applyBorder="1" applyAlignment="1" applyProtection="1">
      <alignment horizontal="right" vertical="center" indent="1"/>
      <protection hidden="1"/>
    </xf>
    <xf numFmtId="3" fontId="37" fillId="33" borderId="9" xfId="0" applyNumberFormat="1" applyFont="1" applyFill="1" applyBorder="1" applyAlignment="1" applyProtection="1">
      <alignment horizontal="right" vertical="center" indent="1"/>
      <protection hidden="1"/>
    </xf>
    <xf numFmtId="3" fontId="37" fillId="33" borderId="105" xfId="0" applyNumberFormat="1" applyFont="1" applyFill="1" applyBorder="1" applyAlignment="1" applyProtection="1">
      <alignment horizontal="right" vertical="center" indent="1"/>
      <protection hidden="1"/>
    </xf>
    <xf numFmtId="3" fontId="37" fillId="33" borderId="106" xfId="0" applyNumberFormat="1" applyFont="1" applyFill="1" applyBorder="1" applyAlignment="1" applyProtection="1">
      <alignment horizontal="right" vertical="center" indent="1"/>
      <protection hidden="1"/>
    </xf>
    <xf numFmtId="3" fontId="37" fillId="33" borderId="107" xfId="0" applyNumberFormat="1" applyFont="1" applyFill="1" applyBorder="1" applyAlignment="1" applyProtection="1">
      <alignment horizontal="right" vertical="center" indent="1"/>
      <protection hidden="1"/>
    </xf>
    <xf numFmtId="166" fontId="36" fillId="33" borderId="151" xfId="0" applyNumberFormat="1" applyFont="1" applyFill="1" applyBorder="1" applyAlignment="1">
      <alignment horizontal="right" vertical="center" indent="1"/>
    </xf>
    <xf numFmtId="166" fontId="36" fillId="33" borderId="10" xfId="0" applyNumberFormat="1" applyFont="1" applyFill="1" applyBorder="1" applyAlignment="1">
      <alignment horizontal="right" vertical="center" indent="1"/>
    </xf>
    <xf numFmtId="166" fontId="36" fillId="33" borderId="9" xfId="0" applyNumberFormat="1" applyFont="1" applyFill="1" applyBorder="1" applyAlignment="1">
      <alignment horizontal="right" vertical="center" indent="1"/>
    </xf>
    <xf numFmtId="166" fontId="36" fillId="33" borderId="153" xfId="0" applyNumberFormat="1" applyFont="1" applyFill="1" applyBorder="1" applyAlignment="1">
      <alignment horizontal="right" vertical="center" indent="1"/>
    </xf>
    <xf numFmtId="166" fontId="36" fillId="33" borderId="154" xfId="0" applyNumberFormat="1" applyFont="1" applyFill="1" applyBorder="1" applyAlignment="1">
      <alignment horizontal="right" vertical="center" indent="1"/>
    </xf>
    <xf numFmtId="166" fontId="36" fillId="33" borderId="184" xfId="0" applyNumberFormat="1" applyFont="1" applyFill="1" applyBorder="1" applyAlignment="1">
      <alignment horizontal="right" vertical="center" indent="1"/>
    </xf>
    <xf numFmtId="0" fontId="37" fillId="29" borderId="158" xfId="0" applyFont="1" applyFill="1" applyBorder="1" applyAlignment="1" applyProtection="1">
      <alignment horizontal="left" vertical="center" indent="1"/>
      <protection hidden="1"/>
    </xf>
    <xf numFmtId="0" fontId="37" fillId="29" borderId="70" xfId="0" applyFont="1" applyFill="1" applyBorder="1" applyAlignment="1" applyProtection="1">
      <alignment horizontal="left" vertical="center" indent="1"/>
      <protection hidden="1"/>
    </xf>
    <xf numFmtId="0" fontId="37" fillId="29" borderId="71" xfId="0" applyFont="1" applyFill="1" applyBorder="1" applyAlignment="1" applyProtection="1">
      <alignment horizontal="left" vertical="center" indent="1"/>
      <protection hidden="1"/>
    </xf>
    <xf numFmtId="0" fontId="37" fillId="29" borderId="88" xfId="0" applyFont="1" applyFill="1" applyBorder="1" applyAlignment="1" applyProtection="1">
      <alignment horizontal="left" vertical="center" indent="1"/>
      <protection hidden="1"/>
    </xf>
    <xf numFmtId="0" fontId="37" fillId="29" borderId="67" xfId="0" applyFont="1" applyFill="1" applyBorder="1" applyAlignment="1" applyProtection="1">
      <alignment horizontal="left" vertical="center" indent="1"/>
      <protection hidden="1"/>
    </xf>
    <xf numFmtId="0" fontId="37" fillId="29" borderId="68" xfId="0" applyFont="1" applyFill="1" applyBorder="1" applyAlignment="1" applyProtection="1">
      <alignment horizontal="left" vertical="center" indent="1"/>
      <protection hidden="1"/>
    </xf>
    <xf numFmtId="3" fontId="37" fillId="29" borderId="88" xfId="0" applyNumberFormat="1" applyFont="1" applyFill="1" applyBorder="1" applyAlignment="1" applyProtection="1">
      <alignment horizontal="right" vertical="center" indent="1"/>
      <protection hidden="1"/>
    </xf>
    <xf numFmtId="3" fontId="37" fillId="29" borderId="67" xfId="0" applyNumberFormat="1" applyFont="1" applyFill="1" applyBorder="1" applyAlignment="1" applyProtection="1">
      <alignment horizontal="right" vertical="center" indent="1"/>
      <protection hidden="1"/>
    </xf>
    <xf numFmtId="3" fontId="37" fillId="29" borderId="68" xfId="0" applyNumberFormat="1" applyFont="1" applyFill="1" applyBorder="1" applyAlignment="1" applyProtection="1">
      <alignment horizontal="right" vertical="center" indent="1"/>
      <protection hidden="1"/>
    </xf>
    <xf numFmtId="0" fontId="37" fillId="29" borderId="185" xfId="0" applyFont="1" applyFill="1" applyBorder="1" applyAlignment="1" applyProtection="1">
      <alignment horizontal="left" vertical="center" indent="1"/>
      <protection hidden="1"/>
    </xf>
    <xf numFmtId="0" fontId="37" fillId="29" borderId="7" xfId="0" applyFont="1" applyFill="1" applyBorder="1" applyAlignment="1" applyProtection="1">
      <alignment horizontal="left" vertical="center" indent="1"/>
      <protection hidden="1"/>
    </xf>
    <xf numFmtId="0" fontId="37" fillId="29" borderId="73" xfId="0" applyFont="1" applyFill="1" applyBorder="1" applyAlignment="1" applyProtection="1">
      <alignment horizontal="left" vertical="center" indent="1"/>
      <protection hidden="1"/>
    </xf>
    <xf numFmtId="3" fontId="37" fillId="29" borderId="87" xfId="0" applyNumberFormat="1" applyFont="1" applyFill="1" applyBorder="1" applyAlignment="1" applyProtection="1">
      <alignment horizontal="right" vertical="center" indent="1"/>
      <protection hidden="1"/>
    </xf>
    <xf numFmtId="3" fontId="37" fillId="29" borderId="85" xfId="0" applyNumberFormat="1" applyFont="1" applyFill="1" applyBorder="1" applyAlignment="1" applyProtection="1">
      <alignment horizontal="right" vertical="center" indent="1"/>
      <protection hidden="1"/>
    </xf>
    <xf numFmtId="3" fontId="37" fillId="29" borderId="86" xfId="0" applyNumberFormat="1" applyFont="1" applyFill="1" applyBorder="1" applyAlignment="1" applyProtection="1">
      <alignment horizontal="right" vertical="center" indent="1"/>
      <protection hidden="1"/>
    </xf>
    <xf numFmtId="3" fontId="37" fillId="33" borderId="74" xfId="0" applyNumberFormat="1" applyFont="1" applyFill="1" applyBorder="1" applyAlignment="1">
      <alignment horizontal="right" vertical="center" indent="1"/>
    </xf>
    <xf numFmtId="0" fontId="26" fillId="12" borderId="162" xfId="19" applyFont="1" applyBorder="1" applyAlignment="1">
      <alignment horizontal="left" vertical="center" indent="1"/>
    </xf>
    <xf numFmtId="0" fontId="26" fillId="12" borderId="17" xfId="19" applyFont="1" applyBorder="1" applyAlignment="1">
      <alignment horizontal="center" vertical="center"/>
    </xf>
    <xf numFmtId="0" fontId="26" fillId="12" borderId="163" xfId="19" applyFont="1" applyBorder="1" applyAlignment="1">
      <alignment horizontal="center" vertical="center"/>
    </xf>
    <xf numFmtId="0" fontId="26" fillId="34" borderId="159" xfId="15" applyFont="1" applyFill="1" applyBorder="1" applyAlignment="1">
      <alignment horizontal="left" vertical="center"/>
    </xf>
    <xf numFmtId="0" fontId="26" fillId="34" borderId="160" xfId="15" applyFont="1" applyFill="1" applyBorder="1" applyAlignment="1">
      <alignment horizontal="left" vertical="center"/>
    </xf>
    <xf numFmtId="0" fontId="26" fillId="34" borderId="161" xfId="15" applyFont="1" applyFill="1" applyBorder="1" applyAlignment="1">
      <alignment horizontal="left" vertical="center"/>
    </xf>
    <xf numFmtId="0" fontId="36" fillId="29" borderId="164" xfId="0" applyFont="1" applyFill="1" applyBorder="1" applyAlignment="1">
      <alignment horizontal="left" vertical="center" indent="1"/>
    </xf>
    <xf numFmtId="0" fontId="36" fillId="29" borderId="179" xfId="0" applyFont="1" applyFill="1" applyBorder="1" applyAlignment="1">
      <alignment horizontal="left" vertical="center" indent="1"/>
    </xf>
    <xf numFmtId="0" fontId="36" fillId="29" borderId="180" xfId="0" applyFont="1" applyFill="1" applyBorder="1" applyAlignment="1">
      <alignment horizontal="left" vertical="center" indent="1"/>
    </xf>
    <xf numFmtId="0" fontId="36" fillId="29" borderId="181" xfId="0" applyFont="1" applyFill="1" applyBorder="1" applyAlignment="1">
      <alignment horizontal="left" vertical="center" indent="1"/>
    </xf>
    <xf numFmtId="0" fontId="36" fillId="36" borderId="162" xfId="0" applyFont="1" applyFill="1" applyBorder="1" applyAlignment="1">
      <alignment horizontal="left" vertical="center" indent="1"/>
    </xf>
    <xf numFmtId="0" fontId="36" fillId="36" borderId="163" xfId="0" applyFont="1" applyFill="1" applyBorder="1" applyAlignment="1">
      <alignment horizontal="left" vertical="center" indent="1"/>
    </xf>
    <xf numFmtId="0" fontId="26" fillId="12" borderId="95" xfId="19" applyFont="1" applyBorder="1" applyAlignment="1" applyProtection="1">
      <alignment horizontal="left" vertical="center" indent="1"/>
      <protection hidden="1"/>
    </xf>
    <xf numFmtId="0" fontId="26" fillId="12" borderId="94" xfId="19" applyFont="1" applyBorder="1" applyAlignment="1" applyProtection="1">
      <alignment horizontal="left" vertical="center" indent="1"/>
      <protection hidden="1"/>
    </xf>
    <xf numFmtId="0" fontId="26" fillId="12" borderId="56" xfId="19" applyFont="1" applyBorder="1" applyAlignment="1" applyProtection="1">
      <alignment horizontal="left" vertical="center" indent="1"/>
      <protection hidden="1"/>
    </xf>
    <xf numFmtId="0" fontId="26" fillId="12" borderId="95" xfId="19" applyFont="1" applyBorder="1" applyAlignment="1" applyProtection="1">
      <alignment horizontal="center" vertical="center"/>
      <protection hidden="1"/>
    </xf>
    <xf numFmtId="0" fontId="26" fillId="12" borderId="94" xfId="19" applyFont="1" applyBorder="1" applyAlignment="1" applyProtection="1">
      <alignment horizontal="center" vertical="center"/>
      <protection hidden="1"/>
    </xf>
    <xf numFmtId="0" fontId="26" fillId="12" borderId="96" xfId="19" applyFont="1" applyBorder="1" applyAlignment="1" applyProtection="1">
      <alignment horizontal="center" vertical="center"/>
      <protection hidden="1"/>
    </xf>
    <xf numFmtId="0" fontId="26" fillId="12" borderId="58" xfId="19" applyFont="1" applyBorder="1" applyAlignment="1" applyProtection="1">
      <alignment horizontal="center" vertical="center"/>
      <protection hidden="1"/>
    </xf>
    <xf numFmtId="0" fontId="37" fillId="29" borderId="157" xfId="0" applyFont="1" applyFill="1" applyBorder="1" applyAlignment="1" applyProtection="1">
      <alignment horizontal="left" vertical="center" indent="1"/>
      <protection hidden="1"/>
    </xf>
    <xf numFmtId="0" fontId="37" fillId="29" borderId="63" xfId="0" applyFont="1" applyFill="1" applyBorder="1" applyAlignment="1" applyProtection="1">
      <alignment horizontal="left" vertical="center" indent="1"/>
      <protection hidden="1"/>
    </xf>
    <xf numFmtId="0" fontId="37" fillId="29" borderId="64" xfId="0" applyFont="1" applyFill="1" applyBorder="1" applyAlignment="1" applyProtection="1">
      <alignment horizontal="left" vertical="center" indent="1"/>
      <protection hidden="1"/>
    </xf>
    <xf numFmtId="3" fontId="37" fillId="33" borderId="74" xfId="0" applyNumberFormat="1" applyFont="1" applyFill="1" applyBorder="1" applyAlignment="1" applyProtection="1">
      <alignment horizontal="right" vertical="center" indent="1"/>
      <protection hidden="1"/>
    </xf>
    <xf numFmtId="3" fontId="37" fillId="33" borderId="101" xfId="0" applyNumberFormat="1" applyFont="1" applyFill="1" applyBorder="1" applyAlignment="1" applyProtection="1">
      <alignment horizontal="right" vertical="center" indent="1"/>
      <protection hidden="1"/>
    </xf>
    <xf numFmtId="0" fontId="17" fillId="28" borderId="0" xfId="36" applyFont="1" applyAlignment="1">
      <alignment horizontal="center" vertical="center"/>
    </xf>
    <xf numFmtId="0" fontId="36" fillId="33" borderId="159" xfId="0" applyFont="1" applyFill="1" applyBorder="1" applyAlignment="1">
      <alignment horizontal="left" vertical="center" indent="1"/>
    </xf>
    <xf numFmtId="0" fontId="36" fillId="33" borderId="160" xfId="0" applyFont="1" applyFill="1" applyBorder="1" applyAlignment="1">
      <alignment horizontal="left" vertical="center" indent="1"/>
    </xf>
    <xf numFmtId="0" fontId="36" fillId="33" borderId="172" xfId="0" applyFont="1" applyFill="1" applyBorder="1" applyAlignment="1">
      <alignment horizontal="left" vertical="center" indent="1"/>
    </xf>
    <xf numFmtId="166" fontId="36" fillId="33" borderId="173" xfId="0" applyNumberFormat="1" applyFont="1" applyFill="1" applyBorder="1" applyAlignment="1">
      <alignment horizontal="right" vertical="center" indent="1"/>
    </xf>
    <xf numFmtId="0" fontId="26" fillId="34" borderId="155" xfId="2" applyFont="1" applyFill="1" applyBorder="1" applyAlignment="1" applyProtection="1">
      <alignment horizontal="center" vertical="center"/>
      <protection hidden="1"/>
    </xf>
    <xf numFmtId="0" fontId="26" fillId="34" borderId="144" xfId="2" applyFont="1" applyFill="1" applyBorder="1" applyAlignment="1" applyProtection="1">
      <alignment horizontal="center" vertical="center"/>
      <protection hidden="1"/>
    </xf>
    <xf numFmtId="0" fontId="26" fillId="34" borderId="182" xfId="2" applyFont="1" applyFill="1" applyBorder="1" applyAlignment="1" applyProtection="1">
      <alignment horizontal="center" vertical="center"/>
      <protection hidden="1"/>
    </xf>
    <xf numFmtId="0" fontId="36" fillId="33" borderId="162" xfId="0" applyFont="1" applyFill="1" applyBorder="1" applyAlignment="1">
      <alignment horizontal="left" vertical="center" indent="1"/>
    </xf>
    <xf numFmtId="0" fontId="36" fillId="33" borderId="17" xfId="0" applyFont="1" applyFill="1" applyBorder="1" applyAlignment="1">
      <alignment horizontal="left" vertical="center" indent="1"/>
    </xf>
    <xf numFmtId="0" fontId="36" fillId="33" borderId="18" xfId="0" applyFont="1" applyFill="1" applyBorder="1" applyAlignment="1">
      <alignment horizontal="left" vertical="center" indent="1"/>
    </xf>
    <xf numFmtId="167" fontId="37" fillId="33" borderId="90" xfId="42" applyNumberFormat="1" applyFont="1" applyFill="1" applyBorder="1" applyAlignment="1" applyProtection="1">
      <alignment horizontal="center" vertical="center"/>
    </xf>
    <xf numFmtId="167" fontId="37" fillId="33" borderId="91" xfId="42" applyNumberFormat="1" applyFont="1" applyFill="1" applyBorder="1" applyAlignment="1" applyProtection="1">
      <alignment horizontal="center" vertical="center"/>
    </xf>
    <xf numFmtId="167" fontId="37" fillId="33" borderId="92" xfId="42" applyNumberFormat="1" applyFont="1" applyFill="1" applyBorder="1" applyAlignment="1" applyProtection="1">
      <alignment horizontal="center" vertical="center"/>
    </xf>
    <xf numFmtId="0" fontId="37" fillId="29" borderId="88" xfId="0" applyFont="1" applyFill="1" applyBorder="1" applyAlignment="1" applyProtection="1">
      <alignment horizontal="left" vertical="center" indent="4"/>
      <protection hidden="1"/>
    </xf>
    <xf numFmtId="0" fontId="37" fillId="29" borderId="67" xfId="0" applyFont="1" applyFill="1" applyBorder="1" applyAlignment="1" applyProtection="1">
      <alignment horizontal="left" vertical="center" indent="4"/>
      <protection hidden="1"/>
    </xf>
    <xf numFmtId="0" fontId="37" fillId="29" borderId="68" xfId="0" applyFont="1" applyFill="1" applyBorder="1" applyAlignment="1" applyProtection="1">
      <alignment horizontal="left" vertical="center" indent="4"/>
      <protection hidden="1"/>
    </xf>
    <xf numFmtId="3" fontId="37" fillId="33" borderId="8" xfId="0" applyNumberFormat="1" applyFont="1" applyFill="1" applyBorder="1" applyAlignment="1" applyProtection="1">
      <alignment horizontal="right" vertical="center" indent="1"/>
      <protection hidden="1"/>
    </xf>
    <xf numFmtId="167" fontId="37" fillId="33" borderId="8" xfId="42" applyNumberFormat="1" applyFont="1" applyFill="1" applyBorder="1" applyAlignment="1" applyProtection="1">
      <alignment horizontal="center" vertical="center"/>
      <protection hidden="1"/>
    </xf>
    <xf numFmtId="0" fontId="37" fillId="29" borderId="158" xfId="0" applyFont="1" applyFill="1" applyBorder="1" applyAlignment="1" applyProtection="1">
      <alignment horizontal="left" vertical="center" indent="4"/>
      <protection hidden="1"/>
    </xf>
    <xf numFmtId="0" fontId="37" fillId="29" borderId="70" xfId="0" applyFont="1" applyFill="1" applyBorder="1" applyAlignment="1" applyProtection="1">
      <alignment horizontal="left" vertical="center" indent="4"/>
      <protection hidden="1"/>
    </xf>
    <xf numFmtId="0" fontId="37" fillId="29" borderId="71" xfId="0" applyFont="1" applyFill="1" applyBorder="1" applyAlignment="1" applyProtection="1">
      <alignment horizontal="left" vertical="center" indent="4"/>
      <protection hidden="1"/>
    </xf>
    <xf numFmtId="167" fontId="37" fillId="33" borderId="101" xfId="42" applyNumberFormat="1" applyFont="1" applyFill="1" applyBorder="1" applyAlignment="1" applyProtection="1">
      <alignment horizontal="center" vertical="center"/>
      <protection hidden="1"/>
    </xf>
    <xf numFmtId="0" fontId="26" fillId="8" borderId="100" xfId="15" applyFont="1" applyBorder="1" applyAlignment="1">
      <alignment horizontal="left" vertical="center" wrapText="1" indent="1"/>
    </xf>
    <xf numFmtId="0" fontId="26" fillId="8" borderId="120" xfId="15" applyFont="1" applyBorder="1" applyAlignment="1">
      <alignment horizontal="left" vertical="center" indent="1"/>
    </xf>
    <xf numFmtId="0" fontId="26" fillId="8" borderId="121" xfId="15" applyFont="1" applyBorder="1" applyAlignment="1">
      <alignment horizontal="left" vertical="center" indent="1"/>
    </xf>
    <xf numFmtId="0" fontId="26" fillId="8" borderId="122" xfId="15" applyFont="1" applyBorder="1" applyAlignment="1">
      <alignment horizontal="left" vertical="center" indent="1"/>
    </xf>
    <xf numFmtId="0" fontId="29" fillId="28" borderId="0" xfId="36" applyFont="1" applyAlignment="1">
      <alignment horizontal="left" vertical="top" wrapText="1" indent="1"/>
    </xf>
    <xf numFmtId="0" fontId="37" fillId="29" borderId="157" xfId="0" applyFont="1" applyFill="1" applyBorder="1" applyAlignment="1" applyProtection="1">
      <alignment horizontal="left" vertical="center" indent="4"/>
      <protection hidden="1"/>
    </xf>
    <xf numFmtId="0" fontId="37" fillId="29" borderId="63" xfId="0" applyFont="1" applyFill="1" applyBorder="1" applyAlignment="1" applyProtection="1">
      <alignment horizontal="left" vertical="center" indent="4"/>
      <protection hidden="1"/>
    </xf>
    <xf numFmtId="0" fontId="37" fillId="29" borderId="64" xfId="0" applyFont="1" applyFill="1" applyBorder="1" applyAlignment="1" applyProtection="1">
      <alignment horizontal="left" vertical="center" indent="4"/>
      <protection hidden="1"/>
    </xf>
    <xf numFmtId="167" fontId="37" fillId="33" borderId="74" xfId="42" applyNumberFormat="1" applyFont="1" applyFill="1" applyBorder="1" applyAlignment="1" applyProtection="1">
      <alignment horizontal="center" vertical="center"/>
      <protection hidden="1"/>
    </xf>
    <xf numFmtId="0" fontId="20" fillId="8" borderId="89" xfId="15" applyBorder="1" applyAlignment="1">
      <alignment horizontal="left" vertical="center" indent="1"/>
    </xf>
    <xf numFmtId="0" fontId="25" fillId="30" borderId="218" xfId="37" quotePrefix="1" applyFont="1" applyBorder="1" applyAlignment="1">
      <alignment horizontal="left" vertical="center" indent="1"/>
    </xf>
    <xf numFmtId="0" fontId="25" fillId="30" borderId="63" xfId="37" quotePrefix="1" applyFont="1" applyBorder="1" applyAlignment="1">
      <alignment horizontal="left" vertical="center" indent="1"/>
    </xf>
    <xf numFmtId="0" fontId="25" fillId="30" borderId="219" xfId="37" quotePrefix="1" applyFont="1" applyBorder="1" applyAlignment="1">
      <alignment horizontal="left" vertical="center" indent="1"/>
    </xf>
    <xf numFmtId="3" fontId="27" fillId="28" borderId="98" xfId="36" applyNumberFormat="1" applyFont="1" applyBorder="1" applyAlignment="1">
      <alignment horizontal="center" vertical="center"/>
    </xf>
    <xf numFmtId="3" fontId="27" fillId="28" borderId="99" xfId="36" applyNumberFormat="1" applyFont="1" applyBorder="1" applyAlignment="1">
      <alignment horizontal="center" vertical="center"/>
    </xf>
    <xf numFmtId="3" fontId="27" fillId="28" borderId="100" xfId="36" applyNumberFormat="1" applyFont="1" applyBorder="1" applyAlignment="1">
      <alignment horizontal="center" vertical="center"/>
    </xf>
    <xf numFmtId="0" fontId="28" fillId="29" borderId="0" xfId="1" applyAlignment="1">
      <alignment horizontal="center"/>
    </xf>
    <xf numFmtId="0" fontId="26" fillId="8" borderId="100" xfId="15" applyFont="1" applyBorder="1" applyAlignment="1" applyProtection="1">
      <alignment horizontal="left" vertical="center" indent="1"/>
      <protection hidden="1"/>
    </xf>
    <xf numFmtId="0" fontId="26" fillId="8" borderId="118" xfId="15" applyFont="1" applyBorder="1" applyAlignment="1" applyProtection="1">
      <alignment horizontal="left" vertical="center" indent="1"/>
      <protection hidden="1"/>
    </xf>
    <xf numFmtId="0" fontId="26" fillId="8" borderId="98" xfId="15" applyFont="1" applyBorder="1" applyAlignment="1" applyProtection="1">
      <alignment horizontal="left" vertical="center" indent="1"/>
      <protection hidden="1"/>
    </xf>
    <xf numFmtId="0" fontId="26" fillId="34" borderId="90" xfId="2" applyFont="1" applyFill="1" applyBorder="1" applyAlignment="1" applyProtection="1">
      <alignment horizontal="center" vertical="center"/>
      <protection hidden="1"/>
    </xf>
    <xf numFmtId="0" fontId="26" fillId="34" borderId="91" xfId="2" applyFont="1" applyFill="1" applyBorder="1" applyAlignment="1" applyProtection="1">
      <alignment horizontal="center" vertical="center"/>
      <protection hidden="1"/>
    </xf>
    <xf numFmtId="0" fontId="26" fillId="34" borderId="92" xfId="2" applyFont="1" applyFill="1" applyBorder="1" applyAlignment="1" applyProtection="1">
      <alignment horizontal="center" vertical="center"/>
      <protection hidden="1"/>
    </xf>
    <xf numFmtId="0" fontId="26" fillId="8" borderId="0" xfId="15" applyFont="1" applyAlignment="1">
      <alignment horizontal="left" vertical="center" wrapText="1" indent="1"/>
    </xf>
    <xf numFmtId="0" fontId="26" fillId="8" borderId="0" xfId="15" applyFont="1" applyAlignment="1">
      <alignment horizontal="left" vertical="center" indent="1"/>
    </xf>
    <xf numFmtId="3" fontId="29" fillId="28" borderId="89" xfId="36" applyNumberFormat="1" applyFont="1" applyBorder="1" applyAlignment="1">
      <alignment horizontal="center" vertical="center"/>
    </xf>
    <xf numFmtId="0" fontId="26" fillId="8" borderId="89" xfId="15" applyFont="1" applyBorder="1" applyAlignment="1">
      <alignment horizontal="left" vertical="center" indent="1"/>
    </xf>
    <xf numFmtId="0" fontId="25" fillId="38" borderId="220" xfId="37" quotePrefix="1" applyFont="1" applyFill="1" applyBorder="1" applyAlignment="1">
      <alignment horizontal="left" vertical="center" indent="1"/>
    </xf>
    <xf numFmtId="0" fontId="25" fillId="38" borderId="221" xfId="37" quotePrefix="1" applyFont="1" applyFill="1" applyBorder="1" applyAlignment="1">
      <alignment horizontal="left" vertical="center" indent="1"/>
    </xf>
    <xf numFmtId="0" fontId="25" fillId="38" borderId="222" xfId="37" quotePrefix="1" applyFont="1" applyFill="1" applyBorder="1" applyAlignment="1">
      <alignment horizontal="left" vertical="center" indent="1"/>
    </xf>
    <xf numFmtId="0" fontId="20" fillId="12" borderId="162" xfId="19" applyBorder="1" applyAlignment="1">
      <alignment horizontal="left" vertical="center" indent="1"/>
    </xf>
    <xf numFmtId="0" fontId="20" fillId="12" borderId="17" xfId="19" applyBorder="1" applyAlignment="1">
      <alignment horizontal="left" vertical="center" indent="1"/>
    </xf>
    <xf numFmtId="0" fontId="20" fillId="12" borderId="17" xfId="19" applyBorder="1" applyAlignment="1">
      <alignment horizontal="center" vertical="center"/>
    </xf>
    <xf numFmtId="0" fontId="20" fillId="12" borderId="163" xfId="19" applyBorder="1" applyAlignment="1">
      <alignment horizontal="center" vertical="center"/>
    </xf>
    <xf numFmtId="3" fontId="25" fillId="29" borderId="89" xfId="0" applyNumberFormat="1" applyFont="1" applyFill="1" applyBorder="1">
      <alignment horizontal="left" vertical="center" indent="1" readingOrder="1"/>
    </xf>
    <xf numFmtId="0" fontId="26" fillId="8" borderId="89" xfId="15" applyFont="1" applyBorder="1" applyAlignment="1">
      <alignment horizontal="center" vertical="center"/>
    </xf>
    <xf numFmtId="0" fontId="20" fillId="12" borderId="159" xfId="19" applyBorder="1" applyAlignment="1">
      <alignment horizontal="left" vertical="center" indent="1"/>
    </xf>
    <xf numFmtId="0" fontId="20" fillId="12" borderId="160" xfId="19" applyBorder="1" applyAlignment="1">
      <alignment horizontal="left" vertical="center" indent="1"/>
    </xf>
    <xf numFmtId="0" fontId="20" fillId="12" borderId="160" xfId="19" applyBorder="1" applyAlignment="1">
      <alignment horizontal="center" vertical="center"/>
    </xf>
    <xf numFmtId="0" fontId="20" fillId="12" borderId="161" xfId="19" applyBorder="1" applyAlignment="1">
      <alignment horizontal="center" vertical="center"/>
    </xf>
    <xf numFmtId="0" fontId="21" fillId="33" borderId="114" xfId="0" applyFont="1" applyFill="1" applyBorder="1" applyAlignment="1">
      <alignment horizontal="right" vertical="center"/>
    </xf>
    <xf numFmtId="0" fontId="21" fillId="33" borderId="115" xfId="0" applyFont="1" applyFill="1" applyBorder="1" applyAlignment="1">
      <alignment horizontal="right" vertical="center"/>
    </xf>
    <xf numFmtId="0" fontId="21" fillId="33" borderId="141" xfId="0" applyFont="1" applyFill="1" applyBorder="1" applyAlignment="1">
      <alignment horizontal="right" vertical="center"/>
    </xf>
    <xf numFmtId="0" fontId="18" fillId="34" borderId="0" xfId="0" applyFont="1" applyFill="1" applyAlignment="1">
      <alignment horizontal="center" vertical="center" readingOrder="1"/>
    </xf>
    <xf numFmtId="0" fontId="28" fillId="38" borderId="216" xfId="0" applyFont="1" applyFill="1" applyBorder="1" applyAlignment="1">
      <alignment horizontal="center" vertical="center" readingOrder="1"/>
    </xf>
    <xf numFmtId="0" fontId="28" fillId="38" borderId="67" xfId="0" applyFont="1" applyFill="1" applyBorder="1" applyAlignment="1">
      <alignment horizontal="center" vertical="center" readingOrder="1"/>
    </xf>
    <xf numFmtId="0" fontId="28" fillId="38" borderId="217" xfId="0" applyFont="1" applyFill="1" applyBorder="1" applyAlignment="1">
      <alignment horizontal="center" vertical="center" readingOrder="1"/>
    </xf>
    <xf numFmtId="0" fontId="29" fillId="29" borderId="0" xfId="0" applyFont="1" applyFill="1" applyAlignment="1">
      <alignment horizontal="right" vertical="center"/>
    </xf>
    <xf numFmtId="0" fontId="17" fillId="29" borderId="0" xfId="0" applyFont="1" applyFill="1">
      <alignment horizontal="left" vertical="center" indent="1" readingOrder="1"/>
    </xf>
    <xf numFmtId="3" fontId="17" fillId="37" borderId="5" xfId="0" applyNumberFormat="1" applyFont="1" applyFill="1" applyBorder="1" applyAlignment="1">
      <alignment horizontal="right" vertical="center" indent="1"/>
    </xf>
    <xf numFmtId="3" fontId="17" fillId="37" borderId="0" xfId="0" applyNumberFormat="1" applyFont="1" applyFill="1" applyAlignment="1">
      <alignment horizontal="right" vertical="center" indent="1"/>
    </xf>
    <xf numFmtId="3" fontId="17" fillId="37" borderId="140" xfId="0" applyNumberFormat="1" applyFont="1" applyFill="1" applyBorder="1" applyAlignment="1">
      <alignment horizontal="right" vertical="center" indent="1"/>
    </xf>
    <xf numFmtId="3" fontId="17" fillId="37" borderId="135" xfId="0" applyNumberFormat="1" applyFont="1" applyFill="1" applyBorder="1" applyAlignment="1">
      <alignment horizontal="right" vertical="center" indent="1"/>
    </xf>
    <xf numFmtId="3" fontId="17" fillId="37" borderId="119" xfId="0" applyNumberFormat="1" applyFont="1" applyFill="1" applyBorder="1" applyAlignment="1">
      <alignment horizontal="right" vertical="center" indent="1"/>
    </xf>
    <xf numFmtId="0" fontId="21" fillId="0" borderId="118" xfId="0" applyFont="1" applyBorder="1" applyAlignment="1">
      <alignment horizontal="left" vertical="center" indent="1"/>
    </xf>
    <xf numFmtId="0" fontId="0" fillId="29" borderId="12" xfId="0" applyFill="1" applyBorder="1" applyAlignment="1">
      <alignment horizontal="left" vertical="center" indent="1"/>
    </xf>
    <xf numFmtId="0" fontId="0" fillId="29" borderId="10" xfId="0" applyFill="1" applyBorder="1" applyAlignment="1">
      <alignment horizontal="left" vertical="center" indent="1"/>
    </xf>
    <xf numFmtId="0" fontId="0" fillId="29" borderId="76" xfId="0" applyFill="1" applyBorder="1" applyAlignment="1">
      <alignment horizontal="left" vertical="center" indent="1"/>
    </xf>
    <xf numFmtId="3" fontId="17" fillId="29" borderId="135" xfId="0" applyNumberFormat="1" applyFont="1" applyFill="1" applyBorder="1" applyAlignment="1">
      <alignment horizontal="right" vertical="center" indent="1"/>
    </xf>
    <xf numFmtId="3" fontId="17" fillId="29" borderId="0" xfId="0" applyNumberFormat="1" applyFont="1" applyFill="1" applyAlignment="1">
      <alignment horizontal="right" vertical="center" indent="1"/>
    </xf>
    <xf numFmtId="3" fontId="17" fillId="29" borderId="119" xfId="0" applyNumberFormat="1" applyFont="1" applyFill="1" applyBorder="1" applyAlignment="1">
      <alignment horizontal="right" vertical="center" indent="1"/>
    </xf>
    <xf numFmtId="3" fontId="17" fillId="29" borderId="5" xfId="0" applyNumberFormat="1" applyFont="1" applyFill="1" applyBorder="1" applyAlignment="1">
      <alignment horizontal="right" vertical="center" indent="1"/>
    </xf>
    <xf numFmtId="3" fontId="17" fillId="29" borderId="140" xfId="0" applyNumberFormat="1" applyFont="1" applyFill="1" applyBorder="1" applyAlignment="1">
      <alignment horizontal="right" vertical="center" indent="1"/>
    </xf>
    <xf numFmtId="0" fontId="17" fillId="37" borderId="12" xfId="23" applyFont="1" applyFill="1" applyBorder="1" applyAlignment="1">
      <alignment horizontal="left" vertical="center" indent="1"/>
    </xf>
    <xf numFmtId="0" fontId="17" fillId="37" borderId="10" xfId="23" applyFont="1" applyFill="1" applyBorder="1" applyAlignment="1">
      <alignment horizontal="left" vertical="center" indent="1"/>
    </xf>
    <xf numFmtId="0" fontId="17" fillId="37" borderId="76" xfId="23" applyFont="1" applyFill="1" applyBorder="1" applyAlignment="1">
      <alignment horizontal="left" vertical="center" indent="1"/>
    </xf>
    <xf numFmtId="3" fontId="21" fillId="33" borderId="114" xfId="0" applyNumberFormat="1" applyFont="1" applyFill="1" applyBorder="1" applyAlignment="1">
      <alignment horizontal="right" vertical="center" indent="1"/>
    </xf>
    <xf numFmtId="3" fontId="21" fillId="33" borderId="115" xfId="0" applyNumberFormat="1" applyFont="1" applyFill="1" applyBorder="1" applyAlignment="1">
      <alignment horizontal="right" vertical="center" indent="1"/>
    </xf>
    <xf numFmtId="3" fontId="21" fillId="33" borderId="141" xfId="0" applyNumberFormat="1" applyFont="1" applyFill="1" applyBorder="1" applyAlignment="1">
      <alignment horizontal="right" vertical="center" indent="1"/>
    </xf>
    <xf numFmtId="3" fontId="21" fillId="33" borderId="136" xfId="0" applyNumberFormat="1" applyFont="1" applyFill="1" applyBorder="1" applyAlignment="1">
      <alignment horizontal="right" vertical="center" indent="1"/>
    </xf>
    <xf numFmtId="3" fontId="21" fillId="33" borderId="116" xfId="0" applyNumberFormat="1" applyFont="1" applyFill="1" applyBorder="1" applyAlignment="1">
      <alignment horizontal="right" vertical="center" indent="1"/>
    </xf>
    <xf numFmtId="3" fontId="17" fillId="29" borderId="146" xfId="0" applyNumberFormat="1" applyFont="1" applyFill="1" applyBorder="1" applyAlignment="1">
      <alignment horizontal="right" vertical="center" indent="1"/>
    </xf>
    <xf numFmtId="3" fontId="17" fillId="29" borderId="147" xfId="0" applyNumberFormat="1" applyFont="1" applyFill="1" applyBorder="1" applyAlignment="1">
      <alignment horizontal="right" vertical="center" indent="1"/>
    </xf>
    <xf numFmtId="3" fontId="17" fillId="29" borderId="150" xfId="0" applyNumberFormat="1" applyFont="1" applyFill="1" applyBorder="1" applyAlignment="1">
      <alignment horizontal="right" vertical="center" indent="1"/>
    </xf>
    <xf numFmtId="3" fontId="17" fillId="37" borderId="130" xfId="0" applyNumberFormat="1" applyFont="1" applyFill="1" applyBorder="1" applyAlignment="1">
      <alignment horizontal="right" vertical="center" indent="1"/>
    </xf>
    <xf numFmtId="3" fontId="17" fillId="37" borderId="131" xfId="0" applyNumberFormat="1" applyFont="1" applyFill="1" applyBorder="1" applyAlignment="1">
      <alignment horizontal="right" vertical="center" indent="1"/>
    </xf>
    <xf numFmtId="3" fontId="17" fillId="37" borderId="129" xfId="0" applyNumberFormat="1" applyFont="1" applyFill="1" applyBorder="1" applyAlignment="1">
      <alignment horizontal="right" vertical="center" indent="1"/>
    </xf>
    <xf numFmtId="0" fontId="25" fillId="0" borderId="100" xfId="0" applyFont="1" applyBorder="1" applyAlignment="1">
      <alignment horizontal="left" indent="1"/>
    </xf>
    <xf numFmtId="0" fontId="25" fillId="0" borderId="118" xfId="0" applyFont="1" applyBorder="1" applyAlignment="1">
      <alignment horizontal="left" indent="1"/>
    </xf>
    <xf numFmtId="0" fontId="25" fillId="0" borderId="137" xfId="0" applyFont="1" applyBorder="1" applyAlignment="1">
      <alignment horizontal="left" indent="1"/>
    </xf>
    <xf numFmtId="0" fontId="25" fillId="0" borderId="120" xfId="0" applyFont="1" applyBorder="1" applyAlignment="1">
      <alignment horizontal="left" indent="1"/>
    </xf>
    <xf numFmtId="0" fontId="25" fillId="0" borderId="121" xfId="0" applyFont="1" applyBorder="1" applyAlignment="1">
      <alignment horizontal="left" indent="1"/>
    </xf>
    <xf numFmtId="0" fontId="25" fillId="0" borderId="139" xfId="0" applyFont="1" applyBorder="1" applyAlignment="1">
      <alignment horizontal="left" indent="1"/>
    </xf>
    <xf numFmtId="0" fontId="17" fillId="37" borderId="102" xfId="23" applyFont="1" applyFill="1" applyBorder="1" applyAlignment="1">
      <alignment horizontal="left" vertical="center" indent="1"/>
    </xf>
    <xf numFmtId="0" fontId="17" fillId="37" borderId="103" xfId="23" applyFont="1" applyFill="1" applyBorder="1" applyAlignment="1">
      <alignment horizontal="left" vertical="center" indent="1"/>
    </xf>
    <xf numFmtId="0" fontId="17" fillId="37" borderId="142" xfId="23" applyFont="1" applyFill="1" applyBorder="1" applyAlignment="1">
      <alignment horizontal="left" vertical="center" indent="1"/>
    </xf>
    <xf numFmtId="3" fontId="17" fillId="37" borderId="119" xfId="0" quotePrefix="1" applyNumberFormat="1" applyFont="1" applyFill="1" applyBorder="1" applyAlignment="1">
      <alignment horizontal="right" vertical="center" wrapText="1" indent="1"/>
    </xf>
    <xf numFmtId="3" fontId="17" fillId="37" borderId="149" xfId="0" applyNumberFormat="1" applyFont="1" applyFill="1" applyBorder="1" applyAlignment="1">
      <alignment horizontal="right" vertical="center" indent="1"/>
    </xf>
    <xf numFmtId="3" fontId="17" fillId="37" borderId="147" xfId="0" applyNumberFormat="1" applyFont="1" applyFill="1" applyBorder="1" applyAlignment="1">
      <alignment horizontal="right" vertical="center" indent="1"/>
    </xf>
    <xf numFmtId="3" fontId="17" fillId="37" borderId="148" xfId="0" applyNumberFormat="1" applyFont="1" applyFill="1" applyBorder="1" applyAlignment="1">
      <alignment horizontal="right" vertical="center" indent="1"/>
    </xf>
    <xf numFmtId="3" fontId="17" fillId="37" borderId="146" xfId="0" applyNumberFormat="1" applyFont="1" applyFill="1" applyBorder="1" applyAlignment="1">
      <alignment horizontal="right" vertical="center" indent="1"/>
    </xf>
    <xf numFmtId="3" fontId="17" fillId="37" borderId="150" xfId="0" applyNumberFormat="1" applyFont="1" applyFill="1" applyBorder="1" applyAlignment="1">
      <alignment horizontal="right" vertical="center" indent="1"/>
    </xf>
    <xf numFmtId="0" fontId="17" fillId="16" borderId="12" xfId="23" applyFont="1" applyBorder="1" applyAlignment="1">
      <alignment horizontal="left" vertical="center" indent="1"/>
    </xf>
    <xf numFmtId="0" fontId="17" fillId="16" borderId="10" xfId="23" applyFont="1" applyBorder="1" applyAlignment="1">
      <alignment horizontal="left" vertical="center" indent="1"/>
    </xf>
    <xf numFmtId="0" fontId="17" fillId="16" borderId="9" xfId="23" applyFont="1" applyBorder="1" applyAlignment="1">
      <alignment horizontal="left" vertical="center" indent="1"/>
    </xf>
    <xf numFmtId="0" fontId="0" fillId="29" borderId="9" xfId="0" applyFill="1" applyBorder="1" applyAlignment="1">
      <alignment horizontal="left" vertical="center" indent="1"/>
    </xf>
    <xf numFmtId="0" fontId="17" fillId="16" borderId="102" xfId="23" applyFont="1" applyBorder="1" applyAlignment="1">
      <alignment horizontal="left" vertical="center" indent="1"/>
    </xf>
    <xf numFmtId="0" fontId="17" fillId="16" borderId="103" xfId="23" applyFont="1" applyBorder="1" applyAlignment="1">
      <alignment horizontal="left" vertical="center" indent="1"/>
    </xf>
    <xf numFmtId="0" fontId="17" fillId="16" borderId="104" xfId="23" applyFont="1" applyBorder="1" applyAlignment="1">
      <alignment horizontal="left" vertical="center" indent="1"/>
    </xf>
    <xf numFmtId="3" fontId="17" fillId="29" borderId="149" xfId="0" applyNumberFormat="1" applyFont="1" applyFill="1" applyBorder="1" applyAlignment="1">
      <alignment horizontal="right" vertical="center" indent="1"/>
    </xf>
    <xf numFmtId="3" fontId="17" fillId="29" borderId="148" xfId="0" applyNumberFormat="1" applyFont="1" applyFill="1" applyBorder="1" applyAlignment="1">
      <alignment horizontal="right" vertical="center" indent="1"/>
    </xf>
    <xf numFmtId="0" fontId="26" fillId="12" borderId="127" xfId="19" applyFont="1" applyBorder="1" applyAlignment="1">
      <alignment horizontal="center" vertical="center"/>
    </xf>
    <xf numFmtId="0" fontId="26" fillId="8" borderId="124" xfId="15" applyFont="1" applyBorder="1" applyAlignment="1">
      <alignment horizontal="center" vertical="center"/>
    </xf>
    <xf numFmtId="0" fontId="26" fillId="8" borderId="99" xfId="15" applyFont="1" applyBorder="1" applyAlignment="1">
      <alignment horizontal="center" vertical="center"/>
    </xf>
    <xf numFmtId="0" fontId="26" fillId="8" borderId="125" xfId="15" applyFont="1" applyBorder="1" applyAlignment="1">
      <alignment horizontal="center" vertical="center"/>
    </xf>
    <xf numFmtId="0" fontId="26" fillId="12" borderId="128" xfId="19" applyFont="1" applyBorder="1" applyAlignment="1">
      <alignment horizontal="center" vertical="center"/>
    </xf>
    <xf numFmtId="0" fontId="26" fillId="12" borderId="126" xfId="19" applyFont="1" applyBorder="1" applyAlignment="1">
      <alignment horizontal="center" vertical="center"/>
    </xf>
    <xf numFmtId="0" fontId="0" fillId="29" borderId="111" xfId="0" applyFill="1" applyBorder="1" applyAlignment="1">
      <alignment horizontal="left" vertical="center" indent="1"/>
    </xf>
    <xf numFmtId="0" fontId="0" fillId="29" borderId="112" xfId="0" applyFill="1" applyBorder="1" applyAlignment="1">
      <alignment horizontal="left" vertical="center" indent="1"/>
    </xf>
    <xf numFmtId="0" fontId="0" fillId="29" borderId="143" xfId="0" applyFill="1" applyBorder="1" applyAlignment="1">
      <alignment horizontal="left" vertical="center" indent="1"/>
    </xf>
    <xf numFmtId="0" fontId="25" fillId="0" borderId="134" xfId="0" applyFont="1" applyBorder="1" applyAlignment="1">
      <alignment horizontal="center" vertical="center" wrapText="1"/>
    </xf>
    <xf numFmtId="0" fontId="25" fillId="0" borderId="118" xfId="0" applyFont="1" applyBorder="1" applyAlignment="1">
      <alignment horizontal="center" vertical="center" wrapText="1"/>
    </xf>
    <xf numFmtId="0" fontId="25" fillId="0" borderId="137" xfId="0" applyFont="1" applyBorder="1" applyAlignment="1">
      <alignment horizontal="center" vertical="center" wrapText="1"/>
    </xf>
    <xf numFmtId="0" fontId="25" fillId="0" borderId="138" xfId="0" applyFont="1" applyBorder="1" applyAlignment="1">
      <alignment horizontal="center" vertical="center" wrapText="1"/>
    </xf>
    <xf numFmtId="0" fontId="25" fillId="0" borderId="121" xfId="0" applyFont="1" applyBorder="1" applyAlignment="1">
      <alignment horizontal="center" vertical="center" wrapText="1"/>
    </xf>
    <xf numFmtId="0" fontId="25" fillId="0" borderId="139" xfId="0" applyFont="1" applyBorder="1" applyAlignment="1">
      <alignment horizontal="center" vertical="center" wrapText="1"/>
    </xf>
    <xf numFmtId="0" fontId="26" fillId="8" borderId="98" xfId="15" applyFont="1" applyBorder="1" applyAlignment="1">
      <alignment horizontal="center" vertical="center"/>
    </xf>
    <xf numFmtId="3" fontId="17" fillId="37" borderId="124" xfId="0" applyNumberFormat="1" applyFont="1" applyFill="1" applyBorder="1" applyAlignment="1">
      <alignment horizontal="right" vertical="center" indent="1"/>
    </xf>
    <xf numFmtId="3" fontId="17" fillId="37" borderId="99" xfId="0" applyNumberFormat="1" applyFont="1" applyFill="1" applyBorder="1" applyAlignment="1">
      <alignment horizontal="right" vertical="center" indent="1"/>
    </xf>
    <xf numFmtId="3" fontId="17" fillId="37" borderId="125" xfId="0" applyNumberFormat="1" applyFont="1" applyFill="1" applyBorder="1" applyAlignment="1">
      <alignment horizontal="right" vertical="center" indent="1"/>
    </xf>
    <xf numFmtId="0" fontId="26" fillId="12" borderId="122" xfId="19" applyFont="1" applyBorder="1" applyAlignment="1">
      <alignment horizontal="center" vertical="center"/>
    </xf>
    <xf numFmtId="0" fontId="25" fillId="29" borderId="127" xfId="19" applyFont="1" applyFill="1" applyBorder="1" applyAlignment="1">
      <alignment horizontal="center" vertical="center"/>
    </xf>
    <xf numFmtId="0" fontId="25" fillId="29" borderId="128" xfId="19" applyFont="1" applyFill="1" applyBorder="1" applyAlignment="1">
      <alignment horizontal="center" vertical="center"/>
    </xf>
    <xf numFmtId="0" fontId="21" fillId="33" borderId="115" xfId="0" applyFont="1" applyFill="1" applyBorder="1" applyAlignment="1">
      <alignment horizontal="right" vertical="center" indent="1"/>
    </xf>
    <xf numFmtId="0" fontId="21" fillId="33" borderId="141" xfId="0" applyFont="1" applyFill="1" applyBorder="1" applyAlignment="1">
      <alignment horizontal="right" vertical="center" indent="1"/>
    </xf>
    <xf numFmtId="3" fontId="21" fillId="33" borderId="132" xfId="0" applyNumberFormat="1" applyFont="1" applyFill="1" applyBorder="1" applyAlignment="1">
      <alignment horizontal="right" vertical="center" indent="1"/>
    </xf>
    <xf numFmtId="3" fontId="21" fillId="33" borderId="123" xfId="0" applyNumberFormat="1" applyFont="1" applyFill="1" applyBorder="1" applyAlignment="1">
      <alignment horizontal="right" vertical="center" indent="1"/>
    </xf>
    <xf numFmtId="3" fontId="21" fillId="33" borderId="133" xfId="0" applyNumberFormat="1" applyFont="1" applyFill="1" applyBorder="1" applyAlignment="1">
      <alignment horizontal="right" vertical="center" indent="1"/>
    </xf>
    <xf numFmtId="3" fontId="17" fillId="37" borderId="135" xfId="0" quotePrefix="1" applyNumberFormat="1" applyFont="1" applyFill="1" applyBorder="1" applyAlignment="1">
      <alignment horizontal="right" vertical="center" wrapText="1" indent="1"/>
    </xf>
    <xf numFmtId="3" fontId="17" fillId="37" borderId="0" xfId="0" quotePrefix="1" applyNumberFormat="1" applyFont="1" applyFill="1" applyAlignment="1">
      <alignment horizontal="right" vertical="center" wrapText="1" indent="1"/>
    </xf>
    <xf numFmtId="0" fontId="26" fillId="8" borderId="134" xfId="15" applyFont="1" applyBorder="1" applyAlignment="1">
      <alignment horizontal="center" vertical="center"/>
    </xf>
    <xf numFmtId="0" fontId="26" fillId="8" borderId="118" xfId="15" applyFont="1" applyBorder="1" applyAlignment="1">
      <alignment horizontal="center" vertical="center"/>
    </xf>
    <xf numFmtId="0" fontId="17" fillId="29" borderId="117" xfId="0" applyFont="1" applyFill="1" applyBorder="1" applyAlignment="1">
      <alignment horizontal="left" vertical="center"/>
    </xf>
    <xf numFmtId="0" fontId="0" fillId="29" borderId="117" xfId="0" applyFill="1" applyBorder="1" applyAlignment="1">
      <alignment horizontal="left" vertical="center"/>
    </xf>
    <xf numFmtId="0" fontId="23" fillId="29" borderId="63" xfId="0" applyFont="1" applyFill="1" applyBorder="1" applyAlignment="1">
      <alignment horizontal="center"/>
    </xf>
    <xf numFmtId="0" fontId="28" fillId="38" borderId="216" xfId="15" applyFont="1" applyFill="1" applyBorder="1" applyAlignment="1">
      <alignment horizontal="center" vertical="center"/>
    </xf>
    <xf numFmtId="0" fontId="28" fillId="38" borderId="67" xfId="15" applyFont="1" applyFill="1" applyBorder="1" applyAlignment="1">
      <alignment horizontal="center" vertical="center"/>
    </xf>
    <xf numFmtId="0" fontId="28" fillId="38" borderId="217" xfId="15" applyFont="1" applyFill="1" applyBorder="1" applyAlignment="1">
      <alignment horizontal="center" vertical="center"/>
    </xf>
    <xf numFmtId="0" fontId="34" fillId="29" borderId="0" xfId="0" applyFont="1" applyFill="1" applyAlignment="1">
      <alignment horizontal="right" vertical="center"/>
    </xf>
    <xf numFmtId="0" fontId="26" fillId="34" borderId="100" xfId="19" applyFont="1" applyFill="1" applyBorder="1" applyAlignment="1">
      <alignment horizontal="left" indent="1"/>
    </xf>
    <xf numFmtId="0" fontId="26" fillId="34" borderId="118" xfId="19" applyFont="1" applyFill="1" applyBorder="1" applyAlignment="1">
      <alignment horizontal="left" indent="1"/>
    </xf>
    <xf numFmtId="0" fontId="26" fillId="34" borderId="120" xfId="19" applyFont="1" applyFill="1" applyBorder="1" applyAlignment="1">
      <alignment horizontal="left" indent="1"/>
    </xf>
    <xf numFmtId="0" fontId="26" fillId="34" borderId="121" xfId="19" applyFont="1" applyFill="1" applyBorder="1" applyAlignment="1">
      <alignment horizontal="left" indent="1"/>
    </xf>
    <xf numFmtId="0" fontId="26" fillId="34" borderId="118" xfId="19" applyFont="1" applyFill="1" applyBorder="1" applyAlignment="1">
      <alignment horizontal="center"/>
    </xf>
    <xf numFmtId="0" fontId="26" fillId="34" borderId="121" xfId="19" applyFont="1" applyFill="1" applyBorder="1" applyAlignment="1">
      <alignment horizontal="center"/>
    </xf>
    <xf numFmtId="170" fontId="26" fillId="34" borderId="118" xfId="19" applyNumberFormat="1" applyFont="1" applyFill="1" applyBorder="1" applyAlignment="1">
      <alignment horizontal="center" wrapText="1"/>
    </xf>
    <xf numFmtId="170" fontId="26" fillId="34" borderId="121" xfId="19" applyNumberFormat="1" applyFont="1" applyFill="1" applyBorder="1" applyAlignment="1">
      <alignment horizontal="center" wrapText="1"/>
    </xf>
    <xf numFmtId="171" fontId="26" fillId="34" borderId="118" xfId="19" applyNumberFormat="1" applyFont="1" applyFill="1" applyBorder="1" applyAlignment="1">
      <alignment horizontal="center" wrapText="1"/>
    </xf>
    <xf numFmtId="171" fontId="26" fillId="34" borderId="121" xfId="19" applyNumberFormat="1" applyFont="1" applyFill="1" applyBorder="1" applyAlignment="1">
      <alignment horizontal="center" wrapText="1"/>
    </xf>
    <xf numFmtId="170" fontId="26" fillId="34" borderId="98" xfId="19" applyNumberFormat="1" applyFont="1" applyFill="1" applyBorder="1" applyAlignment="1">
      <alignment horizontal="center" wrapText="1"/>
    </xf>
    <xf numFmtId="170" fontId="26" fillId="34" borderId="122" xfId="19" applyNumberFormat="1" applyFont="1" applyFill="1" applyBorder="1" applyAlignment="1">
      <alignment horizontal="center" wrapText="1"/>
    </xf>
    <xf numFmtId="0" fontId="21" fillId="24" borderId="90" xfId="31" applyBorder="1" applyAlignment="1">
      <alignment horizontal="right" vertical="center"/>
    </xf>
    <xf numFmtId="0" fontId="21" fillId="24" borderId="91" xfId="31" applyBorder="1" applyAlignment="1">
      <alignment horizontal="right" vertical="center"/>
    </xf>
    <xf numFmtId="0" fontId="32" fillId="29" borderId="0" xfId="0" applyFont="1" applyFill="1" applyAlignment="1">
      <alignment horizontal="left" vertical="center" indent="1"/>
    </xf>
    <xf numFmtId="0" fontId="21" fillId="24" borderId="91" xfId="31" applyBorder="1" applyAlignment="1">
      <alignment horizontal="center" vertical="center"/>
    </xf>
    <xf numFmtId="168" fontId="17" fillId="16" borderId="5" xfId="23" applyNumberFormat="1" applyFont="1" applyBorder="1" applyAlignment="1">
      <alignment horizontal="left" vertical="center" indent="1"/>
    </xf>
    <xf numFmtId="168" fontId="17" fillId="16" borderId="0" xfId="23" applyNumberFormat="1" applyFont="1" applyBorder="1" applyAlignment="1">
      <alignment horizontal="left" vertical="center" indent="1"/>
    </xf>
    <xf numFmtId="166" fontId="21" fillId="24" borderId="91" xfId="31" applyNumberFormat="1" applyBorder="1" applyAlignment="1">
      <alignment horizontal="right" vertical="center" indent="1"/>
    </xf>
    <xf numFmtId="166" fontId="21" fillId="24" borderId="92" xfId="31" applyNumberFormat="1" applyBorder="1" applyAlignment="1">
      <alignment horizontal="right" vertical="center" indent="1"/>
    </xf>
    <xf numFmtId="166" fontId="0" fillId="29" borderId="0" xfId="0" applyNumberFormat="1" applyFill="1" applyAlignment="1">
      <alignment horizontal="right" vertical="center" indent="1"/>
    </xf>
    <xf numFmtId="166" fontId="0" fillId="29" borderId="119" xfId="0" applyNumberFormat="1" applyFill="1" applyBorder="1" applyAlignment="1">
      <alignment horizontal="right" vertical="center" indent="1"/>
    </xf>
    <xf numFmtId="166" fontId="17" fillId="16" borderId="0" xfId="23" applyNumberFormat="1" applyFont="1" applyBorder="1" applyAlignment="1">
      <alignment horizontal="right" vertical="center" indent="1"/>
    </xf>
    <xf numFmtId="166" fontId="17" fillId="16" borderId="119" xfId="23" applyNumberFormat="1" applyFont="1" applyBorder="1" applyAlignment="1">
      <alignment horizontal="right" vertical="center" indent="1"/>
    </xf>
    <xf numFmtId="0" fontId="17" fillId="29" borderId="93" xfId="0" applyFont="1" applyFill="1" applyBorder="1" applyAlignment="1">
      <alignment horizontal="left" vertical="center"/>
    </xf>
    <xf numFmtId="169" fontId="17" fillId="16" borderId="100" xfId="23" applyNumberFormat="1" applyFont="1" applyBorder="1" applyAlignment="1">
      <alignment horizontal="left" vertical="center" indent="1"/>
    </xf>
    <xf numFmtId="169" fontId="17" fillId="16" borderId="118" xfId="23" applyNumberFormat="1" applyFont="1" applyBorder="1" applyAlignment="1">
      <alignment horizontal="left" vertical="center" indent="1"/>
    </xf>
    <xf numFmtId="164" fontId="17" fillId="16" borderId="118" xfId="23" applyNumberFormat="1" applyFont="1" applyBorder="1" applyAlignment="1">
      <alignment horizontal="center" vertical="center"/>
    </xf>
    <xf numFmtId="166" fontId="17" fillId="16" borderId="118" xfId="23" applyNumberFormat="1" applyFont="1" applyBorder="1" applyAlignment="1">
      <alignment horizontal="right" vertical="center" indent="1"/>
    </xf>
    <xf numFmtId="166" fontId="17" fillId="16" borderId="98" xfId="23" applyNumberFormat="1" applyFont="1" applyBorder="1" applyAlignment="1">
      <alignment horizontal="right" vertical="center" indent="1"/>
    </xf>
    <xf numFmtId="169" fontId="0" fillId="29" borderId="5" xfId="0" applyNumberFormat="1" applyFill="1" applyBorder="1" applyAlignment="1">
      <alignment horizontal="left" vertical="center" indent="1"/>
    </xf>
    <xf numFmtId="169" fontId="0" fillId="29" borderId="0" xfId="0" applyNumberFormat="1" applyFill="1" applyAlignment="1">
      <alignment horizontal="left" vertical="center" indent="1"/>
    </xf>
    <xf numFmtId="164" fontId="0" fillId="29" borderId="0" xfId="0" applyNumberFormat="1" applyFill="1" applyAlignment="1">
      <alignment horizontal="center" vertical="center" readingOrder="1"/>
    </xf>
    <xf numFmtId="169" fontId="17" fillId="16" borderId="5" xfId="23" applyNumberFormat="1" applyFont="1" applyBorder="1" applyAlignment="1">
      <alignment horizontal="left" vertical="center" indent="1"/>
    </xf>
    <xf numFmtId="169" fontId="17" fillId="16" borderId="0" xfId="23" applyNumberFormat="1" applyFont="1" applyBorder="1" applyAlignment="1">
      <alignment horizontal="left" vertical="center" indent="1"/>
    </xf>
    <xf numFmtId="164" fontId="17" fillId="16" borderId="0" xfId="23" applyNumberFormat="1" applyFont="1" applyBorder="1" applyAlignment="1">
      <alignment horizontal="center" vertical="center"/>
    </xf>
    <xf numFmtId="168" fontId="0" fillId="29" borderId="5" xfId="0" applyNumberFormat="1" applyFill="1" applyBorder="1" applyAlignment="1">
      <alignment horizontal="left" vertical="center" indent="1"/>
    </xf>
    <xf numFmtId="168" fontId="0" fillId="29" borderId="0" xfId="0" applyNumberFormat="1" applyFill="1" applyAlignment="1">
      <alignment horizontal="left" vertical="center" indent="1"/>
    </xf>
    <xf numFmtId="0" fontId="17" fillId="16" borderId="100" xfId="23" applyFont="1" applyBorder="1" applyAlignment="1">
      <alignment horizontal="left" vertical="center" indent="1"/>
    </xf>
    <xf numFmtId="0" fontId="17" fillId="16" borderId="118" xfId="23" applyFont="1" applyBorder="1" applyAlignment="1">
      <alignment horizontal="left" vertical="center" indent="1"/>
    </xf>
    <xf numFmtId="166" fontId="0" fillId="29" borderId="121" xfId="0" applyNumberFormat="1" applyFill="1" applyBorder="1" applyAlignment="1">
      <alignment horizontal="right" vertical="center" indent="1"/>
    </xf>
    <xf numFmtId="166" fontId="0" fillId="29" borderId="122" xfId="0" applyNumberFormat="1" applyFill="1" applyBorder="1" applyAlignment="1">
      <alignment horizontal="right" vertical="center" indent="1"/>
    </xf>
    <xf numFmtId="164" fontId="0" fillId="29" borderId="121" xfId="0" applyNumberFormat="1" applyFill="1" applyBorder="1" applyAlignment="1">
      <alignment horizontal="center" vertical="center" readingOrder="1"/>
    </xf>
    <xf numFmtId="0" fontId="23" fillId="29" borderId="0" xfId="1" applyFont="1" applyAlignment="1">
      <alignment horizontal="center" vertical="center" wrapText="1"/>
    </xf>
    <xf numFmtId="0" fontId="23" fillId="29" borderId="0" xfId="1" applyFont="1" applyAlignment="1">
      <alignment horizontal="center" vertical="center"/>
    </xf>
    <xf numFmtId="0" fontId="28" fillId="30" borderId="216" xfId="37" applyFont="1" applyBorder="1" applyAlignment="1">
      <alignment horizontal="center" vertical="center"/>
    </xf>
    <xf numFmtId="0" fontId="28" fillId="30" borderId="67" xfId="37" applyFont="1" applyBorder="1" applyAlignment="1">
      <alignment horizontal="center" vertical="center"/>
    </xf>
    <xf numFmtId="0" fontId="28" fillId="30" borderId="217" xfId="37" applyFont="1" applyBorder="1" applyAlignment="1">
      <alignment horizontal="center" vertical="center"/>
    </xf>
    <xf numFmtId="0" fontId="29" fillId="28" borderId="0" xfId="36" applyFont="1" applyAlignment="1">
      <alignment horizontal="right" vertical="center"/>
    </xf>
    <xf numFmtId="37" fontId="0" fillId="29" borderId="147" xfId="0" applyNumberFormat="1" applyFill="1" applyBorder="1" applyAlignment="1">
      <alignment horizontal="right" vertical="center" indent="1"/>
    </xf>
    <xf numFmtId="37" fontId="0" fillId="29" borderId="150" xfId="0" applyNumberFormat="1" applyFill="1" applyBorder="1" applyAlignment="1">
      <alignment horizontal="right" vertical="center" indent="1"/>
    </xf>
    <xf numFmtId="37" fontId="0" fillId="29" borderId="149" xfId="0" applyNumberFormat="1" applyFill="1" applyBorder="1" applyAlignment="1">
      <alignment horizontal="right" vertical="center" indent="1"/>
    </xf>
    <xf numFmtId="3" fontId="0" fillId="29" borderId="12" xfId="0" applyNumberFormat="1" applyFill="1" applyBorder="1" applyAlignment="1">
      <alignment horizontal="right" vertical="center" indent="1"/>
    </xf>
    <xf numFmtId="3" fontId="0" fillId="29" borderId="10" xfId="0" applyNumberFormat="1" applyFill="1" applyBorder="1" applyAlignment="1">
      <alignment horizontal="right" vertical="center" indent="1"/>
    </xf>
    <xf numFmtId="3" fontId="0" fillId="29" borderId="9" xfId="0" applyNumberFormat="1" applyFill="1" applyBorder="1" applyAlignment="1">
      <alignment horizontal="right" vertical="center" indent="1"/>
    </xf>
    <xf numFmtId="0" fontId="18" fillId="8" borderId="0" xfId="15" applyFont="1" applyAlignment="1">
      <alignment horizontal="center" vertical="center"/>
    </xf>
    <xf numFmtId="37" fontId="0" fillId="29" borderId="12" xfId="0" applyNumberFormat="1" applyFill="1" applyBorder="1" applyAlignment="1">
      <alignment horizontal="right" vertical="center" indent="1"/>
    </xf>
    <xf numFmtId="37" fontId="0" fillId="29" borderId="10" xfId="0" applyNumberFormat="1" applyFill="1" applyBorder="1" applyAlignment="1">
      <alignment horizontal="right" vertical="center" indent="1"/>
    </xf>
    <xf numFmtId="37" fontId="0" fillId="29" borderId="9" xfId="0" applyNumberFormat="1" applyFill="1" applyBorder="1" applyAlignment="1">
      <alignment horizontal="right" vertical="center" indent="1"/>
    </xf>
    <xf numFmtId="37" fontId="17" fillId="16" borderId="0" xfId="23" applyNumberFormat="1" applyFont="1" applyBorder="1" applyAlignment="1">
      <alignment horizontal="right" vertical="center" indent="1"/>
    </xf>
    <xf numFmtId="37" fontId="17" fillId="16" borderId="119" xfId="23" applyNumberFormat="1" applyFont="1" applyBorder="1" applyAlignment="1">
      <alignment horizontal="right" vertical="center" indent="1"/>
    </xf>
    <xf numFmtId="37" fontId="17" fillId="16" borderId="5" xfId="23" applyNumberFormat="1" applyFont="1" applyBorder="1" applyAlignment="1">
      <alignment horizontal="right" vertical="center" indent="1"/>
    </xf>
    <xf numFmtId="3" fontId="17" fillId="16" borderId="12" xfId="23" applyNumberFormat="1" applyFont="1" applyBorder="1" applyAlignment="1">
      <alignment horizontal="right" vertical="center" indent="1"/>
    </xf>
    <xf numFmtId="3" fontId="17" fillId="16" borderId="10" xfId="23" applyNumberFormat="1" applyFont="1" applyBorder="1" applyAlignment="1">
      <alignment horizontal="right" vertical="center" indent="1"/>
    </xf>
    <xf numFmtId="3" fontId="17" fillId="16" borderId="9" xfId="23" applyNumberFormat="1" applyFont="1" applyBorder="1" applyAlignment="1">
      <alignment horizontal="right" vertical="center" indent="1"/>
    </xf>
    <xf numFmtId="37" fontId="17" fillId="16" borderId="12" xfId="23" applyNumberFormat="1" applyFont="1" applyBorder="1" applyAlignment="1">
      <alignment horizontal="right" vertical="center" indent="1"/>
    </xf>
    <xf numFmtId="37" fontId="17" fillId="16" borderId="10" xfId="23" applyNumberFormat="1" applyFont="1" applyBorder="1" applyAlignment="1">
      <alignment horizontal="right" vertical="center" indent="1"/>
    </xf>
    <xf numFmtId="37" fontId="17" fillId="16" borderId="9" xfId="23" applyNumberFormat="1" applyFont="1" applyBorder="1" applyAlignment="1">
      <alignment horizontal="right" vertical="center" indent="1"/>
    </xf>
    <xf numFmtId="37" fontId="0" fillId="29" borderId="0" xfId="0" applyNumberFormat="1" applyFill="1" applyBorder="1" applyAlignment="1">
      <alignment horizontal="right" vertical="center" indent="1"/>
    </xf>
    <xf numFmtId="37" fontId="0" fillId="29" borderId="119" xfId="0" applyNumberFormat="1" applyFill="1" applyBorder="1" applyAlignment="1">
      <alignment horizontal="right" vertical="center" indent="1"/>
    </xf>
    <xf numFmtId="37" fontId="0" fillId="29" borderId="5" xfId="0" applyNumberFormat="1" applyFill="1" applyBorder="1" applyAlignment="1">
      <alignment horizontal="right" vertical="center" indent="1"/>
    </xf>
    <xf numFmtId="0" fontId="26" fillId="29" borderId="0" xfId="15" applyFont="1" applyFill="1" applyAlignment="1">
      <alignment horizontal="center" vertical="center"/>
    </xf>
    <xf numFmtId="0" fontId="26" fillId="12" borderId="99" xfId="19" applyFont="1" applyBorder="1" applyAlignment="1">
      <alignment horizontal="center" vertical="center"/>
    </xf>
    <xf numFmtId="0" fontId="26" fillId="8" borderId="0" xfId="15" applyFont="1" applyAlignment="1">
      <alignment horizontal="center" vertical="center"/>
    </xf>
    <xf numFmtId="0" fontId="21" fillId="28" borderId="109" xfId="36" applyFont="1" applyBorder="1" applyAlignment="1">
      <alignment horizontal="center" vertical="center"/>
    </xf>
    <xf numFmtId="0" fontId="21" fillId="28" borderId="110" xfId="36" applyFont="1" applyBorder="1" applyAlignment="1">
      <alignment horizontal="center" vertical="center"/>
    </xf>
    <xf numFmtId="37" fontId="17" fillId="16" borderId="100" xfId="23" applyNumberFormat="1" applyFont="1" applyBorder="1" applyAlignment="1">
      <alignment horizontal="right" vertical="center" indent="1"/>
    </xf>
    <xf numFmtId="37" fontId="17" fillId="16" borderId="118" xfId="23" applyNumberFormat="1" applyFont="1" applyBorder="1" applyAlignment="1">
      <alignment horizontal="right" vertical="center" indent="1"/>
    </xf>
    <xf numFmtId="37" fontId="17" fillId="16" borderId="98" xfId="23" applyNumberFormat="1" applyFont="1" applyBorder="1" applyAlignment="1">
      <alignment horizontal="right" vertical="center" indent="1"/>
    </xf>
    <xf numFmtId="3" fontId="17" fillId="16" borderId="102" xfId="23" applyNumberFormat="1" applyFont="1" applyBorder="1" applyAlignment="1">
      <alignment horizontal="right" vertical="center" indent="1"/>
    </xf>
    <xf numFmtId="3" fontId="17" fillId="16" borderId="103" xfId="23" applyNumberFormat="1" applyFont="1" applyBorder="1" applyAlignment="1">
      <alignment horizontal="right" vertical="center" indent="1"/>
    </xf>
    <xf numFmtId="3" fontId="17" fillId="16" borderId="104" xfId="23" applyNumberFormat="1" applyFont="1" applyBorder="1" applyAlignment="1">
      <alignment horizontal="right" vertical="center" indent="1"/>
    </xf>
    <xf numFmtId="0" fontId="21" fillId="28" borderId="108" xfId="36" applyFont="1" applyBorder="1" applyAlignment="1">
      <alignment horizontal="center" vertical="center"/>
    </xf>
    <xf numFmtId="0" fontId="21" fillId="28" borderId="91" xfId="36" applyFont="1" applyBorder="1" applyAlignment="1">
      <alignment horizontal="center" vertical="center"/>
    </xf>
    <xf numFmtId="0" fontId="21" fillId="28" borderId="92" xfId="36" applyFont="1" applyBorder="1" applyAlignment="1">
      <alignment horizontal="center" vertical="center"/>
    </xf>
    <xf numFmtId="0" fontId="21" fillId="28" borderId="90" xfId="36" applyFont="1" applyBorder="1" applyAlignment="1">
      <alignment horizontal="center" vertical="center"/>
    </xf>
    <xf numFmtId="3" fontId="21" fillId="22" borderId="114" xfId="29" applyNumberFormat="1" applyFont="1" applyBorder="1" applyAlignment="1">
      <alignment horizontal="right" vertical="center" indent="1"/>
    </xf>
    <xf numFmtId="3" fontId="21" fillId="22" borderId="115" xfId="29" applyNumberFormat="1" applyFont="1" applyBorder="1" applyAlignment="1">
      <alignment horizontal="right" vertical="center" indent="1"/>
    </xf>
    <xf numFmtId="3" fontId="21" fillId="22" borderId="116" xfId="29" applyNumberFormat="1" applyFont="1" applyBorder="1" applyAlignment="1">
      <alignment horizontal="right" vertical="center" indent="1"/>
    </xf>
    <xf numFmtId="37" fontId="21" fillId="33" borderId="114" xfId="0" applyNumberFormat="1" applyFont="1" applyFill="1" applyBorder="1" applyAlignment="1">
      <alignment horizontal="right" vertical="center" indent="1"/>
    </xf>
    <xf numFmtId="37" fontId="21" fillId="33" borderId="115" xfId="0" applyNumberFormat="1" applyFont="1" applyFill="1" applyBorder="1" applyAlignment="1">
      <alignment horizontal="right" vertical="center" indent="1"/>
    </xf>
    <xf numFmtId="37" fontId="21" fillId="33" borderId="116" xfId="0" applyNumberFormat="1" applyFont="1" applyFill="1" applyBorder="1" applyAlignment="1">
      <alignment horizontal="right" vertical="center" indent="1"/>
    </xf>
    <xf numFmtId="37" fontId="21" fillId="22" borderId="114" xfId="29" applyNumberFormat="1" applyFont="1" applyBorder="1" applyAlignment="1">
      <alignment horizontal="right" vertical="center" indent="1"/>
    </xf>
    <xf numFmtId="37" fontId="21" fillId="22" borderId="115" xfId="29" applyNumberFormat="1" applyFont="1" applyBorder="1" applyAlignment="1">
      <alignment horizontal="right" vertical="center" indent="1"/>
    </xf>
    <xf numFmtId="37" fontId="21" fillId="22" borderId="116" xfId="29" applyNumberFormat="1" applyFont="1" applyBorder="1" applyAlignment="1">
      <alignment horizontal="right" vertical="center" indent="1"/>
    </xf>
    <xf numFmtId="0" fontId="21" fillId="33" borderId="114" xfId="0" applyFont="1" applyFill="1" applyBorder="1" applyAlignment="1">
      <alignment horizontal="left" vertical="center" indent="1"/>
    </xf>
    <xf numFmtId="0" fontId="21" fillId="33" borderId="115" xfId="0" applyFont="1" applyFill="1" applyBorder="1" applyAlignment="1">
      <alignment horizontal="left" vertical="center" indent="1"/>
    </xf>
    <xf numFmtId="0" fontId="21" fillId="33" borderId="116" xfId="0" applyFont="1" applyFill="1" applyBorder="1" applyAlignment="1">
      <alignment horizontal="left" vertical="center" indent="1"/>
    </xf>
    <xf numFmtId="37" fontId="17" fillId="16" borderId="102" xfId="23" applyNumberFormat="1" applyFont="1" applyBorder="1" applyAlignment="1">
      <alignment horizontal="right" vertical="center" indent="1"/>
    </xf>
    <xf numFmtId="37" fontId="17" fillId="16" borderId="103" xfId="23" applyNumberFormat="1" applyFont="1" applyBorder="1" applyAlignment="1">
      <alignment horizontal="right" vertical="center" indent="1"/>
    </xf>
    <xf numFmtId="37" fontId="17" fillId="16" borderId="104" xfId="23" applyNumberFormat="1" applyFont="1" applyBorder="1" applyAlignment="1">
      <alignment horizontal="right" vertical="center" indent="1"/>
    </xf>
    <xf numFmtId="37" fontId="0" fillId="29" borderId="105" xfId="0" applyNumberFormat="1" applyFill="1" applyBorder="1" applyAlignment="1">
      <alignment horizontal="right" vertical="center" indent="1"/>
    </xf>
    <xf numFmtId="37" fontId="0" fillId="29" borderId="106" xfId="0" applyNumberFormat="1" applyFill="1" applyBorder="1" applyAlignment="1">
      <alignment horizontal="right" vertical="center" indent="1"/>
    </xf>
    <xf numFmtId="37" fontId="0" fillId="29" borderId="107" xfId="0" applyNumberFormat="1" applyFill="1" applyBorder="1" applyAlignment="1">
      <alignment horizontal="right" vertical="center" indent="1"/>
    </xf>
    <xf numFmtId="0" fontId="0" fillId="29" borderId="113" xfId="0" applyFill="1" applyBorder="1" applyAlignment="1">
      <alignment horizontal="left" vertical="center" indent="1"/>
    </xf>
    <xf numFmtId="0" fontId="21" fillId="28" borderId="90" xfId="36" applyFont="1" applyBorder="1" applyAlignment="1">
      <alignment horizontal="left" vertical="center" indent="1"/>
    </xf>
    <xf numFmtId="0" fontId="21" fillId="28" borderId="91" xfId="36" applyFont="1" applyBorder="1" applyAlignment="1">
      <alignment horizontal="left" vertical="center" indent="1"/>
    </xf>
    <xf numFmtId="0" fontId="19" fillId="29" borderId="11" xfId="0" applyFont="1" applyFill="1" applyBorder="1" applyAlignment="1" applyProtection="1">
      <alignment horizontal="left" vertical="center" indent="1"/>
      <protection hidden="1"/>
    </xf>
    <xf numFmtId="0" fontId="18" fillId="34" borderId="90" xfId="0" applyFont="1" applyFill="1" applyBorder="1" applyAlignment="1" applyProtection="1">
      <alignment horizontal="center" vertical="center" readingOrder="1"/>
      <protection hidden="1"/>
    </xf>
    <xf numFmtId="0" fontId="18" fillId="34" borderId="91" xfId="0" applyFont="1" applyFill="1" applyBorder="1" applyAlignment="1" applyProtection="1">
      <alignment horizontal="center" vertical="center" readingOrder="1"/>
      <protection hidden="1"/>
    </xf>
    <xf numFmtId="0" fontId="18" fillId="34" borderId="92" xfId="0" applyFont="1" applyFill="1" applyBorder="1" applyAlignment="1" applyProtection="1">
      <alignment horizontal="center" vertical="center" readingOrder="1"/>
      <protection hidden="1"/>
    </xf>
    <xf numFmtId="0" fontId="19" fillId="29" borderId="93" xfId="0" applyFont="1" applyFill="1" applyBorder="1" applyAlignment="1" applyProtection="1">
      <alignment horizontal="left" vertical="center" indent="1"/>
      <protection hidden="1"/>
    </xf>
    <xf numFmtId="0" fontId="19" fillId="29" borderId="11" xfId="0" applyFont="1" applyFill="1" applyBorder="1" applyAlignment="1" applyProtection="1">
      <alignment horizontal="left" vertical="center" indent="3"/>
      <protection hidden="1"/>
    </xf>
    <xf numFmtId="0" fontId="22" fillId="38" borderId="0" xfId="44" applyFont="1" applyFill="1" applyBorder="1" applyAlignment="1" applyProtection="1">
      <alignment horizontal="center" vertical="center"/>
      <protection hidden="1"/>
    </xf>
    <xf numFmtId="0" fontId="29" fillId="29" borderId="0" xfId="37" applyFont="1" applyFill="1" applyBorder="1" applyAlignment="1">
      <alignment horizontal="right" vertical="center"/>
    </xf>
    <xf numFmtId="0" fontId="29" fillId="29" borderId="121" xfId="37" applyFont="1" applyFill="1" applyBorder="1" applyAlignment="1">
      <alignment horizontal="center" vertical="center"/>
    </xf>
    <xf numFmtId="0" fontId="45" fillId="38" borderId="0" xfId="0" applyFont="1" applyFill="1">
      <alignment horizontal="left" vertical="center" indent="1" readingOrder="1"/>
    </xf>
    <xf numFmtId="0" fontId="46" fillId="38" borderId="0" xfId="0" applyFont="1" applyFill="1">
      <alignment horizontal="left" vertical="center" indent="1" readingOrder="1"/>
    </xf>
    <xf numFmtId="0" fontId="0" fillId="0" borderId="0" xfId="0" applyAlignment="1">
      <alignment horizontal="left" vertical="center" wrapText="1"/>
    </xf>
    <xf numFmtId="0" fontId="20" fillId="12" borderId="0" xfId="19" applyAlignment="1">
      <alignment horizontal="left" vertical="center"/>
    </xf>
  </cellXfs>
  <cellStyles count="47">
    <cellStyle name="20% - Accent1" xfId="16" builtinId="30" customBuiltin="1"/>
    <cellStyle name="20% - Accent2" xfId="20" builtinId="34" customBuiltin="1"/>
    <cellStyle name="20% - Accent3" xfId="24" builtinId="38" customBuiltin="1"/>
    <cellStyle name="20% - Accent4" xfId="28" builtinId="42" customBuiltin="1"/>
    <cellStyle name="20% - Accent5" xfId="32" builtinId="46" customBuiltin="1"/>
    <cellStyle name="20% - Accent6" xfId="36" builtinId="50" customBuiltin="1"/>
    <cellStyle name="40% - Accent1" xfId="17" builtinId="31" customBuiltin="1"/>
    <cellStyle name="40% - Accent2" xfId="21" builtinId="35" customBuiltin="1"/>
    <cellStyle name="40% - Accent3" xfId="25" builtinId="39" customBuiltin="1"/>
    <cellStyle name="40% - Accent4" xfId="29" builtinId="43" customBuiltin="1"/>
    <cellStyle name="40% - Accent5" xfId="33" builtinId="47" customBuiltin="1"/>
    <cellStyle name="40% - Accent6" xfId="37" builtinId="51" customBuiltin="1"/>
    <cellStyle name="60% - Accent1" xfId="18" builtinId="32" customBuiltin="1"/>
    <cellStyle name="60% - Accent2" xfId="22" builtinId="36" customBuiltin="1"/>
    <cellStyle name="60% - Accent3" xfId="26" builtinId="40" customBuiltin="1"/>
    <cellStyle name="60% - Accent4" xfId="30" builtinId="44" customBuiltin="1"/>
    <cellStyle name="60% - Accent5" xfId="34" builtinId="48" customBuiltin="1"/>
    <cellStyle name="60% - Accent6" xfId="38" builtinId="52" customBuiltin="1"/>
    <cellStyle name="Accent1" xfId="15" builtinId="29" customBuiltin="1"/>
    <cellStyle name="Accent2" xfId="19" builtinId="33" customBuiltin="1"/>
    <cellStyle name="Accent3" xfId="23" builtinId="37" customBuiltin="1"/>
    <cellStyle name="Accent4" xfId="27" builtinId="41" customBuiltin="1"/>
    <cellStyle name="Accent5" xfId="31" builtinId="45" customBuiltin="1"/>
    <cellStyle name="Accent6" xfId="35" builtinId="49" customBuiltin="1"/>
    <cellStyle name="Bad" xfId="6" builtinId="27" customBuiltin="1"/>
    <cellStyle name="Calculation" xfId="10" builtinId="22" hidden="1"/>
    <cellStyle name="Check Cell" xfId="12" builtinId="23" hidden="1"/>
    <cellStyle name="Currency" xfId="41" builtinId="4"/>
    <cellStyle name="Explanatory Text" xfId="14" builtinId="53" hidden="1"/>
    <cellStyle name="FICE" xfId="43" xr:uid="{29F01C6C-E68A-4C56-AC4F-B2DA477FB8AF}"/>
    <cellStyle name="Followed Hyperlink" xfId="40" builtinId="9" hidden="1"/>
    <cellStyle name="Followed Hyperlink" xfId="46" builtinId="9" customBuiltin="1"/>
    <cellStyle name="Good" xfId="5" builtinId="26" customBuiltin="1"/>
    <cellStyle name="Heading 1" xfId="1" builtinId="16" customBuiltin="1"/>
    <cellStyle name="Heading 2" xfId="2" builtinId="17" customBuiltin="1"/>
    <cellStyle name="Heading 3" xfId="3" builtinId="18" customBuiltin="1"/>
    <cellStyle name="Heading 4" xfId="4" builtinId="19" customBuiltin="1"/>
    <cellStyle name="Hyperlink" xfId="39" builtinId="8" hidden="1"/>
    <cellStyle name="Hyperlink" xfId="45" builtinId="8" customBuiltin="1"/>
    <cellStyle name="Input" xfId="8" builtinId="20" hidden="1"/>
    <cellStyle name="Linked Cell" xfId="11" builtinId="24" hidden="1"/>
    <cellStyle name="Neutral" xfId="7" builtinId="28" customBuiltin="1"/>
    <cellStyle name="Normal" xfId="0" builtinId="0" customBuiltin="1"/>
    <cellStyle name="Output" xfId="9" builtinId="21" hidden="1"/>
    <cellStyle name="Percent" xfId="42" builtinId="5"/>
    <cellStyle name="Title" xfId="44" builtinId="15"/>
    <cellStyle name="Warning Text" xfId="13" builtinId="11" hidden="1"/>
  </cellStyles>
  <dxfs count="1282">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fill>
        <patternFill>
          <bgColor theme="5" tint="0.79998168889431442"/>
        </patternFill>
      </fill>
    </dxf>
    <dxf>
      <fill>
        <patternFill>
          <bgColor theme="5" tint="0.79998168889431442"/>
        </patternFill>
      </fill>
    </dxf>
    <dxf>
      <font>
        <b/>
        <i val="0"/>
        <color theme="0"/>
      </font>
      <fill>
        <patternFill>
          <bgColor rgb="FFAF211A"/>
        </patternFill>
      </fill>
    </dxf>
    <dxf>
      <font>
        <b/>
        <i val="0"/>
        <color theme="0"/>
      </font>
      <fill>
        <patternFill>
          <bgColor rgb="FFAF211A"/>
        </patternFill>
      </fill>
      <border>
        <left style="thin">
          <color rgb="FFAF211A"/>
        </left>
        <right style="thin">
          <color rgb="FFAF211A"/>
        </right>
        <top style="thin">
          <color rgb="FFAF211A"/>
        </top>
        <bottom style="thin">
          <color rgb="FFAF211A"/>
        </bottom>
      </border>
    </dxf>
    <dxf>
      <alignment horizontal="center"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3" formatCode="#,##0"/>
      <alignment horizontal="center"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3" formatCode="#,##0"/>
      <alignment horizontal="right" vertical="center" textRotation="0" wrapText="0" indent="1" justifyLastLine="0" shrinkToFit="0" readingOrder="0"/>
    </dxf>
    <dxf>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numFmt numFmtId="0" formatCode="General"/>
      <alignment horizontal="left" vertical="center" textRotation="0" wrapText="0" indent="0" justifyLastLine="0" shrinkToFit="0" readingOrder="0"/>
    </dxf>
    <dxf>
      <numFmt numFmtId="165" formatCode="[&lt;=9999999]###\-####;\(###\)\ ###\-####"/>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2"/>
        <name val="Georgia"/>
        <family val="1"/>
        <scheme val="none"/>
      </font>
      <numFmt numFmtId="165" formatCode="[&lt;=9999999]###\-####;\(###\)\ ###\-####"/>
      <alignment horizontal="center" vertical="center" textRotation="0" wrapText="0" indent="0" justifyLastLine="0" shrinkToFit="0" readingOrder="0"/>
    </dxf>
    <dxf>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numFmt numFmtId="0" formatCode="General"/>
      <alignment horizontal="left" vertical="center" textRotation="0" wrapText="0" indent="0" justifyLastLine="0" shrinkToFit="0" readingOrder="0"/>
    </dxf>
    <dxf>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numFmt numFmtId="0" formatCode="General"/>
      <alignment horizontal="left" vertical="center" textRotation="0" wrapText="0" indent="0" justifyLastLine="0" shrinkToFit="0" readingOrder="0"/>
    </dxf>
    <dxf>
      <numFmt numFmtId="165" formatCode="[&lt;=9999999]###\-####;\(###\)\ ###\-####"/>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12"/>
        <name val="Georgia"/>
        <family val="1"/>
        <scheme val="none"/>
      </font>
      <numFmt numFmtId="165" formatCode="[&lt;=9999999]###\-####;\(###\)\ ###\-####"/>
      <alignment horizontal="center" vertical="center" textRotation="0" wrapText="0" indent="0" justifyLastLine="0" shrinkToFit="0" readingOrder="0"/>
    </dxf>
    <dxf>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numFmt numFmtId="0" formatCode="General"/>
      <alignment horizontal="lef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numFmt numFmtId="166" formatCode="&quot;$&quot;#,##0"/>
      <fill>
        <patternFill patternType="none">
          <fgColor indexed="64"/>
          <bgColor indexed="65"/>
        </patternFill>
      </fill>
      <alignment horizontal="right" vertical="center" textRotation="0" wrapText="0" indent="0" justifyLastLine="0" shrinkToFit="0" readingOrder="0"/>
    </dxf>
    <dxf>
      <font>
        <strike val="0"/>
        <outline val="0"/>
        <shadow val="0"/>
        <u val="none"/>
        <vertAlign val="baseline"/>
        <sz val="12"/>
        <name val="Georgia"/>
        <family val="1"/>
        <scheme val="none"/>
      </font>
      <numFmt numFmtId="166" formatCode="&quot;$&quot;#,##0"/>
      <alignment horizontal="righ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numFmt numFmtId="164" formatCode="000000"/>
      <alignment horizontal="center"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alignment horizontal="center"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alignment horizontal="center"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alignment horizontal="center"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alignment horizontal="center"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2"/>
        <name val="Georgia"/>
        <family val="1"/>
        <scheme val="none"/>
      </font>
      <alignment horizontal="left" vertical="center" textRotation="0" wrapText="0" relativeIndent="1" justifyLastLine="0" shrinkToFit="0" readingOrder="0"/>
    </dxf>
    <dxf>
      <font>
        <strike val="0"/>
        <outline val="0"/>
        <shadow val="0"/>
        <u val="none"/>
        <vertAlign val="baseline"/>
        <sz val="12"/>
        <name val="Georgia"/>
        <family val="1"/>
        <scheme val="none"/>
      </font>
      <alignment horizontal="left" vertical="center" textRotation="0" wrapText="0" indent="0" justifyLastLine="0" shrinkToFit="0" readingOrder="0"/>
    </dxf>
    <dxf>
      <font>
        <b/>
        <strike val="0"/>
        <outline val="0"/>
        <shadow val="0"/>
        <u val="none"/>
        <vertAlign val="baseline"/>
        <sz val="12"/>
        <color theme="0"/>
        <name val="Georgia"/>
        <family val="1"/>
        <scheme val="none"/>
      </font>
      <alignment horizontal="left" vertical="center" textRotation="0" wrapText="0" indent="0" justifyLastLine="0" shrinkToFit="0" readingOrder="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Arial"/>
        <family val="2"/>
        <scheme val="none"/>
      </font>
      <numFmt numFmtId="3" formatCode="#,##0"/>
      <fill>
        <patternFill patternType="none">
          <fgColor indexed="64"/>
          <bgColor indexed="65"/>
        </patternFill>
      </fill>
      <alignment horizontal="right" vertical="center" textRotation="0" wrapText="0" indent="1" justifyLastLine="0" shrinkToFit="0" readingOrder="0"/>
      <protection locked="1" hidden="0"/>
    </dxf>
    <dxf>
      <font>
        <b val="0"/>
        <i val="0"/>
        <strike val="0"/>
        <condense val="0"/>
        <extend val="0"/>
        <outline val="0"/>
        <shadow val="0"/>
        <u val="none"/>
        <vertAlign val="baseline"/>
        <sz val="12"/>
        <color theme="1"/>
        <name val="Georgia"/>
        <family val="1"/>
        <scheme val="none"/>
      </font>
      <numFmt numFmtId="164" formatCode="000000"/>
      <border diagonalUp="0" diagonalDown="0" outline="0">
        <left/>
        <right/>
        <top style="medium">
          <color theme="4"/>
        </top>
        <bottom style="thin">
          <color theme="4"/>
        </bottom>
      </border>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Georgia"/>
        <family val="1"/>
        <scheme val="none"/>
      </font>
      <alignment horizontal="left" vertical="center" textRotation="0" wrapText="0" indent="0"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fill>
        <patternFill patternType="none">
          <fgColor indexed="64"/>
          <bgColor auto="1"/>
        </patternFill>
      </fill>
      <alignment horizontal="left" vertical="center" textRotation="0" wrapText="0" relativeIndent="1" justifyLastLine="0" shrinkToFit="0" readingOrder="0"/>
      <protection locked="1" hidden="0"/>
    </dxf>
    <dxf>
      <border>
        <top style="medium">
          <color theme="4"/>
        </top>
      </border>
    </dxf>
    <dxf>
      <font>
        <strike val="0"/>
        <outline val="0"/>
        <shadow val="0"/>
        <u val="none"/>
        <vertAlign val="baseline"/>
        <sz val="12"/>
        <color theme="1"/>
        <name val="Georgia"/>
        <family val="1"/>
        <scheme val="none"/>
      </font>
      <alignment vertical="center" textRotation="0" indent="0" justifyLastLine="0" shrinkToFit="0" readingOrder="0"/>
    </dxf>
    <dxf>
      <border outline="0">
        <top style="thin">
          <color theme="4"/>
        </top>
      </border>
    </dxf>
    <dxf>
      <font>
        <strike val="0"/>
        <outline val="0"/>
        <shadow val="0"/>
        <u val="none"/>
        <vertAlign val="baseline"/>
        <sz val="12"/>
        <color theme="1"/>
        <name val="Georgia"/>
        <family val="1"/>
        <scheme val="none"/>
      </font>
      <fill>
        <patternFill patternType="none">
          <fgColor indexed="64"/>
          <bgColor auto="1"/>
        </patternFill>
      </fill>
      <alignment horizontal="right" vertical="center" textRotation="0" wrapText="0" indent="0" justifyLastLine="0" shrinkToFit="0" readingOrder="0"/>
      <protection locked="1" hidden="0"/>
    </dxf>
    <dxf>
      <border>
        <bottom style="medium">
          <color theme="4"/>
        </bottom>
      </border>
    </dxf>
    <dxf>
      <font>
        <b/>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bottom" textRotation="0" wrapText="1" indent="0"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b val="0"/>
        <strike val="0"/>
        <outline val="0"/>
        <shadow val="0"/>
        <u val="none"/>
        <vertAlign val="baseline"/>
        <sz val="12"/>
        <color theme="1"/>
        <name val="Georgia"/>
        <family val="1"/>
        <scheme val="none"/>
      </font>
      <numFmt numFmtId="4" formatCode="#,##0.0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4" formatCode="#,##0.00"/>
      <alignment horizontal="right" vertical="center" textRotation="0" wrapText="0" indent="1" justifyLastLine="0" shrinkToFit="0" readingOrder="0"/>
      <border diagonalUp="0" diagonalDown="0" outline="0">
        <left/>
        <right/>
        <top style="medium">
          <color theme="4"/>
        </top>
        <bottom style="thin">
          <color theme="4"/>
        </bottom>
      </border>
    </dxf>
    <dxf>
      <font>
        <b val="0"/>
        <i val="0"/>
        <strike val="0"/>
        <condense val="0"/>
        <extend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4" formatCode="#,##0.0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style="thin">
          <color theme="4"/>
        </bottom>
      </border>
    </dxf>
    <dxf>
      <font>
        <strike val="0"/>
        <outline val="0"/>
        <shadow val="0"/>
        <u val="none"/>
        <vertAlign val="baseline"/>
        <sz val="12"/>
        <color theme="1"/>
        <name val="Georgia"/>
        <family val="1"/>
        <scheme val="none"/>
      </font>
      <numFmt numFmtId="3" formatCode="#,##0"/>
      <fill>
        <patternFill patternType="none">
          <fgColor indexed="64"/>
          <bgColor auto="1"/>
        </patternFill>
      </fill>
      <alignment horizontal="right" vertical="center" textRotation="0" wrapText="0" indent="1" justifyLastLine="0" shrinkToFit="0" readingOrder="0"/>
      <protection locked="1" hidden="0"/>
    </dxf>
    <dxf>
      <font>
        <b/>
        <i val="0"/>
        <strike val="0"/>
        <condense val="0"/>
        <extend val="0"/>
        <outline val="0"/>
        <shadow val="0"/>
        <u val="none"/>
        <vertAlign val="baseline"/>
        <sz val="12"/>
        <color theme="1"/>
        <name val="Georgia"/>
        <family val="1"/>
        <scheme val="none"/>
      </font>
      <border diagonalUp="0" diagonalDown="0" outline="0">
        <left/>
        <right/>
        <top style="medium">
          <color theme="4"/>
        </top>
        <bottom style="thin">
          <color theme="4"/>
        </bottom>
      </border>
      <protection locked="1" hidden="1"/>
    </dxf>
    <dxf>
      <font>
        <strike val="0"/>
        <outline val="0"/>
        <shadow val="0"/>
        <u val="none"/>
        <vertAlign val="baseline"/>
        <sz val="12"/>
        <color theme="1"/>
        <name val="Georgia"/>
        <family val="1"/>
        <scheme val="none"/>
      </font>
      <numFmt numFmtId="1" formatCode="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Georgia"/>
        <family val="1"/>
        <scheme val="none"/>
      </font>
      <numFmt numFmtId="6" formatCode="#,##0_);[Red]\(#,##0\)"/>
      <alignment horizontal="left" vertical="center" textRotation="0" wrapText="0" indent="0" justifyLastLine="0" shrinkToFit="0" readingOrder="0"/>
      <border diagonalUp="0" diagonalDown="0" outline="0">
        <left/>
        <right/>
        <top style="medium">
          <color theme="4"/>
        </top>
        <bottom style="thin">
          <color theme="4"/>
        </bottom>
      </border>
      <protection locked="1" hidden="1"/>
    </dxf>
    <dxf>
      <font>
        <strike val="0"/>
        <outline val="0"/>
        <shadow val="0"/>
        <u val="none"/>
        <vertAlign val="baseline"/>
        <sz val="12"/>
        <color theme="1"/>
        <name val="Georgia"/>
        <family val="1"/>
        <scheme val="none"/>
      </font>
      <fill>
        <patternFill patternType="none">
          <fgColor indexed="64"/>
          <bgColor auto="1"/>
        </patternFill>
      </fill>
      <alignment horizontal="left" vertical="center" textRotation="0" wrapText="0" relativeIndent="1" justifyLastLine="0" shrinkToFit="0" readingOrder="0"/>
      <protection locked="1" hidden="1"/>
    </dxf>
    <dxf>
      <border>
        <top style="medium">
          <color theme="4"/>
        </top>
      </border>
    </dxf>
    <dxf>
      <font>
        <strike val="0"/>
        <outline val="0"/>
        <shadow val="0"/>
        <u val="none"/>
        <sz val="12"/>
        <color theme="1"/>
        <name val="Georgia"/>
        <family val="1"/>
        <scheme val="none"/>
      </font>
      <fill>
        <patternFill patternType="none">
          <fgColor indexed="64"/>
          <bgColor auto="1"/>
        </patternFill>
      </fill>
      <alignment vertical="center" textRotation="0" indent="0" justifyLastLine="0" shrinkToFit="0" readingOrder="0"/>
      <protection locked="1" hidden="1"/>
    </dxf>
    <dxf>
      <font>
        <strike val="0"/>
        <outline val="0"/>
        <shadow val="0"/>
        <u val="none"/>
        <sz val="12"/>
        <color theme="1"/>
        <name val="Georgia"/>
        <family val="1"/>
        <scheme val="none"/>
      </font>
      <fill>
        <patternFill patternType="none">
          <fgColor indexed="64"/>
          <bgColor auto="1"/>
        </patternFill>
      </fill>
      <alignment vertical="center" textRotation="0" indent="0" justifyLastLine="0" shrinkToFit="0" readingOrder="0"/>
      <protection locked="1" hidden="1"/>
    </dxf>
    <dxf>
      <border>
        <bottom style="medium">
          <color theme="4"/>
        </bottom>
      </border>
    </dxf>
    <dxf>
      <font>
        <b val="0"/>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bottom" textRotation="0" wrapText="1" indent="0"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4" formatCode="#,##0.00"/>
      <fill>
        <patternFill patternType="solid">
          <fgColor indexed="64"/>
          <bgColor theme="4"/>
        </patternFill>
      </fill>
      <alignment horizontal="right" vertical="center" textRotation="0" wrapText="0" indent="2" justifyLastLine="0" shrinkToFit="0" readingOrder="0"/>
      <protection locked="1" hidden="0"/>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i val="0"/>
        <strike val="0"/>
        <condense val="0"/>
        <extend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3" formatCode="#,##0"/>
      <alignment horizontal="right" vertical="center" textRotation="0" wrapText="0" indent="1" justifyLastLine="0" shrinkToFit="0" readingOrder="0"/>
      <border diagonalUp="0" diagonalDown="0" outline="0">
        <left/>
        <right/>
        <top style="medium">
          <color theme="4"/>
        </top>
        <bottom/>
      </border>
    </dxf>
    <dxf>
      <font>
        <b/>
        <strike val="0"/>
        <outline val="0"/>
        <shadow val="0"/>
        <u val="none"/>
        <vertAlign val="baseline"/>
        <sz val="12"/>
        <color theme="0"/>
        <name val="Georgia"/>
        <family val="1"/>
        <scheme val="none"/>
      </font>
      <numFmt numFmtId="3" formatCode="#,##0"/>
      <fill>
        <patternFill patternType="solid">
          <fgColor indexed="64"/>
          <bgColor theme="4"/>
        </patternFill>
      </fill>
      <alignment horizontal="right" vertical="center" textRotation="0" wrapText="0" indent="1" justifyLastLine="0" shrinkToFit="0" readingOrder="0"/>
      <protection locked="1" hidden="1"/>
    </dxf>
    <dxf>
      <font>
        <b/>
        <i val="0"/>
        <strike val="0"/>
        <condense val="0"/>
        <extend val="0"/>
        <outline val="0"/>
        <shadow val="0"/>
        <u val="none"/>
        <vertAlign val="baseline"/>
        <sz val="12"/>
        <color theme="1"/>
        <name val="Georgia"/>
        <family val="1"/>
        <scheme val="none"/>
      </font>
      <numFmt numFmtId="6" formatCode="#,##0_);[Red]\(#,##0\)"/>
      <alignment horizontal="right" vertical="center" textRotation="0" wrapText="0" indent="0" justifyLastLine="0" shrinkToFit="0" readingOrder="0"/>
      <border diagonalUp="0" diagonalDown="0" outline="0">
        <left/>
        <right/>
        <top style="medium">
          <color theme="4"/>
        </top>
        <bottom/>
      </border>
      <protection locked="1" hidden="1"/>
    </dxf>
    <dxf>
      <font>
        <b val="0"/>
        <strike val="0"/>
        <outline val="0"/>
        <shadow val="0"/>
        <u val="none"/>
        <vertAlign val="baseline"/>
        <sz val="12"/>
        <color theme="4"/>
        <name val="Georgia"/>
        <family val="1"/>
        <scheme val="none"/>
      </font>
      <numFmt numFmtId="164" formatCode="000000"/>
      <fill>
        <patternFill patternType="none">
          <fgColor indexed="64"/>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2"/>
        <color theme="1"/>
        <name val="Georgia"/>
        <family val="1"/>
        <scheme val="none"/>
      </font>
      <numFmt numFmtId="6" formatCode="#,##0_);[Red]\(#,##0\)"/>
      <alignment horizontal="right" vertical="center" textRotation="0" wrapText="0" indent="0" justifyLastLine="0" shrinkToFit="0" readingOrder="0"/>
      <border diagonalUp="0" diagonalDown="0" outline="0">
        <left/>
        <right/>
        <top style="medium">
          <color theme="4"/>
        </top>
        <bottom/>
      </border>
      <protection locked="1" hidden="1"/>
    </dxf>
    <dxf>
      <font>
        <b val="0"/>
        <strike val="0"/>
        <outline val="0"/>
        <shadow val="0"/>
        <u val="none"/>
        <vertAlign val="baseline"/>
        <sz val="12"/>
        <color theme="4"/>
        <name val="Georgia"/>
        <family val="1"/>
        <scheme val="none"/>
      </font>
      <fill>
        <patternFill patternType="none">
          <fgColor indexed="64"/>
          <bgColor auto="1"/>
        </patternFill>
      </fill>
      <alignment horizontal="left" vertical="center" textRotation="0" wrapText="0" relativeIndent="1" justifyLastLine="0" shrinkToFit="0" readingOrder="0"/>
      <protection locked="1" hidden="1"/>
    </dxf>
    <dxf>
      <border>
        <top style="medium">
          <color theme="4"/>
        </top>
      </border>
    </dxf>
    <dxf>
      <font>
        <strike val="0"/>
        <outline val="0"/>
        <shadow val="0"/>
        <u val="none"/>
        <vertAlign val="baseline"/>
        <sz val="12"/>
        <name val="Georgia"/>
        <family val="1"/>
        <scheme val="none"/>
      </font>
      <alignment vertical="center" textRotation="0" indent="0" justifyLastLine="0" shrinkToFit="0" readingOrder="0"/>
      <protection locked="1" hidden="1"/>
    </dxf>
    <dxf>
      <border diagonalUp="0" diagonalDown="0">
        <left style="thin">
          <color theme="4"/>
        </left>
        <right style="thin">
          <color theme="4"/>
        </right>
        <top style="thin">
          <color theme="4"/>
        </top>
        <bottom style="thin">
          <color theme="4"/>
        </bottom>
      </border>
    </dxf>
    <dxf>
      <font>
        <b val="0"/>
        <strike val="0"/>
        <outline val="0"/>
        <shadow val="0"/>
        <u val="none"/>
        <vertAlign val="baseline"/>
        <sz val="12"/>
        <color theme="4"/>
        <name val="Georgia"/>
        <family val="1"/>
        <scheme val="none"/>
      </font>
      <fill>
        <patternFill patternType="none">
          <fgColor indexed="64"/>
          <bgColor auto="1"/>
        </patternFill>
      </fill>
      <alignment vertical="center" textRotation="0" indent="0" justifyLastLine="0" shrinkToFit="0" readingOrder="0"/>
      <protection locked="1" hidden="1"/>
    </dxf>
    <dxf>
      <border>
        <bottom style="medium">
          <color theme="4"/>
        </bottom>
      </border>
    </dxf>
    <dxf>
      <font>
        <b/>
        <i val="0"/>
        <strike val="0"/>
        <condense val="0"/>
        <extend val="0"/>
        <outline val="0"/>
        <shadow val="0"/>
        <u val="none"/>
        <vertAlign val="baseline"/>
        <sz val="12"/>
        <color theme="1"/>
        <name val="Georgia"/>
        <family val="1"/>
        <scheme val="none"/>
      </font>
      <fill>
        <patternFill patternType="none">
          <fgColor indexed="64"/>
          <bgColor auto="1"/>
        </patternFill>
      </fill>
      <alignment horizontal="center" vertical="bottom" textRotation="0" wrapText="1" indent="0" justifyLastLine="0" shrinkToFit="0" readingOrder="0"/>
      <protection locked="1" hidden="1"/>
    </dxf>
    <dxf>
      <fill>
        <patternFill>
          <bgColor theme="0"/>
        </patternFill>
      </fill>
      <border diagonalUp="0" diagonalDown="0">
        <left/>
        <right/>
        <top/>
        <bottom/>
        <vertical/>
        <horizontal/>
      </border>
    </dxf>
    <dxf>
      <fill>
        <patternFill>
          <bgColor theme="5" tint="0.79998168889431442"/>
        </patternFill>
      </fill>
      <border diagonalUp="0" diagonalDown="0">
        <left/>
        <right/>
        <top/>
        <bottom/>
        <vertical/>
        <horizontal/>
      </border>
    </dxf>
    <dxf>
      <font>
        <b/>
        <i val="0"/>
      </font>
      <fill>
        <patternFill>
          <bgColor theme="8"/>
        </patternFill>
      </fill>
      <border>
        <left/>
        <right/>
        <top style="double">
          <color theme="4"/>
        </top>
        <bottom style="thin">
          <color theme="4"/>
        </bottom>
        <vertical/>
        <horizontal/>
      </border>
    </dxf>
    <dxf>
      <font>
        <b/>
        <i val="0"/>
      </font>
      <fill>
        <patternFill>
          <bgColor theme="0"/>
        </patternFill>
      </fill>
      <border diagonalUp="0" diagonalDown="0">
        <left/>
        <right/>
        <top style="thin">
          <color theme="4"/>
        </top>
        <bottom style="thin">
          <color theme="4"/>
        </bottom>
        <vertical/>
        <horizontal/>
      </border>
    </dxf>
    <dxf>
      <fill>
        <patternFill>
          <bgColor theme="0" tint="-4.9989318521683403E-2"/>
        </patternFill>
      </fill>
    </dxf>
    <dxf>
      <fill>
        <patternFill>
          <bgColor theme="6"/>
        </patternFill>
      </fill>
    </dxf>
    <dxf>
      <fill>
        <patternFill>
          <bgColor theme="8"/>
        </patternFill>
      </fill>
    </dxf>
    <dxf>
      <font>
        <color theme="0"/>
      </font>
      <fill>
        <patternFill>
          <bgColor theme="5"/>
        </patternFill>
      </fill>
    </dxf>
  </dxfs>
  <tableStyles count="2" defaultTableStyle="TableStyleMedium2" defaultPivotStyle="PivotStyleLight16">
    <tableStyle name="Default" pivot="0" count="4" xr9:uid="{FEDEB452-13FD-44CB-93A1-269D737EC65C}">
      <tableStyleElement type="headerRow" dxfId="1281"/>
      <tableStyleElement type="totalRow" dxfId="1280"/>
      <tableStyleElement type="firstRowStripe" dxfId="1279"/>
      <tableStyleElement type="secondRowStripe" dxfId="1278"/>
    </tableStyle>
    <tableStyle name="Standard" pivot="0" count="4" xr9:uid="{E73EC408-E080-446B-A10B-D26A14841592}">
      <tableStyleElement type="headerRow" dxfId="1277"/>
      <tableStyleElement type="totalRow" dxfId="1276"/>
      <tableStyleElement type="firstRowStripe" dxfId="1275"/>
      <tableStyleElement type="secondRowStripe" dxfId="1274"/>
    </tableStyle>
  </tableStyles>
  <colors>
    <mruColors>
      <color rgb="FFFFFFCC"/>
      <color rgb="FFAF211A"/>
      <color rgb="FF052F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245255762979271"/>
          <c:y val="9.6565334998257576E-2"/>
          <c:w val="0.50584361397183208"/>
          <c:h val="0.7989790957705396"/>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6DEF-484C-98B4-9ADF17EC7E08}"/>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DEF-484C-98B4-9ADF17EC7E08}"/>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DEF-484C-98B4-9ADF17EC7E08}"/>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DEF-484C-98B4-9ADF17EC7E08}"/>
              </c:ext>
            </c:extLst>
          </c:dPt>
          <c:dLbls>
            <c:numFmt formatCode="0.0%" sourceLinked="0"/>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effectLst/>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numRef>
              <c:f>'Summary (by Institution)'!$AE$10:$AE$13</c:f>
              <c:numCache>
                <c:formatCode>#,##0</c:formatCode>
                <c:ptCount val="4"/>
                <c:pt idx="0">
                  <c:v>0</c:v>
                </c:pt>
                <c:pt idx="1">
                  <c:v>0</c:v>
                </c:pt>
                <c:pt idx="2">
                  <c:v>0</c:v>
                </c:pt>
                <c:pt idx="3">
                  <c:v>0</c:v>
                </c:pt>
              </c:numCache>
            </c:numRef>
          </c:cat>
          <c:val>
            <c:numRef>
              <c:f>'Summary (by Institution)'!$AE$10:$AE$13</c:f>
              <c:numCache>
                <c:formatCode>#,##0</c:formatCode>
                <c:ptCount val="4"/>
                <c:pt idx="0">
                  <c:v>0</c:v>
                </c:pt>
                <c:pt idx="1">
                  <c:v>0</c:v>
                </c:pt>
                <c:pt idx="2">
                  <c:v>0</c:v>
                </c:pt>
                <c:pt idx="3">
                  <c:v>0</c:v>
                </c:pt>
              </c:numCache>
            </c:numRef>
          </c:val>
          <c:extLst>
            <c:ext xmlns:c16="http://schemas.microsoft.com/office/drawing/2014/chart" uri="{C3380CC4-5D6E-409C-BE32-E72D297353CC}">
              <c16:uniqueId val="{00000008-6DEF-484C-98B4-9ADF17EC7E08}"/>
            </c:ext>
          </c:extLst>
        </c:ser>
        <c:dLbls>
          <c:dLblPos val="ctr"/>
          <c:showLegendKey val="0"/>
          <c:showVal val="0"/>
          <c:showCatName val="0"/>
          <c:showSerName val="0"/>
          <c:showPercent val="1"/>
          <c:showBubbleSize val="0"/>
          <c:showLeaderLines val="0"/>
        </c:dLbls>
        <c:firstSliceAng val="0"/>
      </c:pieChart>
      <c:spPr>
        <a:noFill/>
        <a:ln>
          <a:noFill/>
        </a:ln>
        <a:effectLst>
          <a:softEdge rad="10414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9336432692528"/>
          <c:y val="0.1963686961075452"/>
          <c:w val="0.56233931474947152"/>
          <c:h val="0.7129416702490684"/>
        </c:manualLayout>
      </c:layout>
      <c:pieChart>
        <c:varyColors val="1"/>
        <c:dLbls>
          <c:dLblPos val="ctr"/>
          <c:showLegendKey val="0"/>
          <c:showVal val="0"/>
          <c:showCatName val="0"/>
          <c:showSerName val="0"/>
          <c:showPercent val="1"/>
          <c:showBubbleSize val="0"/>
          <c:showLeaderLines val="0"/>
        </c:dLbls>
        <c:firstSliceAng val="0"/>
      </c:pieChart>
      <c:spPr>
        <a:noFill/>
        <a:ln>
          <a:noFill/>
        </a:ln>
        <a:effectLst>
          <a:softEdge rad="10414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9336432692528"/>
          <c:y val="5.5267409487358331E-2"/>
          <c:w val="0.54070525511790168"/>
          <c:h val="0.8540429964517386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E464-4E1F-B34B-F441439557B7}"/>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464-4E1F-B34B-F441439557B7}"/>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E464-4E1F-B34B-F441439557B7}"/>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E464-4E1F-B34B-F441439557B7}"/>
              </c:ext>
            </c:extLst>
          </c:dPt>
          <c:dLbls>
            <c:numFmt formatCode="0.0%" sourceLinked="0"/>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effectLst/>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numRef>
              <c:f>'Summary (by Institution)'!$AE$10:$AE$13</c:f>
              <c:numCache>
                <c:formatCode>#,##0</c:formatCode>
                <c:ptCount val="4"/>
                <c:pt idx="0">
                  <c:v>0</c:v>
                </c:pt>
                <c:pt idx="1">
                  <c:v>0</c:v>
                </c:pt>
                <c:pt idx="2">
                  <c:v>0</c:v>
                </c:pt>
                <c:pt idx="3">
                  <c:v>0</c:v>
                </c:pt>
              </c:numCache>
            </c:numRef>
          </c:cat>
          <c:val>
            <c:numRef>
              <c:f>'Summary (by System)'!$AE$10:$AE$13</c:f>
              <c:numCache>
                <c:formatCode>#,##0</c:formatCode>
                <c:ptCount val="4"/>
                <c:pt idx="0">
                  <c:v>0</c:v>
                </c:pt>
                <c:pt idx="1">
                  <c:v>0</c:v>
                </c:pt>
                <c:pt idx="2">
                  <c:v>0</c:v>
                </c:pt>
                <c:pt idx="3">
                  <c:v>0</c:v>
                </c:pt>
              </c:numCache>
            </c:numRef>
          </c:val>
          <c:extLst>
            <c:ext xmlns:c16="http://schemas.microsoft.com/office/drawing/2014/chart" uri="{C3380CC4-5D6E-409C-BE32-E72D297353CC}">
              <c16:uniqueId val="{00000008-E464-4E1F-B34B-F441439557B7}"/>
            </c:ext>
          </c:extLst>
        </c:ser>
        <c:dLbls>
          <c:dLblPos val="ctr"/>
          <c:showLegendKey val="0"/>
          <c:showVal val="0"/>
          <c:showCatName val="0"/>
          <c:showSerName val="0"/>
          <c:showPercent val="1"/>
          <c:showBubbleSize val="0"/>
          <c:showLeaderLines val="0"/>
        </c:dLbls>
        <c:firstSliceAng val="0"/>
      </c:pieChart>
      <c:spPr>
        <a:noFill/>
        <a:ln>
          <a:noFill/>
        </a:ln>
        <a:effectLst>
          <a:softEdge rad="10414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9336432692528"/>
          <c:y val="0.1963686961075452"/>
          <c:w val="0.56233931474947152"/>
          <c:h val="0.7129416702490684"/>
        </c:manualLayout>
      </c:layout>
      <c:pieChart>
        <c:varyColors val="1"/>
        <c:dLbls>
          <c:dLblPos val="ctr"/>
          <c:showLegendKey val="0"/>
          <c:showVal val="0"/>
          <c:showCatName val="0"/>
          <c:showSerName val="0"/>
          <c:showPercent val="1"/>
          <c:showBubbleSize val="0"/>
          <c:showLeaderLines val="0"/>
        </c:dLbls>
        <c:firstSliceAng val="0"/>
      </c:pieChart>
      <c:spPr>
        <a:noFill/>
        <a:ln>
          <a:noFill/>
        </a:ln>
        <a:effectLst>
          <a:softEdge rad="10414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9336432692528"/>
          <c:y val="5.5267409487358331E-2"/>
          <c:w val="0.54070525511790168"/>
          <c:h val="0.85404299645173865"/>
        </c:manualLayout>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C76-4876-94C6-A6F6525575D7}"/>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C76-4876-94C6-A6F6525575D7}"/>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C76-4876-94C6-A6F6525575D7}"/>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C76-4876-94C6-A6F6525575D7}"/>
              </c:ext>
            </c:extLst>
          </c:dPt>
          <c:dLbls>
            <c:numFmt formatCode="0.0%" sourceLinked="0"/>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effectLst/>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numRef>
              <c:f>'Summary (by Institution)'!$AE$10:$AE$13</c:f>
              <c:numCache>
                <c:formatCode>#,##0</c:formatCode>
                <c:ptCount val="4"/>
                <c:pt idx="0">
                  <c:v>0</c:v>
                </c:pt>
                <c:pt idx="1">
                  <c:v>0</c:v>
                </c:pt>
                <c:pt idx="2">
                  <c:v>0</c:v>
                </c:pt>
                <c:pt idx="3">
                  <c:v>0</c:v>
                </c:pt>
              </c:numCache>
            </c:numRef>
          </c:cat>
          <c:val>
            <c:numRef>
              <c:f>'Summary (by Institution Type)'!$AE$10:$AE$13</c:f>
              <c:numCache>
                <c:formatCode>#,##0</c:formatCode>
                <c:ptCount val="4"/>
                <c:pt idx="0">
                  <c:v>0</c:v>
                </c:pt>
                <c:pt idx="1">
                  <c:v>0</c:v>
                </c:pt>
                <c:pt idx="2">
                  <c:v>0</c:v>
                </c:pt>
                <c:pt idx="3">
                  <c:v>0</c:v>
                </c:pt>
              </c:numCache>
            </c:numRef>
          </c:val>
          <c:extLst>
            <c:ext xmlns:c16="http://schemas.microsoft.com/office/drawing/2014/chart" uri="{C3380CC4-5D6E-409C-BE32-E72D297353CC}">
              <c16:uniqueId val="{00000008-9C76-4876-94C6-A6F6525575D7}"/>
            </c:ext>
          </c:extLst>
        </c:ser>
        <c:dLbls>
          <c:dLblPos val="ctr"/>
          <c:showLegendKey val="0"/>
          <c:showVal val="0"/>
          <c:showCatName val="0"/>
          <c:showSerName val="0"/>
          <c:showPercent val="1"/>
          <c:showBubbleSize val="0"/>
          <c:showLeaderLines val="0"/>
        </c:dLbls>
        <c:firstSliceAng val="0"/>
      </c:pieChart>
      <c:spPr>
        <a:noFill/>
        <a:ln>
          <a:noFill/>
        </a:ln>
        <a:effectLst>
          <a:softEdge rad="10414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accent1"/>
          </a:solidFill>
          <a:effectLs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3" Type="http://schemas.openxmlformats.org/officeDocument/2006/relationships/hyperlink" Target="#'Contact Information'!A1"/><Relationship Id="rId18" Type="http://schemas.openxmlformats.org/officeDocument/2006/relationships/image" Target="../media/image12.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4.svg"/><Relationship Id="rId34" Type="http://schemas.openxmlformats.org/officeDocument/2006/relationships/hyperlink" Target="#'Summary (by Institution)'!A1"/><Relationship Id="rId7" Type="http://schemas.openxmlformats.org/officeDocument/2006/relationships/hyperlink" Target="#'FTSE | FTFE'!A1"/><Relationship Id="rId12" Type="http://schemas.openxmlformats.org/officeDocument/2006/relationships/image" Target="../media/image8.svg"/><Relationship Id="rId17" Type="http://schemas.openxmlformats.org/officeDocument/2006/relationships/image" Target="../media/image11.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1.png"/><Relationship Id="rId16" Type="http://schemas.openxmlformats.org/officeDocument/2006/relationships/hyperlink" Target="#Definitions!A1"/><Relationship Id="rId20" Type="http://schemas.openxmlformats.org/officeDocument/2006/relationships/image" Target="../media/image13.png"/><Relationship Id="rId29" Type="http://schemas.openxmlformats.org/officeDocument/2006/relationships/image" Target="../media/image19.png"/><Relationship Id="rId1" Type="http://schemas.openxmlformats.org/officeDocument/2006/relationships/hyperlink" Target="#'Tuition &amp; Fees'!A1"/><Relationship Id="rId6" Type="http://schemas.openxmlformats.org/officeDocument/2006/relationships/image" Target="../media/image4.svg"/><Relationship Id="rId11" Type="http://schemas.openxmlformats.org/officeDocument/2006/relationships/image" Target="../media/image7.png"/><Relationship Id="rId24" Type="http://schemas.openxmlformats.org/officeDocument/2006/relationships/image" Target="../media/image1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3.png"/><Relationship Id="rId15" Type="http://schemas.openxmlformats.org/officeDocument/2006/relationships/image" Target="../media/image10.svg"/><Relationship Id="rId23" Type="http://schemas.openxmlformats.org/officeDocument/2006/relationships/image" Target="../media/image1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able of Contents'!A1"/><Relationship Id="rId19" Type="http://schemas.openxmlformats.org/officeDocument/2006/relationships/hyperlink" Target="#'Sources (Revenue)'!A1"/><Relationship Id="rId31" Type="http://schemas.openxmlformats.org/officeDocument/2006/relationships/hyperlink" Target="#'Comparison (by Institution)'!A1"/><Relationship Id="rId4" Type="http://schemas.openxmlformats.org/officeDocument/2006/relationships/hyperlink" Target="#'Academic Cost Study'!A1"/><Relationship Id="rId9" Type="http://schemas.openxmlformats.org/officeDocument/2006/relationships/image" Target="../media/image6.svg"/><Relationship Id="rId14" Type="http://schemas.openxmlformats.org/officeDocument/2006/relationships/image" Target="../media/image9.png"/><Relationship Id="rId22" Type="http://schemas.openxmlformats.org/officeDocument/2006/relationships/hyperlink" Target="#'Uses (Expenditures)'!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5.png"/><Relationship Id="rId3" Type="http://schemas.openxmlformats.org/officeDocument/2006/relationships/image" Target="../media/image2.svg"/></Relationships>
</file>

<file path=xl/drawings/_rels/drawing10.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48.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47.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_rels/drawing11.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50.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49.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_rels/drawing12.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5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5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_rels/drawing13.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54.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3.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_rels/drawing2.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27.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3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2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28.svg"/></Relationships>
</file>

<file path=xl/drawings/_rels/drawing3.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34.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33.png"/><Relationship Id="rId3" Type="http://schemas.openxmlformats.org/officeDocument/2006/relationships/image" Target="../media/image32.svg"/></Relationships>
</file>

<file path=xl/drawings/_rels/drawing4.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3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3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_rels/drawing5.xml.rels><?xml version="1.0" encoding="UTF-8" standalone="yes"?>
<Relationships xmlns="http://schemas.openxmlformats.org/package/2006/relationships"><Relationship Id="rId13" Type="http://schemas.openxmlformats.org/officeDocument/2006/relationships/image" Target="../media/image2.svg"/><Relationship Id="rId18" Type="http://schemas.openxmlformats.org/officeDocument/2006/relationships/image" Target="../media/image13.png"/><Relationship Id="rId26" Type="http://schemas.openxmlformats.org/officeDocument/2006/relationships/hyperlink" Target="#'Summary (by System)'!A1"/><Relationship Id="rId39" Type="http://schemas.openxmlformats.org/officeDocument/2006/relationships/image" Target="../media/image25.png"/><Relationship Id="rId21" Type="http://schemas.openxmlformats.org/officeDocument/2006/relationships/image" Target="../media/image15.png"/><Relationship Id="rId34" Type="http://schemas.openxmlformats.org/officeDocument/2006/relationships/image" Target="../media/image22.svg"/><Relationship Id="rId7" Type="http://schemas.openxmlformats.org/officeDocument/2006/relationships/image" Target="../media/image10.svg"/><Relationship Id="rId12" Type="http://schemas.openxmlformats.org/officeDocument/2006/relationships/image" Target="../media/image1.png"/><Relationship Id="rId17" Type="http://schemas.openxmlformats.org/officeDocument/2006/relationships/hyperlink" Target="#'Sources (Revenue)'!A1"/><Relationship Id="rId25" Type="http://schemas.openxmlformats.org/officeDocument/2006/relationships/image" Target="../media/image6.svg"/><Relationship Id="rId33" Type="http://schemas.openxmlformats.org/officeDocument/2006/relationships/image" Target="../media/image21.png"/><Relationship Id="rId38" Type="http://schemas.openxmlformats.org/officeDocument/2006/relationships/hyperlink" Target="#'Fund Group Detail'!A1"/><Relationship Id="rId2" Type="http://schemas.openxmlformats.org/officeDocument/2006/relationships/hyperlink" Target="#'Table of Contents'!A1"/><Relationship Id="rId16" Type="http://schemas.openxmlformats.org/officeDocument/2006/relationships/image" Target="../media/image4.svg"/><Relationship Id="rId20" Type="http://schemas.openxmlformats.org/officeDocument/2006/relationships/hyperlink" Target="#'Uses (Expenditures)'!A1"/><Relationship Id="rId29" Type="http://schemas.openxmlformats.org/officeDocument/2006/relationships/hyperlink" Target="#'Summary (by Institution Type)'!A1"/><Relationship Id="rId1" Type="http://schemas.openxmlformats.org/officeDocument/2006/relationships/chart" Target="../charts/chart1.xml"/><Relationship Id="rId6" Type="http://schemas.openxmlformats.org/officeDocument/2006/relationships/image" Target="../media/image9.png"/><Relationship Id="rId11" Type="http://schemas.openxmlformats.org/officeDocument/2006/relationships/hyperlink" Target="#'Tuition &amp; Fees'!A1"/><Relationship Id="rId24" Type="http://schemas.openxmlformats.org/officeDocument/2006/relationships/image" Target="../media/image5.png"/><Relationship Id="rId32" Type="http://schemas.openxmlformats.org/officeDocument/2006/relationships/hyperlink" Target="#'Comparison (by Institution)'!A1"/><Relationship Id="rId37" Type="http://schemas.openxmlformats.org/officeDocument/2006/relationships/image" Target="../media/image38.svg"/><Relationship Id="rId40" Type="http://schemas.openxmlformats.org/officeDocument/2006/relationships/image" Target="../media/image26.svg"/><Relationship Id="rId5" Type="http://schemas.openxmlformats.org/officeDocument/2006/relationships/hyperlink" Target="#'Contact Information'!A1"/><Relationship Id="rId15" Type="http://schemas.openxmlformats.org/officeDocument/2006/relationships/image" Target="../media/image3.png"/><Relationship Id="rId23" Type="http://schemas.openxmlformats.org/officeDocument/2006/relationships/hyperlink" Target="#'FTSE | FTFE'!A1"/><Relationship Id="rId28" Type="http://schemas.openxmlformats.org/officeDocument/2006/relationships/image" Target="../media/image18.svg"/><Relationship Id="rId36" Type="http://schemas.openxmlformats.org/officeDocument/2006/relationships/image" Target="../media/image37.png"/><Relationship Id="rId10" Type="http://schemas.openxmlformats.org/officeDocument/2006/relationships/image" Target="../media/image12.svg"/><Relationship Id="rId19" Type="http://schemas.openxmlformats.org/officeDocument/2006/relationships/image" Target="../media/image14.svg"/><Relationship Id="rId31" Type="http://schemas.openxmlformats.org/officeDocument/2006/relationships/image" Target="../media/image20.svg"/><Relationship Id="rId4" Type="http://schemas.openxmlformats.org/officeDocument/2006/relationships/image" Target="../media/image32.svg"/><Relationship Id="rId9" Type="http://schemas.openxmlformats.org/officeDocument/2006/relationships/image" Target="../media/image11.png"/><Relationship Id="rId14" Type="http://schemas.openxmlformats.org/officeDocument/2006/relationships/hyperlink" Target="#'Academic Cost Study'!A1"/><Relationship Id="rId22" Type="http://schemas.openxmlformats.org/officeDocument/2006/relationships/image" Target="../media/image16.svg"/><Relationship Id="rId27" Type="http://schemas.openxmlformats.org/officeDocument/2006/relationships/image" Target="../media/image17.png"/><Relationship Id="rId30" Type="http://schemas.openxmlformats.org/officeDocument/2006/relationships/image" Target="../media/image19.png"/><Relationship Id="rId35" Type="http://schemas.openxmlformats.org/officeDocument/2006/relationships/hyperlink" Target="#'Summary (by Institution)'!A1"/><Relationship Id="rId8" Type="http://schemas.openxmlformats.org/officeDocument/2006/relationships/hyperlink" Target="#Definitions!A1"/><Relationship Id="rId3" Type="http://schemas.openxmlformats.org/officeDocument/2006/relationships/image" Target="../media/image31.png"/></Relationships>
</file>

<file path=xl/drawings/_rels/drawing6.xml.rels><?xml version="1.0" encoding="UTF-8" standalone="yes"?>
<Relationships xmlns="http://schemas.openxmlformats.org/package/2006/relationships"><Relationship Id="rId13" Type="http://schemas.openxmlformats.org/officeDocument/2006/relationships/image" Target="../media/image1.png"/><Relationship Id="rId18" Type="http://schemas.openxmlformats.org/officeDocument/2006/relationships/hyperlink" Target="#'Sources (Revenue)'!A1"/><Relationship Id="rId26" Type="http://schemas.openxmlformats.org/officeDocument/2006/relationships/image" Target="../media/image6.svg"/><Relationship Id="rId39" Type="http://schemas.openxmlformats.org/officeDocument/2006/relationships/hyperlink" Target="#'Fund Group Detail'!A1"/><Relationship Id="rId21" Type="http://schemas.openxmlformats.org/officeDocument/2006/relationships/hyperlink" Target="#'Uses (Expenditures)'!A1"/><Relationship Id="rId34" Type="http://schemas.openxmlformats.org/officeDocument/2006/relationships/image" Target="../media/image21.png"/><Relationship Id="rId7" Type="http://schemas.openxmlformats.org/officeDocument/2006/relationships/image" Target="../media/image9.png"/><Relationship Id="rId2" Type="http://schemas.openxmlformats.org/officeDocument/2006/relationships/chart" Target="../charts/chart3.xml"/><Relationship Id="rId16" Type="http://schemas.openxmlformats.org/officeDocument/2006/relationships/image" Target="../media/image3.png"/><Relationship Id="rId20" Type="http://schemas.openxmlformats.org/officeDocument/2006/relationships/image" Target="../media/image14.svg"/><Relationship Id="rId29" Type="http://schemas.openxmlformats.org/officeDocument/2006/relationships/image" Target="../media/image40.svg"/><Relationship Id="rId41" Type="http://schemas.openxmlformats.org/officeDocument/2006/relationships/image" Target="../media/image26.svg"/><Relationship Id="rId1" Type="http://schemas.openxmlformats.org/officeDocument/2006/relationships/chart" Target="../charts/chart2.xml"/><Relationship Id="rId6" Type="http://schemas.openxmlformats.org/officeDocument/2006/relationships/hyperlink" Target="#'Contact Information'!A1"/><Relationship Id="rId11" Type="http://schemas.openxmlformats.org/officeDocument/2006/relationships/image" Target="../media/image12.svg"/><Relationship Id="rId24" Type="http://schemas.openxmlformats.org/officeDocument/2006/relationships/hyperlink" Target="#'FTSE | FTFE'!A1"/><Relationship Id="rId32" Type="http://schemas.openxmlformats.org/officeDocument/2006/relationships/image" Target="../media/image20.svg"/><Relationship Id="rId37" Type="http://schemas.openxmlformats.org/officeDocument/2006/relationships/image" Target="../media/image23.png"/><Relationship Id="rId40" Type="http://schemas.openxmlformats.org/officeDocument/2006/relationships/image" Target="../media/image25.png"/><Relationship Id="rId5" Type="http://schemas.openxmlformats.org/officeDocument/2006/relationships/image" Target="../media/image32.svg"/><Relationship Id="rId15" Type="http://schemas.openxmlformats.org/officeDocument/2006/relationships/hyperlink" Target="#'Academic Cost Study'!A1"/><Relationship Id="rId23" Type="http://schemas.openxmlformats.org/officeDocument/2006/relationships/image" Target="../media/image16.svg"/><Relationship Id="rId28" Type="http://schemas.openxmlformats.org/officeDocument/2006/relationships/image" Target="../media/image39.png"/><Relationship Id="rId36" Type="http://schemas.openxmlformats.org/officeDocument/2006/relationships/hyperlink" Target="#'Summary (by Institution)'!A1"/><Relationship Id="rId10" Type="http://schemas.openxmlformats.org/officeDocument/2006/relationships/image" Target="../media/image11.png"/><Relationship Id="rId19" Type="http://schemas.openxmlformats.org/officeDocument/2006/relationships/image" Target="../media/image13.png"/><Relationship Id="rId31" Type="http://schemas.openxmlformats.org/officeDocument/2006/relationships/image" Target="../media/image19.png"/><Relationship Id="rId4" Type="http://schemas.openxmlformats.org/officeDocument/2006/relationships/image" Target="../media/image31.png"/><Relationship Id="rId9" Type="http://schemas.openxmlformats.org/officeDocument/2006/relationships/hyperlink" Target="#Definitions!A1"/><Relationship Id="rId14" Type="http://schemas.openxmlformats.org/officeDocument/2006/relationships/image" Target="../media/image2.svg"/><Relationship Id="rId22" Type="http://schemas.openxmlformats.org/officeDocument/2006/relationships/image" Target="../media/image15.png"/><Relationship Id="rId27" Type="http://schemas.openxmlformats.org/officeDocument/2006/relationships/hyperlink" Target="#'Summary (by System)'!A1"/><Relationship Id="rId30" Type="http://schemas.openxmlformats.org/officeDocument/2006/relationships/hyperlink" Target="#'Summary (by Institution Type)'!A1"/><Relationship Id="rId35" Type="http://schemas.openxmlformats.org/officeDocument/2006/relationships/image" Target="../media/image22.svg"/><Relationship Id="rId8" Type="http://schemas.openxmlformats.org/officeDocument/2006/relationships/image" Target="../media/image10.svg"/><Relationship Id="rId3" Type="http://schemas.openxmlformats.org/officeDocument/2006/relationships/hyperlink" Target="#'Table of Contents'!A1"/><Relationship Id="rId12" Type="http://schemas.openxmlformats.org/officeDocument/2006/relationships/hyperlink" Target="#'Tuition &amp; Fees'!A1"/><Relationship Id="rId17" Type="http://schemas.openxmlformats.org/officeDocument/2006/relationships/image" Target="../media/image4.svg"/><Relationship Id="rId25" Type="http://schemas.openxmlformats.org/officeDocument/2006/relationships/image" Target="../media/image5.png"/><Relationship Id="rId33" Type="http://schemas.openxmlformats.org/officeDocument/2006/relationships/hyperlink" Target="#'Comparison (by Institution)'!A1"/><Relationship Id="rId38" Type="http://schemas.openxmlformats.org/officeDocument/2006/relationships/image" Target="../media/image24.svg"/></Relationships>
</file>

<file path=xl/drawings/_rels/drawing7.xml.rels><?xml version="1.0" encoding="UTF-8" standalone="yes"?>
<Relationships xmlns="http://schemas.openxmlformats.org/package/2006/relationships"><Relationship Id="rId13" Type="http://schemas.openxmlformats.org/officeDocument/2006/relationships/image" Target="../media/image1.png"/><Relationship Id="rId18" Type="http://schemas.openxmlformats.org/officeDocument/2006/relationships/hyperlink" Target="#'Sources (Revenue)'!A1"/><Relationship Id="rId26" Type="http://schemas.openxmlformats.org/officeDocument/2006/relationships/image" Target="../media/image6.svg"/><Relationship Id="rId39" Type="http://schemas.openxmlformats.org/officeDocument/2006/relationships/hyperlink" Target="#'Fund Group Detail'!A1"/><Relationship Id="rId21" Type="http://schemas.openxmlformats.org/officeDocument/2006/relationships/hyperlink" Target="#'Uses (Expenditures)'!A1"/><Relationship Id="rId34" Type="http://schemas.openxmlformats.org/officeDocument/2006/relationships/image" Target="../media/image21.png"/><Relationship Id="rId7" Type="http://schemas.openxmlformats.org/officeDocument/2006/relationships/image" Target="../media/image9.png"/><Relationship Id="rId2" Type="http://schemas.openxmlformats.org/officeDocument/2006/relationships/chart" Target="../charts/chart5.xml"/><Relationship Id="rId16" Type="http://schemas.openxmlformats.org/officeDocument/2006/relationships/image" Target="../media/image3.png"/><Relationship Id="rId20" Type="http://schemas.openxmlformats.org/officeDocument/2006/relationships/image" Target="../media/image14.svg"/><Relationship Id="rId29" Type="http://schemas.openxmlformats.org/officeDocument/2006/relationships/image" Target="../media/image18.svg"/><Relationship Id="rId41" Type="http://schemas.openxmlformats.org/officeDocument/2006/relationships/image" Target="../media/image26.svg"/><Relationship Id="rId1" Type="http://schemas.openxmlformats.org/officeDocument/2006/relationships/chart" Target="../charts/chart4.xml"/><Relationship Id="rId6" Type="http://schemas.openxmlformats.org/officeDocument/2006/relationships/hyperlink" Target="#'Contact Information'!A1"/><Relationship Id="rId11" Type="http://schemas.openxmlformats.org/officeDocument/2006/relationships/image" Target="../media/image12.svg"/><Relationship Id="rId24" Type="http://schemas.openxmlformats.org/officeDocument/2006/relationships/hyperlink" Target="#'FTSE | FTFE'!A1"/><Relationship Id="rId32" Type="http://schemas.openxmlformats.org/officeDocument/2006/relationships/image" Target="../media/image42.svg"/><Relationship Id="rId37" Type="http://schemas.openxmlformats.org/officeDocument/2006/relationships/image" Target="../media/image23.png"/><Relationship Id="rId40" Type="http://schemas.openxmlformats.org/officeDocument/2006/relationships/image" Target="../media/image25.png"/><Relationship Id="rId5" Type="http://schemas.openxmlformats.org/officeDocument/2006/relationships/image" Target="../media/image32.svg"/><Relationship Id="rId15" Type="http://schemas.openxmlformats.org/officeDocument/2006/relationships/hyperlink" Target="#'Academic Cost Study'!A1"/><Relationship Id="rId23" Type="http://schemas.openxmlformats.org/officeDocument/2006/relationships/image" Target="../media/image16.svg"/><Relationship Id="rId28" Type="http://schemas.openxmlformats.org/officeDocument/2006/relationships/image" Target="../media/image17.png"/><Relationship Id="rId36" Type="http://schemas.openxmlformats.org/officeDocument/2006/relationships/hyperlink" Target="#'Summary (by Institution)'!A1"/><Relationship Id="rId10" Type="http://schemas.openxmlformats.org/officeDocument/2006/relationships/image" Target="../media/image11.png"/><Relationship Id="rId19" Type="http://schemas.openxmlformats.org/officeDocument/2006/relationships/image" Target="../media/image13.png"/><Relationship Id="rId31" Type="http://schemas.openxmlformats.org/officeDocument/2006/relationships/image" Target="../media/image41.png"/><Relationship Id="rId4" Type="http://schemas.openxmlformats.org/officeDocument/2006/relationships/image" Target="../media/image31.png"/><Relationship Id="rId9" Type="http://schemas.openxmlformats.org/officeDocument/2006/relationships/hyperlink" Target="#Definitions!A1"/><Relationship Id="rId14" Type="http://schemas.openxmlformats.org/officeDocument/2006/relationships/image" Target="../media/image2.svg"/><Relationship Id="rId22" Type="http://schemas.openxmlformats.org/officeDocument/2006/relationships/image" Target="../media/image15.png"/><Relationship Id="rId27" Type="http://schemas.openxmlformats.org/officeDocument/2006/relationships/hyperlink" Target="#'Summary (by System)'!A1"/><Relationship Id="rId30" Type="http://schemas.openxmlformats.org/officeDocument/2006/relationships/hyperlink" Target="#'Summary (by Institution Type)'!A1"/><Relationship Id="rId35" Type="http://schemas.openxmlformats.org/officeDocument/2006/relationships/image" Target="../media/image22.svg"/><Relationship Id="rId8" Type="http://schemas.openxmlformats.org/officeDocument/2006/relationships/image" Target="../media/image10.svg"/><Relationship Id="rId3" Type="http://schemas.openxmlformats.org/officeDocument/2006/relationships/hyperlink" Target="#'Table of Contents'!A1"/><Relationship Id="rId12" Type="http://schemas.openxmlformats.org/officeDocument/2006/relationships/hyperlink" Target="#'Tuition &amp; Fees'!A1"/><Relationship Id="rId17" Type="http://schemas.openxmlformats.org/officeDocument/2006/relationships/image" Target="../media/image4.svg"/><Relationship Id="rId25" Type="http://schemas.openxmlformats.org/officeDocument/2006/relationships/image" Target="../media/image5.png"/><Relationship Id="rId33" Type="http://schemas.openxmlformats.org/officeDocument/2006/relationships/hyperlink" Target="#'Comparison (by Institution)'!A1"/><Relationship Id="rId38" Type="http://schemas.openxmlformats.org/officeDocument/2006/relationships/image" Target="../media/image24.svg"/></Relationships>
</file>

<file path=xl/drawings/_rels/drawing8.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14.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13.png"/><Relationship Id="rId25" Type="http://schemas.openxmlformats.org/officeDocument/2006/relationships/hyperlink" Target="#'Summary (by System)'!A1"/><Relationship Id="rId33" Type="http://schemas.openxmlformats.org/officeDocument/2006/relationships/image" Target="../media/image44.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43.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_rels/drawing9.xml.rels><?xml version="1.0" encoding="UTF-8" standalone="yes"?>
<Relationships xmlns="http://schemas.openxmlformats.org/package/2006/relationships"><Relationship Id="rId13" Type="http://schemas.openxmlformats.org/officeDocument/2006/relationships/hyperlink" Target="#'Academic Cost Study'!A1"/><Relationship Id="rId18" Type="http://schemas.openxmlformats.org/officeDocument/2006/relationships/image" Target="../media/image46.svg"/><Relationship Id="rId26" Type="http://schemas.openxmlformats.org/officeDocument/2006/relationships/image" Target="../media/image17.png"/><Relationship Id="rId39" Type="http://schemas.openxmlformats.org/officeDocument/2006/relationships/image" Target="../media/image26.svg"/><Relationship Id="rId21" Type="http://schemas.openxmlformats.org/officeDocument/2006/relationships/image" Target="../media/image16.svg"/><Relationship Id="rId34" Type="http://schemas.openxmlformats.org/officeDocument/2006/relationships/hyperlink" Target="#'Summary (by Institution)'!A1"/><Relationship Id="rId7" Type="http://schemas.openxmlformats.org/officeDocument/2006/relationships/hyperlink" Target="#Definitions!A1"/><Relationship Id="rId12" Type="http://schemas.openxmlformats.org/officeDocument/2006/relationships/image" Target="../media/image2.svg"/><Relationship Id="rId17" Type="http://schemas.openxmlformats.org/officeDocument/2006/relationships/image" Target="../media/image45.png"/><Relationship Id="rId25" Type="http://schemas.openxmlformats.org/officeDocument/2006/relationships/hyperlink" Target="#'Summary (by System)'!A1"/><Relationship Id="rId33" Type="http://schemas.openxmlformats.org/officeDocument/2006/relationships/image" Target="../media/image22.svg"/><Relationship Id="rId38" Type="http://schemas.openxmlformats.org/officeDocument/2006/relationships/image" Target="../media/image25.png"/><Relationship Id="rId2" Type="http://schemas.openxmlformats.org/officeDocument/2006/relationships/image" Target="../media/image31.png"/><Relationship Id="rId16" Type="http://schemas.openxmlformats.org/officeDocument/2006/relationships/hyperlink" Target="#'Sources (Revenue)'!A1"/><Relationship Id="rId20" Type="http://schemas.openxmlformats.org/officeDocument/2006/relationships/image" Target="../media/image15.png"/><Relationship Id="rId29" Type="http://schemas.openxmlformats.org/officeDocument/2006/relationships/image" Target="../media/image19.png"/><Relationship Id="rId1" Type="http://schemas.openxmlformats.org/officeDocument/2006/relationships/hyperlink" Target="#'Table of Contents'!A1"/><Relationship Id="rId6" Type="http://schemas.openxmlformats.org/officeDocument/2006/relationships/image" Target="../media/image10.svg"/><Relationship Id="rId11" Type="http://schemas.openxmlformats.org/officeDocument/2006/relationships/image" Target="../media/image1.png"/><Relationship Id="rId24" Type="http://schemas.openxmlformats.org/officeDocument/2006/relationships/image" Target="../media/image6.svg"/><Relationship Id="rId32" Type="http://schemas.openxmlformats.org/officeDocument/2006/relationships/image" Target="../media/image21.png"/><Relationship Id="rId37" Type="http://schemas.openxmlformats.org/officeDocument/2006/relationships/hyperlink" Target="#'Fund Group Detail'!A1"/><Relationship Id="rId5" Type="http://schemas.openxmlformats.org/officeDocument/2006/relationships/image" Target="../media/image9.png"/><Relationship Id="rId15" Type="http://schemas.openxmlformats.org/officeDocument/2006/relationships/image" Target="../media/image4.svg"/><Relationship Id="rId23" Type="http://schemas.openxmlformats.org/officeDocument/2006/relationships/image" Target="../media/image5.png"/><Relationship Id="rId28" Type="http://schemas.openxmlformats.org/officeDocument/2006/relationships/hyperlink" Target="#'Summary (by Institution Type)'!A1"/><Relationship Id="rId36" Type="http://schemas.openxmlformats.org/officeDocument/2006/relationships/image" Target="../media/image24.svg"/><Relationship Id="rId10" Type="http://schemas.openxmlformats.org/officeDocument/2006/relationships/hyperlink" Target="#'Tuition &amp; Fees'!A1"/><Relationship Id="rId19" Type="http://schemas.openxmlformats.org/officeDocument/2006/relationships/hyperlink" Target="#'Uses (Expenditures)'!A1"/><Relationship Id="rId31" Type="http://schemas.openxmlformats.org/officeDocument/2006/relationships/hyperlink" Target="#'Comparison (by Institution)'!A1"/><Relationship Id="rId4" Type="http://schemas.openxmlformats.org/officeDocument/2006/relationships/hyperlink" Target="#'Contact Information'!A1"/><Relationship Id="rId9" Type="http://schemas.openxmlformats.org/officeDocument/2006/relationships/image" Target="../media/image12.svg"/><Relationship Id="rId14" Type="http://schemas.openxmlformats.org/officeDocument/2006/relationships/image" Target="../media/image3.png"/><Relationship Id="rId22" Type="http://schemas.openxmlformats.org/officeDocument/2006/relationships/hyperlink" Target="#'FTSE | FTFE'!A1"/><Relationship Id="rId27" Type="http://schemas.openxmlformats.org/officeDocument/2006/relationships/image" Target="../media/image18.svg"/><Relationship Id="rId30" Type="http://schemas.openxmlformats.org/officeDocument/2006/relationships/image" Target="../media/image20.svg"/><Relationship Id="rId35" Type="http://schemas.openxmlformats.org/officeDocument/2006/relationships/image" Target="../media/image23.png"/><Relationship Id="rId8" Type="http://schemas.openxmlformats.org/officeDocument/2006/relationships/image" Target="../media/image11.png"/><Relationship Id="rId3" Type="http://schemas.openxmlformats.org/officeDocument/2006/relationships/image" Target="../media/image32.svg"/></Relationships>
</file>

<file path=xl/drawings/drawing1.xml><?xml version="1.0" encoding="utf-8"?>
<xdr:wsDr xmlns:xdr="http://schemas.openxmlformats.org/drawingml/2006/spreadsheetDrawing" xmlns:a="http://schemas.openxmlformats.org/drawingml/2006/main">
  <xdr:twoCellAnchor>
    <xdr:from>
      <xdr:col>0</xdr:col>
      <xdr:colOff>222738</xdr:colOff>
      <xdr:row>29</xdr:row>
      <xdr:rowOff>175755</xdr:rowOff>
    </xdr:from>
    <xdr:to>
      <xdr:col>5</xdr:col>
      <xdr:colOff>472826</xdr:colOff>
      <xdr:row>31</xdr:row>
      <xdr:rowOff>310224</xdr:rowOff>
    </xdr:to>
    <xdr:grpSp>
      <xdr:nvGrpSpPr>
        <xdr:cNvPr id="89" name="Group 88">
          <a:extLst>
            <a:ext uri="{FF2B5EF4-FFF2-40B4-BE49-F238E27FC236}">
              <a16:creationId xmlns:a16="http://schemas.microsoft.com/office/drawing/2014/main" id="{4DF27270-18AE-24DD-2DC1-A6B5F5C97233}"/>
            </a:ext>
          </a:extLst>
        </xdr:cNvPr>
        <xdr:cNvGrpSpPr/>
      </xdr:nvGrpSpPr>
      <xdr:grpSpPr>
        <a:xfrm>
          <a:off x="222738" y="11224755"/>
          <a:ext cx="3298088" cy="896469"/>
          <a:chOff x="231396" y="10123616"/>
          <a:chExt cx="3175624" cy="896469"/>
        </a:xfrm>
      </xdr:grpSpPr>
      <xdr:sp macro="" textlink="">
        <xdr:nvSpPr>
          <xdr:cNvPr id="117" name="Rectangle: Rounded Corners 116">
            <a:hlinkClick xmlns:r="http://schemas.openxmlformats.org/officeDocument/2006/relationships" r:id="rId1"/>
            <a:extLst>
              <a:ext uri="{FF2B5EF4-FFF2-40B4-BE49-F238E27FC236}">
                <a16:creationId xmlns:a16="http://schemas.microsoft.com/office/drawing/2014/main" id="{1819534D-8BE2-DF62-A7BB-D50DB379A5E4}"/>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118" name="Graphic 117" descr="Bar graph with downward trend with solid fill">
            <a:hlinkClick xmlns:r="http://schemas.openxmlformats.org/officeDocument/2006/relationships" r:id="rId1"/>
            <a:extLst>
              <a:ext uri="{FF2B5EF4-FFF2-40B4-BE49-F238E27FC236}">
                <a16:creationId xmlns:a16="http://schemas.microsoft.com/office/drawing/2014/main" id="{7580973D-5B73-169B-F9BD-212913D5F6C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0144631"/>
            <a:ext cx="775580" cy="775580"/>
          </a:xfrm>
          <a:prstGeom prst="rect">
            <a:avLst/>
          </a:prstGeom>
        </xdr:spPr>
      </xdr:pic>
    </xdr:grpSp>
    <xdr:clientData/>
  </xdr:twoCellAnchor>
  <xdr:twoCellAnchor>
    <xdr:from>
      <xdr:col>0</xdr:col>
      <xdr:colOff>222738</xdr:colOff>
      <xdr:row>26</xdr:row>
      <xdr:rowOff>319463</xdr:rowOff>
    </xdr:from>
    <xdr:to>
      <xdr:col>5</xdr:col>
      <xdr:colOff>472826</xdr:colOff>
      <xdr:row>29</xdr:row>
      <xdr:rowOff>72932</xdr:rowOff>
    </xdr:to>
    <xdr:grpSp>
      <xdr:nvGrpSpPr>
        <xdr:cNvPr id="90" name="Group 89">
          <a:extLst>
            <a:ext uri="{FF2B5EF4-FFF2-40B4-BE49-F238E27FC236}">
              <a16:creationId xmlns:a16="http://schemas.microsoft.com/office/drawing/2014/main" id="{34699DA2-E5B2-3A28-C147-4D5738BEF3E7}"/>
            </a:ext>
          </a:extLst>
        </xdr:cNvPr>
        <xdr:cNvGrpSpPr/>
      </xdr:nvGrpSpPr>
      <xdr:grpSpPr>
        <a:xfrm>
          <a:off x="222738" y="10225463"/>
          <a:ext cx="3298088" cy="896469"/>
          <a:chOff x="231396" y="9218130"/>
          <a:chExt cx="3175624" cy="896469"/>
        </a:xfrm>
      </xdr:grpSpPr>
      <xdr:sp macro="" textlink="">
        <xdr:nvSpPr>
          <xdr:cNvPr id="115" name="Rectangle: Rounded Corners 114">
            <a:hlinkClick xmlns:r="http://schemas.openxmlformats.org/officeDocument/2006/relationships" r:id="rId4"/>
            <a:extLst>
              <a:ext uri="{FF2B5EF4-FFF2-40B4-BE49-F238E27FC236}">
                <a16:creationId xmlns:a16="http://schemas.microsoft.com/office/drawing/2014/main" id="{F48FD04B-918E-E5A1-04B6-43C18B7893D2}"/>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116" name="Graphic 115" descr="Bar graph with upward trend with solid fill">
            <a:hlinkClick xmlns:r="http://schemas.openxmlformats.org/officeDocument/2006/relationships" r:id="rId4"/>
            <a:extLst>
              <a:ext uri="{FF2B5EF4-FFF2-40B4-BE49-F238E27FC236}">
                <a16:creationId xmlns:a16="http://schemas.microsoft.com/office/drawing/2014/main" id="{B6565217-17EB-8D7A-B1BC-9EFFD946CD0C}"/>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9240267"/>
            <a:ext cx="775580" cy="775580"/>
          </a:xfrm>
          <a:prstGeom prst="rect">
            <a:avLst/>
          </a:prstGeom>
        </xdr:spPr>
      </xdr:pic>
    </xdr:grpSp>
    <xdr:clientData/>
  </xdr:twoCellAnchor>
  <xdr:twoCellAnchor>
    <xdr:from>
      <xdr:col>0</xdr:col>
      <xdr:colOff>222738</xdr:colOff>
      <xdr:row>32</xdr:row>
      <xdr:rowOff>32052</xdr:rowOff>
    </xdr:from>
    <xdr:to>
      <xdr:col>5</xdr:col>
      <xdr:colOff>472826</xdr:colOff>
      <xdr:row>34</xdr:row>
      <xdr:rowOff>166521</xdr:rowOff>
    </xdr:to>
    <xdr:grpSp>
      <xdr:nvGrpSpPr>
        <xdr:cNvPr id="93" name="Group 92">
          <a:extLst>
            <a:ext uri="{FF2B5EF4-FFF2-40B4-BE49-F238E27FC236}">
              <a16:creationId xmlns:a16="http://schemas.microsoft.com/office/drawing/2014/main" id="{B712FE3F-0E51-952E-76A1-15A826AA866A}"/>
            </a:ext>
          </a:extLst>
        </xdr:cNvPr>
        <xdr:cNvGrpSpPr/>
      </xdr:nvGrpSpPr>
      <xdr:grpSpPr>
        <a:xfrm>
          <a:off x="222738" y="12224052"/>
          <a:ext cx="3298088" cy="896469"/>
          <a:chOff x="231396" y="11029098"/>
          <a:chExt cx="3175624" cy="896469"/>
        </a:xfrm>
      </xdr:grpSpPr>
      <xdr:sp macro="" textlink="">
        <xdr:nvSpPr>
          <xdr:cNvPr id="109" name="Rectangle: Rounded Corners 108">
            <a:hlinkClick xmlns:r="http://schemas.openxmlformats.org/officeDocument/2006/relationships" r:id="rId7"/>
            <a:extLst>
              <a:ext uri="{FF2B5EF4-FFF2-40B4-BE49-F238E27FC236}">
                <a16:creationId xmlns:a16="http://schemas.microsoft.com/office/drawing/2014/main" id="{5E39D2FB-47B3-8D92-CEFE-7EE6408D4432}"/>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110" name="Graphic 109" descr="Users with solid fill">
            <a:hlinkClick xmlns:r="http://schemas.openxmlformats.org/officeDocument/2006/relationships" r:id="rId7"/>
            <a:extLst>
              <a:ext uri="{FF2B5EF4-FFF2-40B4-BE49-F238E27FC236}">
                <a16:creationId xmlns:a16="http://schemas.microsoft.com/office/drawing/2014/main" id="{DE0C363C-2090-6622-301D-AB0B529C07A2}"/>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11049000"/>
            <a:ext cx="775580" cy="775580"/>
          </a:xfrm>
          <a:prstGeom prst="rect">
            <a:avLst/>
          </a:prstGeom>
        </xdr:spPr>
      </xdr:pic>
    </xdr:grpSp>
    <xdr:clientData/>
  </xdr:twoCellAnchor>
  <xdr:twoCellAnchor editAs="absolute">
    <xdr:from>
      <xdr:col>0</xdr:col>
      <xdr:colOff>27214</xdr:colOff>
      <xdr:row>0</xdr:row>
      <xdr:rowOff>27214</xdr:rowOff>
    </xdr:from>
    <xdr:to>
      <xdr:col>5</xdr:col>
      <xdr:colOff>512618</xdr:colOff>
      <xdr:row>34</xdr:row>
      <xdr:rowOff>338941</xdr:rowOff>
    </xdr:to>
    <xdr:grpSp>
      <xdr:nvGrpSpPr>
        <xdr:cNvPr id="167" name="Group 166">
          <a:extLst>
            <a:ext uri="{FF2B5EF4-FFF2-40B4-BE49-F238E27FC236}">
              <a16:creationId xmlns:a16="http://schemas.microsoft.com/office/drawing/2014/main" id="{8911AF1F-0C58-4512-A3C6-B9ADE90B64C7}"/>
            </a:ext>
          </a:extLst>
        </xdr:cNvPr>
        <xdr:cNvGrpSpPr/>
      </xdr:nvGrpSpPr>
      <xdr:grpSpPr>
        <a:xfrm>
          <a:off x="27214" y="27214"/>
          <a:ext cx="3533404" cy="13265727"/>
          <a:chOff x="51954" y="51955"/>
          <a:chExt cx="3636819" cy="13265727"/>
        </a:xfrm>
      </xdr:grpSpPr>
      <xdr:sp macro="" textlink="">
        <xdr:nvSpPr>
          <xdr:cNvPr id="168" name="Rectangle: Rounded Corners 167">
            <a:extLst>
              <a:ext uri="{FF2B5EF4-FFF2-40B4-BE49-F238E27FC236}">
                <a16:creationId xmlns:a16="http://schemas.microsoft.com/office/drawing/2014/main" id="{F856E5DD-1043-FBC1-6566-5506BDAF41E9}"/>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169" name="Group 168">
            <a:hlinkClick xmlns:r="http://schemas.openxmlformats.org/officeDocument/2006/relationships" r:id="rId10"/>
            <a:extLst>
              <a:ext uri="{FF2B5EF4-FFF2-40B4-BE49-F238E27FC236}">
                <a16:creationId xmlns:a16="http://schemas.microsoft.com/office/drawing/2014/main" id="{CD216FC9-D824-0D28-21DE-BD13D5F53232}"/>
              </a:ext>
            </a:extLst>
          </xdr:cNvPr>
          <xdr:cNvGrpSpPr/>
        </xdr:nvGrpSpPr>
        <xdr:grpSpPr>
          <a:xfrm>
            <a:off x="274692" y="253113"/>
            <a:ext cx="3175624" cy="902746"/>
            <a:chOff x="231396" y="131885"/>
            <a:chExt cx="3175624" cy="902746"/>
          </a:xfrm>
        </xdr:grpSpPr>
        <xdr:sp macro="" textlink="">
          <xdr:nvSpPr>
            <xdr:cNvPr id="206" name="Rectangle: Rounded Corners 205">
              <a:extLst>
                <a:ext uri="{FF2B5EF4-FFF2-40B4-BE49-F238E27FC236}">
                  <a16:creationId xmlns:a16="http://schemas.microsoft.com/office/drawing/2014/main" id="{F6DADEE4-D436-646F-CC3A-AA7411ED2AA6}"/>
                </a:ext>
              </a:extLst>
            </xdr:cNvPr>
            <xdr:cNvSpPr/>
          </xdr:nvSpPr>
          <xdr:spPr>
            <a:xfrm>
              <a:off x="231396" y="131885"/>
              <a:ext cx="3175624" cy="902746"/>
            </a:xfrm>
            <a:prstGeom prst="roundRect">
              <a:avLst/>
            </a:prstGeom>
            <a:ln w="9525">
              <a:solidFill>
                <a:schemeClr val="tx1"/>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ctr"/>
            <a:lstStyle/>
            <a:p>
              <a:pPr lvl="0" algn="r"/>
              <a:r>
                <a:rPr lang="en-US" sz="1400" b="1">
                  <a:solidFill>
                    <a:sysClr val="windowText" lastClr="000000"/>
                  </a:solidFill>
                  <a:latin typeface="Georgia" panose="02040502050405020303" pitchFamily="18" charset="0"/>
                </a:rPr>
                <a:t>Table</a:t>
              </a:r>
              <a:r>
                <a:rPr lang="en-US" sz="1400" b="1" baseline="0">
                  <a:solidFill>
                    <a:sysClr val="windowText" lastClr="000000"/>
                  </a:solidFill>
                  <a:latin typeface="Georgia" panose="02040502050405020303" pitchFamily="18" charset="0"/>
                </a:rPr>
                <a:t> of Contents</a:t>
              </a:r>
              <a:endParaRPr lang="en-US" sz="1400" b="1">
                <a:solidFill>
                  <a:sysClr val="windowText" lastClr="000000"/>
                </a:solidFill>
                <a:latin typeface="Georgia" panose="02040502050405020303" pitchFamily="18" charset="0"/>
              </a:endParaRPr>
            </a:p>
          </xdr:txBody>
        </xdr:sp>
        <xdr:pic>
          <xdr:nvPicPr>
            <xdr:cNvPr id="207" name="Graphic 206" descr="Home with solid fill">
              <a:hlinkClick xmlns:r="http://schemas.openxmlformats.org/officeDocument/2006/relationships" r:id="rId10"/>
              <a:extLst>
                <a:ext uri="{FF2B5EF4-FFF2-40B4-BE49-F238E27FC236}">
                  <a16:creationId xmlns:a16="http://schemas.microsoft.com/office/drawing/2014/main" id="{240D935C-1268-57CD-23FB-A474EC7ECA82}"/>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96627"/>
              <a:ext cx="775580" cy="775580"/>
            </a:xfrm>
            <a:prstGeom prst="rect">
              <a:avLst/>
            </a:prstGeom>
          </xdr:spPr>
        </xdr:pic>
      </xdr:grpSp>
      <xdr:grpSp>
        <xdr:nvGrpSpPr>
          <xdr:cNvPr id="170" name="Group 169">
            <a:extLst>
              <a:ext uri="{FF2B5EF4-FFF2-40B4-BE49-F238E27FC236}">
                <a16:creationId xmlns:a16="http://schemas.microsoft.com/office/drawing/2014/main" id="{AB7E9EAF-138F-47E1-ACDA-710A355A5842}"/>
              </a:ext>
            </a:extLst>
          </xdr:cNvPr>
          <xdr:cNvGrpSpPr/>
        </xdr:nvGrpSpPr>
        <xdr:grpSpPr>
          <a:xfrm>
            <a:off x="274692" y="1258682"/>
            <a:ext cx="3175624" cy="902746"/>
            <a:chOff x="231396" y="1043648"/>
            <a:chExt cx="3175624" cy="902746"/>
          </a:xfrm>
        </xdr:grpSpPr>
        <xdr:sp macro="" textlink="">
          <xdr:nvSpPr>
            <xdr:cNvPr id="204" name="Rectangle: Rounded Corners 203">
              <a:hlinkClick xmlns:r="http://schemas.openxmlformats.org/officeDocument/2006/relationships" r:id="rId13"/>
              <a:extLst>
                <a:ext uri="{FF2B5EF4-FFF2-40B4-BE49-F238E27FC236}">
                  <a16:creationId xmlns:a16="http://schemas.microsoft.com/office/drawing/2014/main" id="{778347FB-76D0-9F33-EB32-A87867E36EB4}"/>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205" name="Graphic 204" descr="Address Book with solid fill">
              <a:hlinkClick xmlns:r="http://schemas.openxmlformats.org/officeDocument/2006/relationships" r:id="rId13"/>
              <a:extLst>
                <a:ext uri="{FF2B5EF4-FFF2-40B4-BE49-F238E27FC236}">
                  <a16:creationId xmlns:a16="http://schemas.microsoft.com/office/drawing/2014/main" id="{F9031B75-6201-A6D0-ADC2-408A7A2B83BB}"/>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1100991"/>
              <a:ext cx="765589" cy="775580"/>
            </a:xfrm>
            <a:prstGeom prst="rect">
              <a:avLst/>
            </a:prstGeom>
          </xdr:spPr>
        </xdr:pic>
      </xdr:grpSp>
      <xdr:grpSp>
        <xdr:nvGrpSpPr>
          <xdr:cNvPr id="171" name="Group 170">
            <a:extLst>
              <a:ext uri="{FF2B5EF4-FFF2-40B4-BE49-F238E27FC236}">
                <a16:creationId xmlns:a16="http://schemas.microsoft.com/office/drawing/2014/main" id="{20598ED0-F49A-276A-37B7-9A87BDA3808E}"/>
              </a:ext>
            </a:extLst>
          </xdr:cNvPr>
          <xdr:cNvGrpSpPr/>
        </xdr:nvGrpSpPr>
        <xdr:grpSpPr>
          <a:xfrm>
            <a:off x="274692" y="2264251"/>
            <a:ext cx="3175624" cy="902744"/>
            <a:chOff x="231396" y="1955411"/>
            <a:chExt cx="3175624" cy="902744"/>
          </a:xfrm>
        </xdr:grpSpPr>
        <xdr:sp macro="" textlink="">
          <xdr:nvSpPr>
            <xdr:cNvPr id="202" name="Rectangle: Rounded Corners 201">
              <a:hlinkClick xmlns:r="http://schemas.openxmlformats.org/officeDocument/2006/relationships" r:id="rId16"/>
              <a:extLst>
                <a:ext uri="{FF2B5EF4-FFF2-40B4-BE49-F238E27FC236}">
                  <a16:creationId xmlns:a16="http://schemas.microsoft.com/office/drawing/2014/main" id="{72A092CE-936F-B712-E99A-247707D090F6}"/>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203" name="Graphic 202" descr="Closed book with solid fill">
              <a:hlinkClick xmlns:r="http://schemas.openxmlformats.org/officeDocument/2006/relationships" r:id="rId16"/>
              <a:extLst>
                <a:ext uri="{FF2B5EF4-FFF2-40B4-BE49-F238E27FC236}">
                  <a16:creationId xmlns:a16="http://schemas.microsoft.com/office/drawing/2014/main" id="{071F63A0-9193-22C7-F84E-9991E4DD6D74}"/>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2005355"/>
              <a:ext cx="765589" cy="775580"/>
            </a:xfrm>
            <a:prstGeom prst="rect">
              <a:avLst/>
            </a:prstGeom>
          </xdr:spPr>
        </xdr:pic>
      </xdr:grpSp>
      <xdr:grpSp>
        <xdr:nvGrpSpPr>
          <xdr:cNvPr id="172" name="Group 171">
            <a:extLst>
              <a:ext uri="{FF2B5EF4-FFF2-40B4-BE49-F238E27FC236}">
                <a16:creationId xmlns:a16="http://schemas.microsoft.com/office/drawing/2014/main" id="{12F2805C-BEB7-2313-F61D-86564DAC9D29}"/>
              </a:ext>
            </a:extLst>
          </xdr:cNvPr>
          <xdr:cNvGrpSpPr/>
        </xdr:nvGrpSpPr>
        <xdr:grpSpPr>
          <a:xfrm>
            <a:off x="274692" y="11276710"/>
            <a:ext cx="3175624" cy="896469"/>
            <a:chOff x="231396" y="10123616"/>
            <a:chExt cx="3175624" cy="896469"/>
          </a:xfrm>
        </xdr:grpSpPr>
        <xdr:sp macro="" textlink="">
          <xdr:nvSpPr>
            <xdr:cNvPr id="200" name="Rectangle: Rounded Corners 199">
              <a:hlinkClick xmlns:r="http://schemas.openxmlformats.org/officeDocument/2006/relationships" r:id="rId1"/>
              <a:extLst>
                <a:ext uri="{FF2B5EF4-FFF2-40B4-BE49-F238E27FC236}">
                  <a16:creationId xmlns:a16="http://schemas.microsoft.com/office/drawing/2014/main" id="{B14D69B6-BF4B-AFD0-12E9-3E9BD3292680}"/>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201" name="Graphic 200" descr="Bar graph with downward trend with solid fill">
              <a:hlinkClick xmlns:r="http://schemas.openxmlformats.org/officeDocument/2006/relationships" r:id="rId1"/>
              <a:extLst>
                <a:ext uri="{FF2B5EF4-FFF2-40B4-BE49-F238E27FC236}">
                  <a16:creationId xmlns:a16="http://schemas.microsoft.com/office/drawing/2014/main" id="{3BD3BE28-E858-9C21-FA68-352C16A7F01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0144631"/>
              <a:ext cx="775580" cy="775580"/>
            </a:xfrm>
            <a:prstGeom prst="rect">
              <a:avLst/>
            </a:prstGeom>
          </xdr:spPr>
        </xdr:pic>
      </xdr:grpSp>
      <xdr:grpSp>
        <xdr:nvGrpSpPr>
          <xdr:cNvPr id="173" name="Group 172">
            <a:extLst>
              <a:ext uri="{FF2B5EF4-FFF2-40B4-BE49-F238E27FC236}">
                <a16:creationId xmlns:a16="http://schemas.microsoft.com/office/drawing/2014/main" id="{40ECFA1F-4927-B38C-B96D-ACC01821D7E3}"/>
              </a:ext>
            </a:extLst>
          </xdr:cNvPr>
          <xdr:cNvGrpSpPr/>
        </xdr:nvGrpSpPr>
        <xdr:grpSpPr>
          <a:xfrm>
            <a:off x="274692" y="10277418"/>
            <a:ext cx="3175624" cy="896469"/>
            <a:chOff x="231396" y="9218130"/>
            <a:chExt cx="3175624" cy="896469"/>
          </a:xfrm>
        </xdr:grpSpPr>
        <xdr:sp macro="" textlink="">
          <xdr:nvSpPr>
            <xdr:cNvPr id="198" name="Rectangle: Rounded Corners 197">
              <a:hlinkClick xmlns:r="http://schemas.openxmlformats.org/officeDocument/2006/relationships" r:id="rId4"/>
              <a:extLst>
                <a:ext uri="{FF2B5EF4-FFF2-40B4-BE49-F238E27FC236}">
                  <a16:creationId xmlns:a16="http://schemas.microsoft.com/office/drawing/2014/main" id="{19CE8F45-489D-D6DF-2B7A-F97ED0CA64D6}"/>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199" name="Graphic 198" descr="Bar graph with upward trend with solid fill">
              <a:hlinkClick xmlns:r="http://schemas.openxmlformats.org/officeDocument/2006/relationships" r:id="rId4"/>
              <a:extLst>
                <a:ext uri="{FF2B5EF4-FFF2-40B4-BE49-F238E27FC236}">
                  <a16:creationId xmlns:a16="http://schemas.microsoft.com/office/drawing/2014/main" id="{65E22811-0D9B-73C6-AA3A-B24DFC0F9FC3}"/>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9240267"/>
              <a:ext cx="775580" cy="775580"/>
            </a:xfrm>
            <a:prstGeom prst="rect">
              <a:avLst/>
            </a:prstGeom>
          </xdr:spPr>
        </xdr:pic>
      </xdr:grpSp>
      <xdr:grpSp>
        <xdr:nvGrpSpPr>
          <xdr:cNvPr id="174" name="Group 173">
            <a:extLst>
              <a:ext uri="{FF2B5EF4-FFF2-40B4-BE49-F238E27FC236}">
                <a16:creationId xmlns:a16="http://schemas.microsoft.com/office/drawing/2014/main" id="{DD72BAB2-2718-00BE-8893-FD056442DBE9}"/>
              </a:ext>
            </a:extLst>
          </xdr:cNvPr>
          <xdr:cNvGrpSpPr/>
        </xdr:nvGrpSpPr>
        <xdr:grpSpPr>
          <a:xfrm>
            <a:off x="274692" y="8278833"/>
            <a:ext cx="3175624" cy="896470"/>
            <a:chOff x="231396" y="7407157"/>
            <a:chExt cx="3175624" cy="896470"/>
          </a:xfrm>
        </xdr:grpSpPr>
        <xdr:sp macro="" textlink="">
          <xdr:nvSpPr>
            <xdr:cNvPr id="196" name="Rectangle: Rounded Corners 195">
              <a:hlinkClick xmlns:r="http://schemas.openxmlformats.org/officeDocument/2006/relationships" r:id="rId19"/>
              <a:extLst>
                <a:ext uri="{FF2B5EF4-FFF2-40B4-BE49-F238E27FC236}">
                  <a16:creationId xmlns:a16="http://schemas.microsoft.com/office/drawing/2014/main" id="{95CDB212-2704-AA4C-C611-BD521F0B6895}"/>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197" name="Graphic 196" descr="Books with solid fill">
              <a:hlinkClick xmlns:r="http://schemas.openxmlformats.org/officeDocument/2006/relationships" r:id="rId19"/>
              <a:extLst>
                <a:ext uri="{FF2B5EF4-FFF2-40B4-BE49-F238E27FC236}">
                  <a16:creationId xmlns:a16="http://schemas.microsoft.com/office/drawing/2014/main" id="{BD26F36A-2C3D-E7D8-776B-29894EE50B34}"/>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7431539"/>
              <a:ext cx="775580" cy="775580"/>
            </a:xfrm>
            <a:prstGeom prst="rect">
              <a:avLst/>
            </a:prstGeom>
          </xdr:spPr>
        </xdr:pic>
      </xdr:grpSp>
      <xdr:grpSp>
        <xdr:nvGrpSpPr>
          <xdr:cNvPr id="175" name="Group 174">
            <a:extLst>
              <a:ext uri="{FF2B5EF4-FFF2-40B4-BE49-F238E27FC236}">
                <a16:creationId xmlns:a16="http://schemas.microsoft.com/office/drawing/2014/main" id="{D848B790-4567-3FE8-5AD3-0D4911BC5D2D}"/>
              </a:ext>
            </a:extLst>
          </xdr:cNvPr>
          <xdr:cNvGrpSpPr/>
        </xdr:nvGrpSpPr>
        <xdr:grpSpPr>
          <a:xfrm>
            <a:off x="274692" y="9278126"/>
            <a:ext cx="3175624" cy="896469"/>
            <a:chOff x="231396" y="8312644"/>
            <a:chExt cx="3175624" cy="896469"/>
          </a:xfrm>
        </xdr:grpSpPr>
        <xdr:sp macro="" textlink="">
          <xdr:nvSpPr>
            <xdr:cNvPr id="194" name="Rectangle: Rounded Corners 193">
              <a:hlinkClick xmlns:r="http://schemas.openxmlformats.org/officeDocument/2006/relationships" r:id="rId22"/>
              <a:extLst>
                <a:ext uri="{FF2B5EF4-FFF2-40B4-BE49-F238E27FC236}">
                  <a16:creationId xmlns:a16="http://schemas.microsoft.com/office/drawing/2014/main" id="{CDC7A01D-0692-2297-5C31-D5F528567D05}"/>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195" name="Graphic 194" descr="Books on shelf with solid fill">
              <a:hlinkClick xmlns:r="http://schemas.openxmlformats.org/officeDocument/2006/relationships" r:id="rId22"/>
              <a:extLst>
                <a:ext uri="{FF2B5EF4-FFF2-40B4-BE49-F238E27FC236}">
                  <a16:creationId xmlns:a16="http://schemas.microsoft.com/office/drawing/2014/main" id="{5EC97BEA-9364-72E7-B0F4-ADAB0DEBAC72}"/>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8335903"/>
              <a:ext cx="775580" cy="775580"/>
            </a:xfrm>
            <a:prstGeom prst="rect">
              <a:avLst/>
            </a:prstGeom>
          </xdr:spPr>
        </xdr:pic>
      </xdr:grpSp>
      <xdr:grpSp>
        <xdr:nvGrpSpPr>
          <xdr:cNvPr id="176" name="Group 175">
            <a:extLst>
              <a:ext uri="{FF2B5EF4-FFF2-40B4-BE49-F238E27FC236}">
                <a16:creationId xmlns:a16="http://schemas.microsoft.com/office/drawing/2014/main" id="{679CF1C0-72D9-1F90-4C7E-BBD17319F861}"/>
              </a:ext>
            </a:extLst>
          </xdr:cNvPr>
          <xdr:cNvGrpSpPr/>
        </xdr:nvGrpSpPr>
        <xdr:grpSpPr>
          <a:xfrm>
            <a:off x="274692" y="12276007"/>
            <a:ext cx="3175624" cy="896469"/>
            <a:chOff x="231396" y="11029098"/>
            <a:chExt cx="3175624" cy="896469"/>
          </a:xfrm>
        </xdr:grpSpPr>
        <xdr:sp macro="" textlink="">
          <xdr:nvSpPr>
            <xdr:cNvPr id="192" name="Rectangle: Rounded Corners 191">
              <a:hlinkClick xmlns:r="http://schemas.openxmlformats.org/officeDocument/2006/relationships" r:id="rId7"/>
              <a:extLst>
                <a:ext uri="{FF2B5EF4-FFF2-40B4-BE49-F238E27FC236}">
                  <a16:creationId xmlns:a16="http://schemas.microsoft.com/office/drawing/2014/main" id="{2D671C68-7FDC-A017-79C9-6A0F58C96884}"/>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193" name="Graphic 192" descr="Users with solid fill">
              <a:hlinkClick xmlns:r="http://schemas.openxmlformats.org/officeDocument/2006/relationships" r:id="rId7"/>
              <a:extLst>
                <a:ext uri="{FF2B5EF4-FFF2-40B4-BE49-F238E27FC236}">
                  <a16:creationId xmlns:a16="http://schemas.microsoft.com/office/drawing/2014/main" id="{DFD04FCC-D7C9-0EC3-D0FD-4E2958917B26}"/>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11049000"/>
              <a:ext cx="775580" cy="775580"/>
            </a:xfrm>
            <a:prstGeom prst="rect">
              <a:avLst/>
            </a:prstGeom>
          </xdr:spPr>
        </xdr:pic>
      </xdr:grpSp>
      <xdr:grpSp>
        <xdr:nvGrpSpPr>
          <xdr:cNvPr id="177" name="Group 176">
            <a:extLst>
              <a:ext uri="{FF2B5EF4-FFF2-40B4-BE49-F238E27FC236}">
                <a16:creationId xmlns:a16="http://schemas.microsoft.com/office/drawing/2014/main" id="{BC1E1B14-3FA7-3F6A-005E-5ECFF4BEB650}"/>
              </a:ext>
            </a:extLst>
          </xdr:cNvPr>
          <xdr:cNvGrpSpPr/>
        </xdr:nvGrpSpPr>
        <xdr:grpSpPr>
          <a:xfrm>
            <a:off x="274692" y="5280956"/>
            <a:ext cx="3175624" cy="896469"/>
            <a:chOff x="231396" y="4690698"/>
            <a:chExt cx="3175624" cy="896469"/>
          </a:xfrm>
        </xdr:grpSpPr>
        <xdr:sp macro="" textlink="">
          <xdr:nvSpPr>
            <xdr:cNvPr id="190" name="Rectangle: Rounded Corners 189">
              <a:hlinkClick xmlns:r="http://schemas.openxmlformats.org/officeDocument/2006/relationships" r:id="rId25"/>
              <a:extLst>
                <a:ext uri="{FF2B5EF4-FFF2-40B4-BE49-F238E27FC236}">
                  <a16:creationId xmlns:a16="http://schemas.microsoft.com/office/drawing/2014/main" id="{C36C9847-3AD2-CAF8-C3DE-D87E829FC875}"/>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191" name="Graphic 190" descr="Hierarchy with solid fill">
              <a:extLst>
                <a:ext uri="{FF2B5EF4-FFF2-40B4-BE49-F238E27FC236}">
                  <a16:creationId xmlns:a16="http://schemas.microsoft.com/office/drawing/2014/main" id="{466B7F4E-9A0A-F15D-F7A4-FD6E0FB02460}"/>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178" name="Group 177">
            <a:extLst>
              <a:ext uri="{FF2B5EF4-FFF2-40B4-BE49-F238E27FC236}">
                <a16:creationId xmlns:a16="http://schemas.microsoft.com/office/drawing/2014/main" id="{8CD4D4B0-ADAB-4320-2F01-C16FAED24A54}"/>
              </a:ext>
            </a:extLst>
          </xdr:cNvPr>
          <xdr:cNvGrpSpPr/>
        </xdr:nvGrpSpPr>
        <xdr:grpSpPr>
          <a:xfrm>
            <a:off x="274692" y="6280248"/>
            <a:ext cx="3175624" cy="896469"/>
            <a:chOff x="231396" y="5596184"/>
            <a:chExt cx="3175624" cy="896469"/>
          </a:xfrm>
        </xdr:grpSpPr>
        <xdr:sp macro="" textlink="">
          <xdr:nvSpPr>
            <xdr:cNvPr id="188" name="Rectangle: Rounded Corners 187">
              <a:hlinkClick xmlns:r="http://schemas.openxmlformats.org/officeDocument/2006/relationships" r:id="rId28"/>
              <a:extLst>
                <a:ext uri="{FF2B5EF4-FFF2-40B4-BE49-F238E27FC236}">
                  <a16:creationId xmlns:a16="http://schemas.microsoft.com/office/drawing/2014/main" id="{4A287415-B7DC-74BF-1547-C083D3412B82}"/>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189" name="Graphic 188" descr="Postit Notes with solid fill">
              <a:hlinkClick xmlns:r="http://schemas.openxmlformats.org/officeDocument/2006/relationships" r:id="rId28"/>
              <a:extLst>
                <a:ext uri="{FF2B5EF4-FFF2-40B4-BE49-F238E27FC236}">
                  <a16:creationId xmlns:a16="http://schemas.microsoft.com/office/drawing/2014/main" id="{7FD55190-6A2B-40D3-3DCA-80183D460B8D}"/>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179" name="Group 178">
            <a:extLst>
              <a:ext uri="{FF2B5EF4-FFF2-40B4-BE49-F238E27FC236}">
                <a16:creationId xmlns:a16="http://schemas.microsoft.com/office/drawing/2014/main" id="{D3F2F949-B43E-0E00-0B9A-132EEB1CBBCE}"/>
              </a:ext>
            </a:extLst>
          </xdr:cNvPr>
          <xdr:cNvGrpSpPr/>
        </xdr:nvGrpSpPr>
        <xdr:grpSpPr>
          <a:xfrm>
            <a:off x="274692" y="7279540"/>
            <a:ext cx="3175624" cy="896470"/>
            <a:chOff x="231396" y="6501670"/>
            <a:chExt cx="3175624" cy="896470"/>
          </a:xfrm>
        </xdr:grpSpPr>
        <xdr:sp macro="" textlink="">
          <xdr:nvSpPr>
            <xdr:cNvPr id="186" name="Rectangle: Rounded Corners 185">
              <a:hlinkClick xmlns:r="http://schemas.openxmlformats.org/officeDocument/2006/relationships" r:id="rId31"/>
              <a:extLst>
                <a:ext uri="{FF2B5EF4-FFF2-40B4-BE49-F238E27FC236}">
                  <a16:creationId xmlns:a16="http://schemas.microsoft.com/office/drawing/2014/main" id="{0AD8B34C-EC1D-BF26-BEAC-D59DB4C57278}"/>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187" name="Graphic 186" descr="Signal with solid fill">
              <a:hlinkClick xmlns:r="http://schemas.openxmlformats.org/officeDocument/2006/relationships" r:id="rId31"/>
              <a:extLst>
                <a:ext uri="{FF2B5EF4-FFF2-40B4-BE49-F238E27FC236}">
                  <a16:creationId xmlns:a16="http://schemas.microsoft.com/office/drawing/2014/main" id="{3031149C-2AAF-168F-4A9E-67487835013E}"/>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180" name="Group 179">
            <a:extLst>
              <a:ext uri="{FF2B5EF4-FFF2-40B4-BE49-F238E27FC236}">
                <a16:creationId xmlns:a16="http://schemas.microsoft.com/office/drawing/2014/main" id="{F307069C-9259-5072-B308-C6831E793072}"/>
              </a:ext>
            </a:extLst>
          </xdr:cNvPr>
          <xdr:cNvGrpSpPr/>
        </xdr:nvGrpSpPr>
        <xdr:grpSpPr>
          <a:xfrm>
            <a:off x="274692" y="4275387"/>
            <a:ext cx="3175624" cy="902746"/>
            <a:chOff x="231396" y="3778935"/>
            <a:chExt cx="3175624" cy="902746"/>
          </a:xfrm>
        </xdr:grpSpPr>
        <xdr:sp macro="" textlink="">
          <xdr:nvSpPr>
            <xdr:cNvPr id="184" name="Rectangle: Rounded Corners 183">
              <a:hlinkClick xmlns:r="http://schemas.openxmlformats.org/officeDocument/2006/relationships" r:id="rId34"/>
              <a:extLst>
                <a:ext uri="{FF2B5EF4-FFF2-40B4-BE49-F238E27FC236}">
                  <a16:creationId xmlns:a16="http://schemas.microsoft.com/office/drawing/2014/main" id="{EDB19687-A614-4EA3-54D2-02D7BCEDF0E9}"/>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185" name="Graphic 184" descr="Document with solid fill">
              <a:hlinkClick xmlns:r="http://schemas.openxmlformats.org/officeDocument/2006/relationships" r:id="rId34"/>
              <a:extLst>
                <a:ext uri="{FF2B5EF4-FFF2-40B4-BE49-F238E27FC236}">
                  <a16:creationId xmlns:a16="http://schemas.microsoft.com/office/drawing/2014/main" id="{F7FF3F0D-A1C5-080C-8FF8-7E413E4DCE5C}"/>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181" name="Group 180">
            <a:extLst>
              <a:ext uri="{FF2B5EF4-FFF2-40B4-BE49-F238E27FC236}">
                <a16:creationId xmlns:a16="http://schemas.microsoft.com/office/drawing/2014/main" id="{0B3ABED2-C32B-7B6F-BB04-696F7AE3D2CA}"/>
              </a:ext>
            </a:extLst>
          </xdr:cNvPr>
          <xdr:cNvGrpSpPr/>
        </xdr:nvGrpSpPr>
        <xdr:grpSpPr>
          <a:xfrm>
            <a:off x="274692" y="3269818"/>
            <a:ext cx="3175624" cy="902746"/>
            <a:chOff x="231396" y="2867172"/>
            <a:chExt cx="3175624" cy="902746"/>
          </a:xfrm>
        </xdr:grpSpPr>
        <xdr:sp macro="" textlink="">
          <xdr:nvSpPr>
            <xdr:cNvPr id="182" name="Rectangle: Rounded Corners 181">
              <a:hlinkClick xmlns:r="http://schemas.openxmlformats.org/officeDocument/2006/relationships" r:id="rId37"/>
              <a:extLst>
                <a:ext uri="{FF2B5EF4-FFF2-40B4-BE49-F238E27FC236}">
                  <a16:creationId xmlns:a16="http://schemas.microsoft.com/office/drawing/2014/main" id="{5DEEFBE9-B659-7FF8-47DE-D03C99AE0E8C}"/>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183" name="Graphic 182" descr="Soundwave with solid fill">
              <a:hlinkClick xmlns:r="http://schemas.openxmlformats.org/officeDocument/2006/relationships" r:id="rId37"/>
              <a:extLst>
                <a:ext uri="{FF2B5EF4-FFF2-40B4-BE49-F238E27FC236}">
                  <a16:creationId xmlns:a16="http://schemas.microsoft.com/office/drawing/2014/main" id="{C9A0D4A5-67AF-F4EF-7FB8-A55747F2081B}"/>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338941</xdr:rowOff>
    </xdr:to>
    <xdr:grpSp>
      <xdr:nvGrpSpPr>
        <xdr:cNvPr id="44" name="Group 43">
          <a:extLst>
            <a:ext uri="{FF2B5EF4-FFF2-40B4-BE49-F238E27FC236}">
              <a16:creationId xmlns:a16="http://schemas.microsoft.com/office/drawing/2014/main" id="{F33B4DFB-E662-4A75-9B20-6F61C219DC2D}"/>
            </a:ext>
          </a:extLst>
        </xdr:cNvPr>
        <xdr:cNvGrpSpPr>
          <a:grpSpLocks noChangeAspect="1"/>
        </xdr:cNvGrpSpPr>
      </xdr:nvGrpSpPr>
      <xdr:grpSpPr>
        <a:xfrm>
          <a:off x="27214" y="27214"/>
          <a:ext cx="3524696" cy="13265727"/>
          <a:chOff x="51954" y="51955"/>
          <a:chExt cx="3636819" cy="13265727"/>
        </a:xfrm>
      </xdr:grpSpPr>
      <xdr:sp macro="" textlink="">
        <xdr:nvSpPr>
          <xdr:cNvPr id="45" name="Rectangle: Rounded Corners 44">
            <a:extLst>
              <a:ext uri="{FF2B5EF4-FFF2-40B4-BE49-F238E27FC236}">
                <a16:creationId xmlns:a16="http://schemas.microsoft.com/office/drawing/2014/main" id="{1D8F9E11-1AAE-742E-9BEC-43AD4D360792}"/>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46" name="Group 45">
            <a:hlinkClick xmlns:r="http://schemas.openxmlformats.org/officeDocument/2006/relationships" r:id="rId1"/>
            <a:extLst>
              <a:ext uri="{FF2B5EF4-FFF2-40B4-BE49-F238E27FC236}">
                <a16:creationId xmlns:a16="http://schemas.microsoft.com/office/drawing/2014/main" id="{2C3E74A5-7AD0-3792-34D6-2E3397E5673D}"/>
              </a:ext>
            </a:extLst>
          </xdr:cNvPr>
          <xdr:cNvGrpSpPr/>
        </xdr:nvGrpSpPr>
        <xdr:grpSpPr>
          <a:xfrm>
            <a:off x="274692" y="253113"/>
            <a:ext cx="3175624" cy="902746"/>
            <a:chOff x="231396" y="131885"/>
            <a:chExt cx="3175624" cy="902746"/>
          </a:xfrm>
        </xdr:grpSpPr>
        <xdr:sp macro="" textlink="">
          <xdr:nvSpPr>
            <xdr:cNvPr id="83" name="Rectangle: Rounded Corners 82">
              <a:extLst>
                <a:ext uri="{FF2B5EF4-FFF2-40B4-BE49-F238E27FC236}">
                  <a16:creationId xmlns:a16="http://schemas.microsoft.com/office/drawing/2014/main" id="{E7053F85-BB17-ECDD-6B07-714A46E5496B}"/>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84" name="Graphic 83" descr="Home with solid fill">
              <a:hlinkClick xmlns:r="http://schemas.openxmlformats.org/officeDocument/2006/relationships" r:id="rId1"/>
              <a:extLst>
                <a:ext uri="{FF2B5EF4-FFF2-40B4-BE49-F238E27FC236}">
                  <a16:creationId xmlns:a16="http://schemas.microsoft.com/office/drawing/2014/main" id="{B844D269-32AE-484E-DC57-3E9949268CD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47" name="Group 46">
            <a:extLst>
              <a:ext uri="{FF2B5EF4-FFF2-40B4-BE49-F238E27FC236}">
                <a16:creationId xmlns:a16="http://schemas.microsoft.com/office/drawing/2014/main" id="{939D3728-64E0-FB2C-D683-EDD58AE6C6E4}"/>
              </a:ext>
            </a:extLst>
          </xdr:cNvPr>
          <xdr:cNvGrpSpPr/>
        </xdr:nvGrpSpPr>
        <xdr:grpSpPr>
          <a:xfrm>
            <a:off x="274692" y="1258682"/>
            <a:ext cx="3175624" cy="902746"/>
            <a:chOff x="231396" y="1043648"/>
            <a:chExt cx="3175624" cy="902746"/>
          </a:xfrm>
        </xdr:grpSpPr>
        <xdr:sp macro="" textlink="">
          <xdr:nvSpPr>
            <xdr:cNvPr id="81" name="Rectangle: Rounded Corners 80">
              <a:hlinkClick xmlns:r="http://schemas.openxmlformats.org/officeDocument/2006/relationships" r:id="rId4"/>
              <a:extLst>
                <a:ext uri="{FF2B5EF4-FFF2-40B4-BE49-F238E27FC236}">
                  <a16:creationId xmlns:a16="http://schemas.microsoft.com/office/drawing/2014/main" id="{DD63D6F2-5065-F3C6-C816-C03FF92DF708}"/>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82" name="Graphic 81" descr="Address Book with solid fill">
              <a:hlinkClick xmlns:r="http://schemas.openxmlformats.org/officeDocument/2006/relationships" r:id="rId4"/>
              <a:extLst>
                <a:ext uri="{FF2B5EF4-FFF2-40B4-BE49-F238E27FC236}">
                  <a16:creationId xmlns:a16="http://schemas.microsoft.com/office/drawing/2014/main" id="{3E7FE47A-C9A8-5ACE-5F7A-754563229C49}"/>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48" name="Group 47">
            <a:extLst>
              <a:ext uri="{FF2B5EF4-FFF2-40B4-BE49-F238E27FC236}">
                <a16:creationId xmlns:a16="http://schemas.microsoft.com/office/drawing/2014/main" id="{FF74FE6F-84F1-F237-04A6-F6809C1C4C02}"/>
              </a:ext>
            </a:extLst>
          </xdr:cNvPr>
          <xdr:cNvGrpSpPr/>
        </xdr:nvGrpSpPr>
        <xdr:grpSpPr>
          <a:xfrm>
            <a:off x="274692" y="2264251"/>
            <a:ext cx="3175624" cy="902744"/>
            <a:chOff x="231396" y="1955411"/>
            <a:chExt cx="3175624" cy="902744"/>
          </a:xfrm>
        </xdr:grpSpPr>
        <xdr:sp macro="" textlink="">
          <xdr:nvSpPr>
            <xdr:cNvPr id="79" name="Rectangle: Rounded Corners 78">
              <a:hlinkClick xmlns:r="http://schemas.openxmlformats.org/officeDocument/2006/relationships" r:id="rId7"/>
              <a:extLst>
                <a:ext uri="{FF2B5EF4-FFF2-40B4-BE49-F238E27FC236}">
                  <a16:creationId xmlns:a16="http://schemas.microsoft.com/office/drawing/2014/main" id="{71065002-ADAA-2E70-842F-B087AFDDF5EB}"/>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80" name="Graphic 79" descr="Closed book with solid fill">
              <a:hlinkClick xmlns:r="http://schemas.openxmlformats.org/officeDocument/2006/relationships" r:id="rId7"/>
              <a:extLst>
                <a:ext uri="{FF2B5EF4-FFF2-40B4-BE49-F238E27FC236}">
                  <a16:creationId xmlns:a16="http://schemas.microsoft.com/office/drawing/2014/main" id="{906BCCC7-7672-983C-6712-B8719BCE2E27}"/>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49" name="Group 48">
            <a:extLst>
              <a:ext uri="{FF2B5EF4-FFF2-40B4-BE49-F238E27FC236}">
                <a16:creationId xmlns:a16="http://schemas.microsoft.com/office/drawing/2014/main" id="{1D572B0B-82EA-FA99-BE56-3228493C9F80}"/>
              </a:ext>
            </a:extLst>
          </xdr:cNvPr>
          <xdr:cNvGrpSpPr/>
        </xdr:nvGrpSpPr>
        <xdr:grpSpPr>
          <a:xfrm>
            <a:off x="274692" y="11276710"/>
            <a:ext cx="3175624" cy="896469"/>
            <a:chOff x="231396" y="10123616"/>
            <a:chExt cx="3175624" cy="896469"/>
          </a:xfrm>
        </xdr:grpSpPr>
        <xdr:sp macro="" textlink="">
          <xdr:nvSpPr>
            <xdr:cNvPr id="77" name="Rectangle: Rounded Corners 76">
              <a:hlinkClick xmlns:r="http://schemas.openxmlformats.org/officeDocument/2006/relationships" r:id="rId10"/>
              <a:extLst>
                <a:ext uri="{FF2B5EF4-FFF2-40B4-BE49-F238E27FC236}">
                  <a16:creationId xmlns:a16="http://schemas.microsoft.com/office/drawing/2014/main" id="{1EAD2D12-ACF0-29C6-2049-E53AD919DAC6}"/>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78" name="Graphic 77" descr="Bar graph with downward trend with solid fill">
              <a:hlinkClick xmlns:r="http://schemas.openxmlformats.org/officeDocument/2006/relationships" r:id="rId10"/>
              <a:extLst>
                <a:ext uri="{FF2B5EF4-FFF2-40B4-BE49-F238E27FC236}">
                  <a16:creationId xmlns:a16="http://schemas.microsoft.com/office/drawing/2014/main" id="{5C3C8421-7F24-B995-D216-97FB0FEFD52F}"/>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50" name="Group 49">
            <a:extLst>
              <a:ext uri="{FF2B5EF4-FFF2-40B4-BE49-F238E27FC236}">
                <a16:creationId xmlns:a16="http://schemas.microsoft.com/office/drawing/2014/main" id="{DCCFB855-073A-C597-593E-0666251374E0}"/>
              </a:ext>
            </a:extLst>
          </xdr:cNvPr>
          <xdr:cNvGrpSpPr/>
        </xdr:nvGrpSpPr>
        <xdr:grpSpPr>
          <a:xfrm>
            <a:off x="274692" y="10277418"/>
            <a:ext cx="3175624" cy="896469"/>
            <a:chOff x="231396" y="9218130"/>
            <a:chExt cx="3175624" cy="896469"/>
          </a:xfrm>
        </xdr:grpSpPr>
        <xdr:sp macro="" textlink="">
          <xdr:nvSpPr>
            <xdr:cNvPr id="75" name="Rectangle: Rounded Corners 74">
              <a:hlinkClick xmlns:r="http://schemas.openxmlformats.org/officeDocument/2006/relationships" r:id="rId13"/>
              <a:extLst>
                <a:ext uri="{FF2B5EF4-FFF2-40B4-BE49-F238E27FC236}">
                  <a16:creationId xmlns:a16="http://schemas.microsoft.com/office/drawing/2014/main" id="{C14663F1-A4EE-8A94-4D68-8DE8F44F13A4}"/>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76" name="Graphic 75" descr="Bar graph with upward trend with solid fill">
              <a:hlinkClick xmlns:r="http://schemas.openxmlformats.org/officeDocument/2006/relationships" r:id="rId13"/>
              <a:extLst>
                <a:ext uri="{FF2B5EF4-FFF2-40B4-BE49-F238E27FC236}">
                  <a16:creationId xmlns:a16="http://schemas.microsoft.com/office/drawing/2014/main" id="{3857E74C-9581-8ACB-A4F2-67E3B74B4F00}"/>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51" name="Group 50">
            <a:extLst>
              <a:ext uri="{FF2B5EF4-FFF2-40B4-BE49-F238E27FC236}">
                <a16:creationId xmlns:a16="http://schemas.microsoft.com/office/drawing/2014/main" id="{8928794E-1D1F-7D89-D328-2F3B0288ADAC}"/>
              </a:ext>
            </a:extLst>
          </xdr:cNvPr>
          <xdr:cNvGrpSpPr/>
        </xdr:nvGrpSpPr>
        <xdr:grpSpPr>
          <a:xfrm>
            <a:off x="274692" y="8278833"/>
            <a:ext cx="3175624" cy="896470"/>
            <a:chOff x="231396" y="7407157"/>
            <a:chExt cx="3175624" cy="896470"/>
          </a:xfrm>
        </xdr:grpSpPr>
        <xdr:sp macro="" textlink="">
          <xdr:nvSpPr>
            <xdr:cNvPr id="73" name="Rectangle: Rounded Corners 72">
              <a:hlinkClick xmlns:r="http://schemas.openxmlformats.org/officeDocument/2006/relationships" r:id="rId16"/>
              <a:extLst>
                <a:ext uri="{FF2B5EF4-FFF2-40B4-BE49-F238E27FC236}">
                  <a16:creationId xmlns:a16="http://schemas.microsoft.com/office/drawing/2014/main" id="{3F30D42A-E135-EB6E-5029-8D1A32297D94}"/>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74" name="Graphic 73" descr="Books with solid fill">
              <a:hlinkClick xmlns:r="http://schemas.openxmlformats.org/officeDocument/2006/relationships" r:id="rId16"/>
              <a:extLst>
                <a:ext uri="{FF2B5EF4-FFF2-40B4-BE49-F238E27FC236}">
                  <a16:creationId xmlns:a16="http://schemas.microsoft.com/office/drawing/2014/main" id="{B125387A-BAD0-7B93-46FA-23172CD739A4}"/>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52" name="Group 51">
            <a:extLst>
              <a:ext uri="{FF2B5EF4-FFF2-40B4-BE49-F238E27FC236}">
                <a16:creationId xmlns:a16="http://schemas.microsoft.com/office/drawing/2014/main" id="{E6C3065A-13B5-9882-CDB2-82EF3F4641AA}"/>
              </a:ext>
            </a:extLst>
          </xdr:cNvPr>
          <xdr:cNvGrpSpPr/>
        </xdr:nvGrpSpPr>
        <xdr:grpSpPr>
          <a:xfrm>
            <a:off x="274692" y="9278126"/>
            <a:ext cx="3175624" cy="896469"/>
            <a:chOff x="231396" y="8312644"/>
            <a:chExt cx="3175624" cy="896469"/>
          </a:xfrm>
        </xdr:grpSpPr>
        <xdr:sp macro="" textlink="">
          <xdr:nvSpPr>
            <xdr:cNvPr id="71" name="Rectangle: Rounded Corners 70">
              <a:hlinkClick xmlns:r="http://schemas.openxmlformats.org/officeDocument/2006/relationships" r:id="rId19"/>
              <a:extLst>
                <a:ext uri="{FF2B5EF4-FFF2-40B4-BE49-F238E27FC236}">
                  <a16:creationId xmlns:a16="http://schemas.microsoft.com/office/drawing/2014/main" id="{6586EFC9-5C40-519B-1D56-B7CE736BDCB1}"/>
                </a:ext>
              </a:extLst>
            </xdr:cNvPr>
            <xdr:cNvSpPr/>
          </xdr:nvSpPr>
          <xdr:spPr>
            <a:xfrm>
              <a:off x="231396" y="8312644"/>
              <a:ext cx="3175624" cy="89646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Uses (Expenditures)</a:t>
              </a:r>
            </a:p>
          </xdr:txBody>
        </xdr:sp>
        <xdr:pic>
          <xdr:nvPicPr>
            <xdr:cNvPr id="72" name="Graphic 71" descr="Books on shelf with solid fill">
              <a:hlinkClick xmlns:r="http://schemas.openxmlformats.org/officeDocument/2006/relationships" r:id="rId19"/>
              <a:extLst>
                <a:ext uri="{FF2B5EF4-FFF2-40B4-BE49-F238E27FC236}">
                  <a16:creationId xmlns:a16="http://schemas.microsoft.com/office/drawing/2014/main" id="{70F0A699-0AEF-C444-E48C-814ABD19F115}"/>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53" name="Group 52">
            <a:extLst>
              <a:ext uri="{FF2B5EF4-FFF2-40B4-BE49-F238E27FC236}">
                <a16:creationId xmlns:a16="http://schemas.microsoft.com/office/drawing/2014/main" id="{D680A2C4-3861-7AC4-F5E2-633372369588}"/>
              </a:ext>
            </a:extLst>
          </xdr:cNvPr>
          <xdr:cNvGrpSpPr/>
        </xdr:nvGrpSpPr>
        <xdr:grpSpPr>
          <a:xfrm>
            <a:off x="274692" y="12276007"/>
            <a:ext cx="3175624" cy="896469"/>
            <a:chOff x="231396" y="11029098"/>
            <a:chExt cx="3175624" cy="896469"/>
          </a:xfrm>
        </xdr:grpSpPr>
        <xdr:sp macro="" textlink="">
          <xdr:nvSpPr>
            <xdr:cNvPr id="69" name="Rectangle: Rounded Corners 68">
              <a:hlinkClick xmlns:r="http://schemas.openxmlformats.org/officeDocument/2006/relationships" r:id="rId22"/>
              <a:extLst>
                <a:ext uri="{FF2B5EF4-FFF2-40B4-BE49-F238E27FC236}">
                  <a16:creationId xmlns:a16="http://schemas.microsoft.com/office/drawing/2014/main" id="{1815598D-EC8F-3761-EEBE-045EC43CD5ED}"/>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70" name="Graphic 69" descr="Users with solid fill">
              <a:hlinkClick xmlns:r="http://schemas.openxmlformats.org/officeDocument/2006/relationships" r:id="rId22"/>
              <a:extLst>
                <a:ext uri="{FF2B5EF4-FFF2-40B4-BE49-F238E27FC236}">
                  <a16:creationId xmlns:a16="http://schemas.microsoft.com/office/drawing/2014/main" id="{B60324F0-6DCC-0324-5029-DD90E451D5B4}"/>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54" name="Group 53">
            <a:extLst>
              <a:ext uri="{FF2B5EF4-FFF2-40B4-BE49-F238E27FC236}">
                <a16:creationId xmlns:a16="http://schemas.microsoft.com/office/drawing/2014/main" id="{F6DAD02C-838B-6012-BFCD-07B8F2B89FF9}"/>
              </a:ext>
            </a:extLst>
          </xdr:cNvPr>
          <xdr:cNvGrpSpPr/>
        </xdr:nvGrpSpPr>
        <xdr:grpSpPr>
          <a:xfrm>
            <a:off x="274692" y="5280956"/>
            <a:ext cx="3175624" cy="896469"/>
            <a:chOff x="231396" y="4690698"/>
            <a:chExt cx="3175624" cy="896469"/>
          </a:xfrm>
        </xdr:grpSpPr>
        <xdr:sp macro="" textlink="">
          <xdr:nvSpPr>
            <xdr:cNvPr id="67" name="Rectangle: Rounded Corners 66">
              <a:hlinkClick xmlns:r="http://schemas.openxmlformats.org/officeDocument/2006/relationships" r:id="rId25"/>
              <a:extLst>
                <a:ext uri="{FF2B5EF4-FFF2-40B4-BE49-F238E27FC236}">
                  <a16:creationId xmlns:a16="http://schemas.microsoft.com/office/drawing/2014/main" id="{28EFE156-D67A-1354-733D-56A096DEDD92}"/>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68" name="Graphic 67" descr="Hierarchy with solid fill">
              <a:extLst>
                <a:ext uri="{FF2B5EF4-FFF2-40B4-BE49-F238E27FC236}">
                  <a16:creationId xmlns:a16="http://schemas.microsoft.com/office/drawing/2014/main" id="{6D1F22D1-E560-4116-13E6-2668FE0658FA}"/>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55" name="Group 54">
            <a:extLst>
              <a:ext uri="{FF2B5EF4-FFF2-40B4-BE49-F238E27FC236}">
                <a16:creationId xmlns:a16="http://schemas.microsoft.com/office/drawing/2014/main" id="{5DF202CB-7ABC-7DB4-D1D4-DD69F6094E38}"/>
              </a:ext>
            </a:extLst>
          </xdr:cNvPr>
          <xdr:cNvGrpSpPr/>
        </xdr:nvGrpSpPr>
        <xdr:grpSpPr>
          <a:xfrm>
            <a:off x="274692" y="6280248"/>
            <a:ext cx="3175624" cy="896469"/>
            <a:chOff x="231396" y="5596184"/>
            <a:chExt cx="3175624" cy="896469"/>
          </a:xfrm>
        </xdr:grpSpPr>
        <xdr:sp macro="" textlink="">
          <xdr:nvSpPr>
            <xdr:cNvPr id="65" name="Rectangle: Rounded Corners 64">
              <a:hlinkClick xmlns:r="http://schemas.openxmlformats.org/officeDocument/2006/relationships" r:id="rId28"/>
              <a:extLst>
                <a:ext uri="{FF2B5EF4-FFF2-40B4-BE49-F238E27FC236}">
                  <a16:creationId xmlns:a16="http://schemas.microsoft.com/office/drawing/2014/main" id="{34877A6C-3736-CD96-BBC7-C89CE1E2E911}"/>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66" name="Graphic 65" descr="Postit Notes with solid fill">
              <a:hlinkClick xmlns:r="http://schemas.openxmlformats.org/officeDocument/2006/relationships" r:id="rId28"/>
              <a:extLst>
                <a:ext uri="{FF2B5EF4-FFF2-40B4-BE49-F238E27FC236}">
                  <a16:creationId xmlns:a16="http://schemas.microsoft.com/office/drawing/2014/main" id="{D24A28DE-EAF6-455D-3C22-6741B60EAD3B}"/>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56" name="Group 55">
            <a:extLst>
              <a:ext uri="{FF2B5EF4-FFF2-40B4-BE49-F238E27FC236}">
                <a16:creationId xmlns:a16="http://schemas.microsoft.com/office/drawing/2014/main" id="{D69A4545-451D-D3E5-D2BF-1E3DB90FC89A}"/>
              </a:ext>
            </a:extLst>
          </xdr:cNvPr>
          <xdr:cNvGrpSpPr/>
        </xdr:nvGrpSpPr>
        <xdr:grpSpPr>
          <a:xfrm>
            <a:off x="274692" y="7279540"/>
            <a:ext cx="3175624" cy="896470"/>
            <a:chOff x="231396" y="6501670"/>
            <a:chExt cx="3175624" cy="896470"/>
          </a:xfrm>
        </xdr:grpSpPr>
        <xdr:sp macro="" textlink="">
          <xdr:nvSpPr>
            <xdr:cNvPr id="63" name="Rectangle: Rounded Corners 62">
              <a:hlinkClick xmlns:r="http://schemas.openxmlformats.org/officeDocument/2006/relationships" r:id="rId31"/>
              <a:extLst>
                <a:ext uri="{FF2B5EF4-FFF2-40B4-BE49-F238E27FC236}">
                  <a16:creationId xmlns:a16="http://schemas.microsoft.com/office/drawing/2014/main" id="{1B9EAD3E-D669-0452-28B4-1CE4438BFF6F}"/>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64" name="Graphic 63" descr="Signal with solid fill">
              <a:hlinkClick xmlns:r="http://schemas.openxmlformats.org/officeDocument/2006/relationships" r:id="rId31"/>
              <a:extLst>
                <a:ext uri="{FF2B5EF4-FFF2-40B4-BE49-F238E27FC236}">
                  <a16:creationId xmlns:a16="http://schemas.microsoft.com/office/drawing/2014/main" id="{030574FB-1EE6-75F0-B559-6D3123EC77FC}"/>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57" name="Group 56">
            <a:extLst>
              <a:ext uri="{FF2B5EF4-FFF2-40B4-BE49-F238E27FC236}">
                <a16:creationId xmlns:a16="http://schemas.microsoft.com/office/drawing/2014/main" id="{08C58F97-3FA9-76E0-B6FB-0A45EA14BF5B}"/>
              </a:ext>
            </a:extLst>
          </xdr:cNvPr>
          <xdr:cNvGrpSpPr/>
        </xdr:nvGrpSpPr>
        <xdr:grpSpPr>
          <a:xfrm>
            <a:off x="274692" y="4275387"/>
            <a:ext cx="3175624" cy="902746"/>
            <a:chOff x="231396" y="3778935"/>
            <a:chExt cx="3175624" cy="902746"/>
          </a:xfrm>
        </xdr:grpSpPr>
        <xdr:sp macro="" textlink="">
          <xdr:nvSpPr>
            <xdr:cNvPr id="61" name="Rectangle: Rounded Corners 60">
              <a:hlinkClick xmlns:r="http://schemas.openxmlformats.org/officeDocument/2006/relationships" r:id="rId34"/>
              <a:extLst>
                <a:ext uri="{FF2B5EF4-FFF2-40B4-BE49-F238E27FC236}">
                  <a16:creationId xmlns:a16="http://schemas.microsoft.com/office/drawing/2014/main" id="{89C5DBC2-60DD-49AF-D5DC-8C8EFA0EADFD}"/>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62" name="Graphic 61" descr="Document with solid fill">
              <a:hlinkClick xmlns:r="http://schemas.openxmlformats.org/officeDocument/2006/relationships" r:id="rId34"/>
              <a:extLst>
                <a:ext uri="{FF2B5EF4-FFF2-40B4-BE49-F238E27FC236}">
                  <a16:creationId xmlns:a16="http://schemas.microsoft.com/office/drawing/2014/main" id="{11032CFC-0F9A-FF03-C58F-540D1397780C}"/>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58" name="Group 57">
            <a:extLst>
              <a:ext uri="{FF2B5EF4-FFF2-40B4-BE49-F238E27FC236}">
                <a16:creationId xmlns:a16="http://schemas.microsoft.com/office/drawing/2014/main" id="{977A4E11-044B-E32A-20FE-15D192F57E1C}"/>
              </a:ext>
            </a:extLst>
          </xdr:cNvPr>
          <xdr:cNvGrpSpPr/>
        </xdr:nvGrpSpPr>
        <xdr:grpSpPr>
          <a:xfrm>
            <a:off x="274692" y="3269818"/>
            <a:ext cx="3175624" cy="902746"/>
            <a:chOff x="231396" y="2867172"/>
            <a:chExt cx="3175624" cy="902746"/>
          </a:xfrm>
        </xdr:grpSpPr>
        <xdr:sp macro="" textlink="">
          <xdr:nvSpPr>
            <xdr:cNvPr id="59" name="Rectangle: Rounded Corners 58">
              <a:hlinkClick xmlns:r="http://schemas.openxmlformats.org/officeDocument/2006/relationships" r:id="rId37"/>
              <a:extLst>
                <a:ext uri="{FF2B5EF4-FFF2-40B4-BE49-F238E27FC236}">
                  <a16:creationId xmlns:a16="http://schemas.microsoft.com/office/drawing/2014/main" id="{9D29EAD3-82B0-9FF6-916E-65009C7A5CB2}"/>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60" name="Graphic 59" descr="Soundwave with solid fill">
              <a:hlinkClick xmlns:r="http://schemas.openxmlformats.org/officeDocument/2006/relationships" r:id="rId37"/>
              <a:extLst>
                <a:ext uri="{FF2B5EF4-FFF2-40B4-BE49-F238E27FC236}">
                  <a16:creationId xmlns:a16="http://schemas.microsoft.com/office/drawing/2014/main" id="{BF8C33D8-2942-F681-CAAB-B1177A2C3B33}"/>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512618</xdr:colOff>
      <xdr:row>34</xdr:row>
      <xdr:rowOff>338941</xdr:rowOff>
    </xdr:to>
    <xdr:grpSp>
      <xdr:nvGrpSpPr>
        <xdr:cNvPr id="57" name="Group 56">
          <a:extLst>
            <a:ext uri="{FF2B5EF4-FFF2-40B4-BE49-F238E27FC236}">
              <a16:creationId xmlns:a16="http://schemas.microsoft.com/office/drawing/2014/main" id="{0F0F68E6-8852-4DBB-A676-EE6144217717}"/>
            </a:ext>
          </a:extLst>
        </xdr:cNvPr>
        <xdr:cNvGrpSpPr>
          <a:grpSpLocks noChangeAspect="1"/>
        </xdr:cNvGrpSpPr>
      </xdr:nvGrpSpPr>
      <xdr:grpSpPr>
        <a:xfrm>
          <a:off x="27214" y="27214"/>
          <a:ext cx="3533404" cy="13265727"/>
          <a:chOff x="51954" y="51955"/>
          <a:chExt cx="3636819" cy="13265727"/>
        </a:xfrm>
      </xdr:grpSpPr>
      <xdr:sp macro="" textlink="">
        <xdr:nvSpPr>
          <xdr:cNvPr id="58" name="Rectangle: Rounded Corners 57">
            <a:extLst>
              <a:ext uri="{FF2B5EF4-FFF2-40B4-BE49-F238E27FC236}">
                <a16:creationId xmlns:a16="http://schemas.microsoft.com/office/drawing/2014/main" id="{7990710E-8341-8C9A-18EB-159497C70E19}"/>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59" name="Group 58">
            <a:hlinkClick xmlns:r="http://schemas.openxmlformats.org/officeDocument/2006/relationships" r:id="rId1"/>
            <a:extLst>
              <a:ext uri="{FF2B5EF4-FFF2-40B4-BE49-F238E27FC236}">
                <a16:creationId xmlns:a16="http://schemas.microsoft.com/office/drawing/2014/main" id="{55F9BC97-79EA-DCC0-D14F-74FD7FBD0970}"/>
              </a:ext>
            </a:extLst>
          </xdr:cNvPr>
          <xdr:cNvGrpSpPr/>
        </xdr:nvGrpSpPr>
        <xdr:grpSpPr>
          <a:xfrm>
            <a:off x="274692" y="253113"/>
            <a:ext cx="3175624" cy="902746"/>
            <a:chOff x="231396" y="131885"/>
            <a:chExt cx="3175624" cy="902746"/>
          </a:xfrm>
        </xdr:grpSpPr>
        <xdr:sp macro="" textlink="">
          <xdr:nvSpPr>
            <xdr:cNvPr id="96" name="Rectangle: Rounded Corners 95">
              <a:extLst>
                <a:ext uri="{FF2B5EF4-FFF2-40B4-BE49-F238E27FC236}">
                  <a16:creationId xmlns:a16="http://schemas.microsoft.com/office/drawing/2014/main" id="{100F70A0-138B-E9EA-A460-2AFEFA94BCFD}"/>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97" name="Graphic 96" descr="Home with solid fill">
              <a:hlinkClick xmlns:r="http://schemas.openxmlformats.org/officeDocument/2006/relationships" r:id="rId1"/>
              <a:extLst>
                <a:ext uri="{FF2B5EF4-FFF2-40B4-BE49-F238E27FC236}">
                  <a16:creationId xmlns:a16="http://schemas.microsoft.com/office/drawing/2014/main" id="{AEA077F1-75A6-9F3C-801C-2006E4170EB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60" name="Group 59">
            <a:extLst>
              <a:ext uri="{FF2B5EF4-FFF2-40B4-BE49-F238E27FC236}">
                <a16:creationId xmlns:a16="http://schemas.microsoft.com/office/drawing/2014/main" id="{4A672BAC-2EF2-1A8B-B114-F8877DB3B51F}"/>
              </a:ext>
            </a:extLst>
          </xdr:cNvPr>
          <xdr:cNvGrpSpPr/>
        </xdr:nvGrpSpPr>
        <xdr:grpSpPr>
          <a:xfrm>
            <a:off x="274692" y="1258682"/>
            <a:ext cx="3175624" cy="902746"/>
            <a:chOff x="231396" y="1043648"/>
            <a:chExt cx="3175624" cy="902746"/>
          </a:xfrm>
        </xdr:grpSpPr>
        <xdr:sp macro="" textlink="">
          <xdr:nvSpPr>
            <xdr:cNvPr id="94" name="Rectangle: Rounded Corners 93">
              <a:hlinkClick xmlns:r="http://schemas.openxmlformats.org/officeDocument/2006/relationships" r:id="rId4"/>
              <a:extLst>
                <a:ext uri="{FF2B5EF4-FFF2-40B4-BE49-F238E27FC236}">
                  <a16:creationId xmlns:a16="http://schemas.microsoft.com/office/drawing/2014/main" id="{1C8B8A7C-F66B-0483-290D-516B6B701950}"/>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95" name="Graphic 94" descr="Address Book with solid fill">
              <a:hlinkClick xmlns:r="http://schemas.openxmlformats.org/officeDocument/2006/relationships" r:id="rId4"/>
              <a:extLst>
                <a:ext uri="{FF2B5EF4-FFF2-40B4-BE49-F238E27FC236}">
                  <a16:creationId xmlns:a16="http://schemas.microsoft.com/office/drawing/2014/main" id="{5F008474-461E-9FBE-AE6C-F54346A5565D}"/>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61" name="Group 60">
            <a:extLst>
              <a:ext uri="{FF2B5EF4-FFF2-40B4-BE49-F238E27FC236}">
                <a16:creationId xmlns:a16="http://schemas.microsoft.com/office/drawing/2014/main" id="{48ADAFD4-523E-00CF-F832-29E81907DFC7}"/>
              </a:ext>
            </a:extLst>
          </xdr:cNvPr>
          <xdr:cNvGrpSpPr/>
        </xdr:nvGrpSpPr>
        <xdr:grpSpPr>
          <a:xfrm>
            <a:off x="274692" y="2264251"/>
            <a:ext cx="3175624" cy="902744"/>
            <a:chOff x="231396" y="1955411"/>
            <a:chExt cx="3175624" cy="902744"/>
          </a:xfrm>
        </xdr:grpSpPr>
        <xdr:sp macro="" textlink="">
          <xdr:nvSpPr>
            <xdr:cNvPr id="92" name="Rectangle: Rounded Corners 91">
              <a:hlinkClick xmlns:r="http://schemas.openxmlformats.org/officeDocument/2006/relationships" r:id="rId7"/>
              <a:extLst>
                <a:ext uri="{FF2B5EF4-FFF2-40B4-BE49-F238E27FC236}">
                  <a16:creationId xmlns:a16="http://schemas.microsoft.com/office/drawing/2014/main" id="{6E6A964D-3626-5E74-2D16-BE4E3898F43C}"/>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93" name="Graphic 92" descr="Closed book with solid fill">
              <a:hlinkClick xmlns:r="http://schemas.openxmlformats.org/officeDocument/2006/relationships" r:id="rId7"/>
              <a:extLst>
                <a:ext uri="{FF2B5EF4-FFF2-40B4-BE49-F238E27FC236}">
                  <a16:creationId xmlns:a16="http://schemas.microsoft.com/office/drawing/2014/main" id="{50DCA687-A93E-A83D-0451-6BD1E3F10671}"/>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62" name="Group 61">
            <a:extLst>
              <a:ext uri="{FF2B5EF4-FFF2-40B4-BE49-F238E27FC236}">
                <a16:creationId xmlns:a16="http://schemas.microsoft.com/office/drawing/2014/main" id="{7F54354C-13BA-301D-D970-DCBFA271DF6B}"/>
              </a:ext>
            </a:extLst>
          </xdr:cNvPr>
          <xdr:cNvGrpSpPr/>
        </xdr:nvGrpSpPr>
        <xdr:grpSpPr>
          <a:xfrm>
            <a:off x="274692" y="11276710"/>
            <a:ext cx="3175624" cy="896469"/>
            <a:chOff x="231396" y="10123616"/>
            <a:chExt cx="3175624" cy="896469"/>
          </a:xfrm>
        </xdr:grpSpPr>
        <xdr:sp macro="" textlink="">
          <xdr:nvSpPr>
            <xdr:cNvPr id="90" name="Rectangle: Rounded Corners 89">
              <a:hlinkClick xmlns:r="http://schemas.openxmlformats.org/officeDocument/2006/relationships" r:id="rId10"/>
              <a:extLst>
                <a:ext uri="{FF2B5EF4-FFF2-40B4-BE49-F238E27FC236}">
                  <a16:creationId xmlns:a16="http://schemas.microsoft.com/office/drawing/2014/main" id="{B5EACA04-0DC2-B107-6578-BD286462C008}"/>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91" name="Graphic 90" descr="Bar graph with downward trend with solid fill">
              <a:hlinkClick xmlns:r="http://schemas.openxmlformats.org/officeDocument/2006/relationships" r:id="rId10"/>
              <a:extLst>
                <a:ext uri="{FF2B5EF4-FFF2-40B4-BE49-F238E27FC236}">
                  <a16:creationId xmlns:a16="http://schemas.microsoft.com/office/drawing/2014/main" id="{C3F0689B-2FF9-352F-B83E-96A7D8D7AEFA}"/>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63" name="Group 62">
            <a:extLst>
              <a:ext uri="{FF2B5EF4-FFF2-40B4-BE49-F238E27FC236}">
                <a16:creationId xmlns:a16="http://schemas.microsoft.com/office/drawing/2014/main" id="{69EB502C-4F54-1211-B7F4-58CC4E287122}"/>
              </a:ext>
            </a:extLst>
          </xdr:cNvPr>
          <xdr:cNvGrpSpPr/>
        </xdr:nvGrpSpPr>
        <xdr:grpSpPr>
          <a:xfrm>
            <a:off x="274692" y="10277418"/>
            <a:ext cx="3175624" cy="896469"/>
            <a:chOff x="231396" y="9218130"/>
            <a:chExt cx="3175624" cy="896469"/>
          </a:xfrm>
        </xdr:grpSpPr>
        <xdr:sp macro="" textlink="">
          <xdr:nvSpPr>
            <xdr:cNvPr id="88" name="Rectangle: Rounded Corners 87">
              <a:hlinkClick xmlns:r="http://schemas.openxmlformats.org/officeDocument/2006/relationships" r:id="rId13"/>
              <a:extLst>
                <a:ext uri="{FF2B5EF4-FFF2-40B4-BE49-F238E27FC236}">
                  <a16:creationId xmlns:a16="http://schemas.microsoft.com/office/drawing/2014/main" id="{D7A92A78-7F4A-6EDF-5621-8C36DA533E00}"/>
                </a:ext>
              </a:extLst>
            </xdr:cNvPr>
            <xdr:cNvSpPr/>
          </xdr:nvSpPr>
          <xdr:spPr>
            <a:xfrm>
              <a:off x="231396" y="9218130"/>
              <a:ext cx="3175624" cy="89646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ysClr val="windowText" lastClr="000000"/>
                  </a:solidFill>
                  <a:latin typeface="Georgia" panose="02040502050405020303" pitchFamily="18" charset="0"/>
                  <a:ea typeface="+mn-ea"/>
                  <a:cs typeface="+mn-cs"/>
                </a:rPr>
                <a:t>Academic Cost Study</a:t>
              </a:r>
            </a:p>
          </xdr:txBody>
        </xdr:sp>
        <xdr:pic>
          <xdr:nvPicPr>
            <xdr:cNvPr id="89" name="Graphic 88" descr="Bar graph with upward trend with solid fill">
              <a:hlinkClick xmlns:r="http://schemas.openxmlformats.org/officeDocument/2006/relationships" r:id="rId13"/>
              <a:extLst>
                <a:ext uri="{FF2B5EF4-FFF2-40B4-BE49-F238E27FC236}">
                  <a16:creationId xmlns:a16="http://schemas.microsoft.com/office/drawing/2014/main" id="{0A082130-1D40-9A48-F697-4BF322487CAF}"/>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64" name="Group 63">
            <a:extLst>
              <a:ext uri="{FF2B5EF4-FFF2-40B4-BE49-F238E27FC236}">
                <a16:creationId xmlns:a16="http://schemas.microsoft.com/office/drawing/2014/main" id="{309E98FF-37F8-B676-A654-74B0E2AF6CA5}"/>
              </a:ext>
            </a:extLst>
          </xdr:cNvPr>
          <xdr:cNvGrpSpPr/>
        </xdr:nvGrpSpPr>
        <xdr:grpSpPr>
          <a:xfrm>
            <a:off x="274692" y="8278833"/>
            <a:ext cx="3175624" cy="896470"/>
            <a:chOff x="231396" y="7407157"/>
            <a:chExt cx="3175624" cy="896470"/>
          </a:xfrm>
        </xdr:grpSpPr>
        <xdr:sp macro="" textlink="">
          <xdr:nvSpPr>
            <xdr:cNvPr id="86" name="Rectangle: Rounded Corners 85">
              <a:hlinkClick xmlns:r="http://schemas.openxmlformats.org/officeDocument/2006/relationships" r:id="rId16"/>
              <a:extLst>
                <a:ext uri="{FF2B5EF4-FFF2-40B4-BE49-F238E27FC236}">
                  <a16:creationId xmlns:a16="http://schemas.microsoft.com/office/drawing/2014/main" id="{0D24F5B3-9595-C889-BC5C-08202CE44D6A}"/>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87" name="Graphic 86" descr="Books with solid fill">
              <a:hlinkClick xmlns:r="http://schemas.openxmlformats.org/officeDocument/2006/relationships" r:id="rId16"/>
              <a:extLst>
                <a:ext uri="{FF2B5EF4-FFF2-40B4-BE49-F238E27FC236}">
                  <a16:creationId xmlns:a16="http://schemas.microsoft.com/office/drawing/2014/main" id="{64B99526-668B-96FA-F2EB-C102924AA562}"/>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65" name="Group 64">
            <a:extLst>
              <a:ext uri="{FF2B5EF4-FFF2-40B4-BE49-F238E27FC236}">
                <a16:creationId xmlns:a16="http://schemas.microsoft.com/office/drawing/2014/main" id="{98892083-7B53-0244-2C10-099CF30797E5}"/>
              </a:ext>
            </a:extLst>
          </xdr:cNvPr>
          <xdr:cNvGrpSpPr/>
        </xdr:nvGrpSpPr>
        <xdr:grpSpPr>
          <a:xfrm>
            <a:off x="274692" y="9278126"/>
            <a:ext cx="3175624" cy="896469"/>
            <a:chOff x="231396" y="8312644"/>
            <a:chExt cx="3175624" cy="896469"/>
          </a:xfrm>
        </xdr:grpSpPr>
        <xdr:sp macro="" textlink="">
          <xdr:nvSpPr>
            <xdr:cNvPr id="84" name="Rectangle: Rounded Corners 83">
              <a:hlinkClick xmlns:r="http://schemas.openxmlformats.org/officeDocument/2006/relationships" r:id="rId19"/>
              <a:extLst>
                <a:ext uri="{FF2B5EF4-FFF2-40B4-BE49-F238E27FC236}">
                  <a16:creationId xmlns:a16="http://schemas.microsoft.com/office/drawing/2014/main" id="{C2E54615-74E7-8163-C693-D8FB2D377A63}"/>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85" name="Graphic 84" descr="Books on shelf with solid fill">
              <a:hlinkClick xmlns:r="http://schemas.openxmlformats.org/officeDocument/2006/relationships" r:id="rId19"/>
              <a:extLst>
                <a:ext uri="{FF2B5EF4-FFF2-40B4-BE49-F238E27FC236}">
                  <a16:creationId xmlns:a16="http://schemas.microsoft.com/office/drawing/2014/main" id="{1765851D-799E-0C06-1936-CB87535F3B9A}"/>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66" name="Group 65">
            <a:extLst>
              <a:ext uri="{FF2B5EF4-FFF2-40B4-BE49-F238E27FC236}">
                <a16:creationId xmlns:a16="http://schemas.microsoft.com/office/drawing/2014/main" id="{4314712F-BE52-3D43-8A56-0BC2B7950389}"/>
              </a:ext>
            </a:extLst>
          </xdr:cNvPr>
          <xdr:cNvGrpSpPr/>
        </xdr:nvGrpSpPr>
        <xdr:grpSpPr>
          <a:xfrm>
            <a:off x="274692" y="12276007"/>
            <a:ext cx="3175624" cy="896469"/>
            <a:chOff x="231396" y="11029098"/>
            <a:chExt cx="3175624" cy="896469"/>
          </a:xfrm>
        </xdr:grpSpPr>
        <xdr:sp macro="" textlink="">
          <xdr:nvSpPr>
            <xdr:cNvPr id="82" name="Rectangle: Rounded Corners 81">
              <a:hlinkClick xmlns:r="http://schemas.openxmlformats.org/officeDocument/2006/relationships" r:id="rId22"/>
              <a:extLst>
                <a:ext uri="{FF2B5EF4-FFF2-40B4-BE49-F238E27FC236}">
                  <a16:creationId xmlns:a16="http://schemas.microsoft.com/office/drawing/2014/main" id="{A1CCAD42-9A50-F137-DA6A-05D6A987049D}"/>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83" name="Graphic 82" descr="Users with solid fill">
              <a:hlinkClick xmlns:r="http://schemas.openxmlformats.org/officeDocument/2006/relationships" r:id="rId22"/>
              <a:extLst>
                <a:ext uri="{FF2B5EF4-FFF2-40B4-BE49-F238E27FC236}">
                  <a16:creationId xmlns:a16="http://schemas.microsoft.com/office/drawing/2014/main" id="{8D9520C1-F422-B1CC-6412-F6CC7A5A46CA}"/>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67" name="Group 66">
            <a:extLst>
              <a:ext uri="{FF2B5EF4-FFF2-40B4-BE49-F238E27FC236}">
                <a16:creationId xmlns:a16="http://schemas.microsoft.com/office/drawing/2014/main" id="{8B8A2C2B-D67C-264C-6BEA-D080FA836070}"/>
              </a:ext>
            </a:extLst>
          </xdr:cNvPr>
          <xdr:cNvGrpSpPr/>
        </xdr:nvGrpSpPr>
        <xdr:grpSpPr>
          <a:xfrm>
            <a:off x="274692" y="5280956"/>
            <a:ext cx="3175624" cy="896469"/>
            <a:chOff x="231396" y="4690698"/>
            <a:chExt cx="3175624" cy="896469"/>
          </a:xfrm>
        </xdr:grpSpPr>
        <xdr:sp macro="" textlink="">
          <xdr:nvSpPr>
            <xdr:cNvPr id="80" name="Rectangle: Rounded Corners 79">
              <a:hlinkClick xmlns:r="http://schemas.openxmlformats.org/officeDocument/2006/relationships" r:id="rId25"/>
              <a:extLst>
                <a:ext uri="{FF2B5EF4-FFF2-40B4-BE49-F238E27FC236}">
                  <a16:creationId xmlns:a16="http://schemas.microsoft.com/office/drawing/2014/main" id="{F87D335A-9DD7-6A1E-9843-0894AF398112}"/>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81" name="Graphic 80" descr="Hierarchy with solid fill">
              <a:extLst>
                <a:ext uri="{FF2B5EF4-FFF2-40B4-BE49-F238E27FC236}">
                  <a16:creationId xmlns:a16="http://schemas.microsoft.com/office/drawing/2014/main" id="{947A73AA-3919-E66A-B990-FEDC3E116978}"/>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68" name="Group 67">
            <a:extLst>
              <a:ext uri="{FF2B5EF4-FFF2-40B4-BE49-F238E27FC236}">
                <a16:creationId xmlns:a16="http://schemas.microsoft.com/office/drawing/2014/main" id="{078CE65A-C645-0ADA-E13F-FA5A32C8CF03}"/>
              </a:ext>
            </a:extLst>
          </xdr:cNvPr>
          <xdr:cNvGrpSpPr/>
        </xdr:nvGrpSpPr>
        <xdr:grpSpPr>
          <a:xfrm>
            <a:off x="274692" y="6280248"/>
            <a:ext cx="3175624" cy="896469"/>
            <a:chOff x="231396" y="5596184"/>
            <a:chExt cx="3175624" cy="896469"/>
          </a:xfrm>
        </xdr:grpSpPr>
        <xdr:sp macro="" textlink="">
          <xdr:nvSpPr>
            <xdr:cNvPr id="78" name="Rectangle: Rounded Corners 77">
              <a:hlinkClick xmlns:r="http://schemas.openxmlformats.org/officeDocument/2006/relationships" r:id="rId28"/>
              <a:extLst>
                <a:ext uri="{FF2B5EF4-FFF2-40B4-BE49-F238E27FC236}">
                  <a16:creationId xmlns:a16="http://schemas.microsoft.com/office/drawing/2014/main" id="{E8D15161-9EBA-009A-66FE-B8543B57969A}"/>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79" name="Graphic 78" descr="Postit Notes with solid fill">
              <a:hlinkClick xmlns:r="http://schemas.openxmlformats.org/officeDocument/2006/relationships" r:id="rId28"/>
              <a:extLst>
                <a:ext uri="{FF2B5EF4-FFF2-40B4-BE49-F238E27FC236}">
                  <a16:creationId xmlns:a16="http://schemas.microsoft.com/office/drawing/2014/main" id="{DDB4BFD5-C037-61AF-46CB-8005FD2EC6EA}"/>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69" name="Group 68">
            <a:extLst>
              <a:ext uri="{FF2B5EF4-FFF2-40B4-BE49-F238E27FC236}">
                <a16:creationId xmlns:a16="http://schemas.microsoft.com/office/drawing/2014/main" id="{C9AE4950-A875-C8FE-F78E-6029FA5E926B}"/>
              </a:ext>
            </a:extLst>
          </xdr:cNvPr>
          <xdr:cNvGrpSpPr/>
        </xdr:nvGrpSpPr>
        <xdr:grpSpPr>
          <a:xfrm>
            <a:off x="274692" y="7279540"/>
            <a:ext cx="3175624" cy="896470"/>
            <a:chOff x="231396" y="6501670"/>
            <a:chExt cx="3175624" cy="896470"/>
          </a:xfrm>
        </xdr:grpSpPr>
        <xdr:sp macro="" textlink="">
          <xdr:nvSpPr>
            <xdr:cNvPr id="76" name="Rectangle: Rounded Corners 75">
              <a:hlinkClick xmlns:r="http://schemas.openxmlformats.org/officeDocument/2006/relationships" r:id="rId31"/>
              <a:extLst>
                <a:ext uri="{FF2B5EF4-FFF2-40B4-BE49-F238E27FC236}">
                  <a16:creationId xmlns:a16="http://schemas.microsoft.com/office/drawing/2014/main" id="{97C0A6ED-5E08-E7D7-D976-D95BE94E7590}"/>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77" name="Graphic 76" descr="Signal with solid fill">
              <a:hlinkClick xmlns:r="http://schemas.openxmlformats.org/officeDocument/2006/relationships" r:id="rId31"/>
              <a:extLst>
                <a:ext uri="{FF2B5EF4-FFF2-40B4-BE49-F238E27FC236}">
                  <a16:creationId xmlns:a16="http://schemas.microsoft.com/office/drawing/2014/main" id="{B71A5AC5-67B1-E3B2-A259-864FE73E6639}"/>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70" name="Group 69">
            <a:extLst>
              <a:ext uri="{FF2B5EF4-FFF2-40B4-BE49-F238E27FC236}">
                <a16:creationId xmlns:a16="http://schemas.microsoft.com/office/drawing/2014/main" id="{5788E635-398A-702B-5188-70B0B1F33A03}"/>
              </a:ext>
            </a:extLst>
          </xdr:cNvPr>
          <xdr:cNvGrpSpPr/>
        </xdr:nvGrpSpPr>
        <xdr:grpSpPr>
          <a:xfrm>
            <a:off x="274692" y="4275387"/>
            <a:ext cx="3175624" cy="902746"/>
            <a:chOff x="231396" y="3778935"/>
            <a:chExt cx="3175624" cy="902746"/>
          </a:xfrm>
        </xdr:grpSpPr>
        <xdr:sp macro="" textlink="">
          <xdr:nvSpPr>
            <xdr:cNvPr id="74" name="Rectangle: Rounded Corners 73">
              <a:hlinkClick xmlns:r="http://schemas.openxmlformats.org/officeDocument/2006/relationships" r:id="rId34"/>
              <a:extLst>
                <a:ext uri="{FF2B5EF4-FFF2-40B4-BE49-F238E27FC236}">
                  <a16:creationId xmlns:a16="http://schemas.microsoft.com/office/drawing/2014/main" id="{D3FC04BF-4C8B-4F34-D7CC-B78895AAFABC}"/>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75" name="Graphic 74" descr="Document with solid fill">
              <a:hlinkClick xmlns:r="http://schemas.openxmlformats.org/officeDocument/2006/relationships" r:id="rId34"/>
              <a:extLst>
                <a:ext uri="{FF2B5EF4-FFF2-40B4-BE49-F238E27FC236}">
                  <a16:creationId xmlns:a16="http://schemas.microsoft.com/office/drawing/2014/main" id="{A4B195A0-6ECE-0C05-EB6C-ADC3E7E34DD0}"/>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71" name="Group 70">
            <a:extLst>
              <a:ext uri="{FF2B5EF4-FFF2-40B4-BE49-F238E27FC236}">
                <a16:creationId xmlns:a16="http://schemas.microsoft.com/office/drawing/2014/main" id="{A1B04C6F-C2F2-5058-1B60-7152A2FD39C5}"/>
              </a:ext>
            </a:extLst>
          </xdr:cNvPr>
          <xdr:cNvGrpSpPr/>
        </xdr:nvGrpSpPr>
        <xdr:grpSpPr>
          <a:xfrm>
            <a:off x="274692" y="3269818"/>
            <a:ext cx="3175624" cy="902746"/>
            <a:chOff x="231396" y="2867172"/>
            <a:chExt cx="3175624" cy="902746"/>
          </a:xfrm>
        </xdr:grpSpPr>
        <xdr:sp macro="" textlink="">
          <xdr:nvSpPr>
            <xdr:cNvPr id="72" name="Rectangle: Rounded Corners 71">
              <a:hlinkClick xmlns:r="http://schemas.openxmlformats.org/officeDocument/2006/relationships" r:id="rId37"/>
              <a:extLst>
                <a:ext uri="{FF2B5EF4-FFF2-40B4-BE49-F238E27FC236}">
                  <a16:creationId xmlns:a16="http://schemas.microsoft.com/office/drawing/2014/main" id="{3CEB270B-54E7-88B9-BBAB-6CB5CCE89F03}"/>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73" name="Graphic 72" descr="Soundwave with solid fill">
              <a:hlinkClick xmlns:r="http://schemas.openxmlformats.org/officeDocument/2006/relationships" r:id="rId37"/>
              <a:extLst>
                <a:ext uri="{FF2B5EF4-FFF2-40B4-BE49-F238E27FC236}">
                  <a16:creationId xmlns:a16="http://schemas.microsoft.com/office/drawing/2014/main" id="{BFD6B3EC-55F1-2C48-32E0-2DD6986CF3F1}"/>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338941</xdr:rowOff>
    </xdr:to>
    <xdr:grpSp>
      <xdr:nvGrpSpPr>
        <xdr:cNvPr id="43" name="Group 42">
          <a:extLst>
            <a:ext uri="{FF2B5EF4-FFF2-40B4-BE49-F238E27FC236}">
              <a16:creationId xmlns:a16="http://schemas.microsoft.com/office/drawing/2014/main" id="{38BB2F9A-FF43-46FF-BB0E-9A2ED78C78C8}"/>
            </a:ext>
          </a:extLst>
        </xdr:cNvPr>
        <xdr:cNvGrpSpPr>
          <a:grpSpLocks noChangeAspect="1"/>
        </xdr:cNvGrpSpPr>
      </xdr:nvGrpSpPr>
      <xdr:grpSpPr>
        <a:xfrm>
          <a:off x="27214" y="27214"/>
          <a:ext cx="3524696" cy="13265727"/>
          <a:chOff x="51954" y="51955"/>
          <a:chExt cx="3636819" cy="13265727"/>
        </a:xfrm>
      </xdr:grpSpPr>
      <xdr:sp macro="" textlink="">
        <xdr:nvSpPr>
          <xdr:cNvPr id="44" name="Rectangle: Rounded Corners 43">
            <a:extLst>
              <a:ext uri="{FF2B5EF4-FFF2-40B4-BE49-F238E27FC236}">
                <a16:creationId xmlns:a16="http://schemas.microsoft.com/office/drawing/2014/main" id="{8D721CAE-4D19-607F-DA76-D26354D47645}"/>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45" name="Group 44">
            <a:hlinkClick xmlns:r="http://schemas.openxmlformats.org/officeDocument/2006/relationships" r:id="rId1"/>
            <a:extLst>
              <a:ext uri="{FF2B5EF4-FFF2-40B4-BE49-F238E27FC236}">
                <a16:creationId xmlns:a16="http://schemas.microsoft.com/office/drawing/2014/main" id="{756D04E4-7CDC-E9F7-6881-15BCA4548661}"/>
              </a:ext>
            </a:extLst>
          </xdr:cNvPr>
          <xdr:cNvGrpSpPr/>
        </xdr:nvGrpSpPr>
        <xdr:grpSpPr>
          <a:xfrm>
            <a:off x="274692" y="253113"/>
            <a:ext cx="3175624" cy="902746"/>
            <a:chOff x="231396" y="131885"/>
            <a:chExt cx="3175624" cy="902746"/>
          </a:xfrm>
        </xdr:grpSpPr>
        <xdr:sp macro="" textlink="">
          <xdr:nvSpPr>
            <xdr:cNvPr id="82" name="Rectangle: Rounded Corners 81">
              <a:extLst>
                <a:ext uri="{FF2B5EF4-FFF2-40B4-BE49-F238E27FC236}">
                  <a16:creationId xmlns:a16="http://schemas.microsoft.com/office/drawing/2014/main" id="{7EEEA83F-93CD-8308-9140-95C3AF6CAD03}"/>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83" name="Graphic 82" descr="Home with solid fill">
              <a:hlinkClick xmlns:r="http://schemas.openxmlformats.org/officeDocument/2006/relationships" r:id="rId1"/>
              <a:extLst>
                <a:ext uri="{FF2B5EF4-FFF2-40B4-BE49-F238E27FC236}">
                  <a16:creationId xmlns:a16="http://schemas.microsoft.com/office/drawing/2014/main" id="{09B39550-A405-87EC-2AC7-CC9517FE8BD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46" name="Group 45">
            <a:extLst>
              <a:ext uri="{FF2B5EF4-FFF2-40B4-BE49-F238E27FC236}">
                <a16:creationId xmlns:a16="http://schemas.microsoft.com/office/drawing/2014/main" id="{88228430-B1AE-7F58-8A78-D5EF340EF901}"/>
              </a:ext>
            </a:extLst>
          </xdr:cNvPr>
          <xdr:cNvGrpSpPr/>
        </xdr:nvGrpSpPr>
        <xdr:grpSpPr>
          <a:xfrm>
            <a:off x="274692" y="1258682"/>
            <a:ext cx="3175624" cy="902746"/>
            <a:chOff x="231396" y="1043648"/>
            <a:chExt cx="3175624" cy="902746"/>
          </a:xfrm>
        </xdr:grpSpPr>
        <xdr:sp macro="" textlink="">
          <xdr:nvSpPr>
            <xdr:cNvPr id="80" name="Rectangle: Rounded Corners 79">
              <a:hlinkClick xmlns:r="http://schemas.openxmlformats.org/officeDocument/2006/relationships" r:id="rId4"/>
              <a:extLst>
                <a:ext uri="{FF2B5EF4-FFF2-40B4-BE49-F238E27FC236}">
                  <a16:creationId xmlns:a16="http://schemas.microsoft.com/office/drawing/2014/main" id="{F8F06234-5864-B5F9-EC2E-2028316A9743}"/>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81" name="Graphic 80" descr="Address Book with solid fill">
              <a:hlinkClick xmlns:r="http://schemas.openxmlformats.org/officeDocument/2006/relationships" r:id="rId4"/>
              <a:extLst>
                <a:ext uri="{FF2B5EF4-FFF2-40B4-BE49-F238E27FC236}">
                  <a16:creationId xmlns:a16="http://schemas.microsoft.com/office/drawing/2014/main" id="{FD101FFE-FD43-5F2D-ADB4-10A4C570C34F}"/>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47" name="Group 46">
            <a:extLst>
              <a:ext uri="{FF2B5EF4-FFF2-40B4-BE49-F238E27FC236}">
                <a16:creationId xmlns:a16="http://schemas.microsoft.com/office/drawing/2014/main" id="{5EB275B4-DB26-F43A-2C72-C878781C8090}"/>
              </a:ext>
            </a:extLst>
          </xdr:cNvPr>
          <xdr:cNvGrpSpPr/>
        </xdr:nvGrpSpPr>
        <xdr:grpSpPr>
          <a:xfrm>
            <a:off x="274692" y="2264251"/>
            <a:ext cx="3175624" cy="902744"/>
            <a:chOff x="231396" y="1955411"/>
            <a:chExt cx="3175624" cy="902744"/>
          </a:xfrm>
        </xdr:grpSpPr>
        <xdr:sp macro="" textlink="">
          <xdr:nvSpPr>
            <xdr:cNvPr id="78" name="Rectangle: Rounded Corners 77">
              <a:hlinkClick xmlns:r="http://schemas.openxmlformats.org/officeDocument/2006/relationships" r:id="rId7"/>
              <a:extLst>
                <a:ext uri="{FF2B5EF4-FFF2-40B4-BE49-F238E27FC236}">
                  <a16:creationId xmlns:a16="http://schemas.microsoft.com/office/drawing/2014/main" id="{1CAFE9D0-2EE5-4907-EFBD-50CEEF430B19}"/>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79" name="Graphic 78" descr="Closed book with solid fill">
              <a:hlinkClick xmlns:r="http://schemas.openxmlformats.org/officeDocument/2006/relationships" r:id="rId7"/>
              <a:extLst>
                <a:ext uri="{FF2B5EF4-FFF2-40B4-BE49-F238E27FC236}">
                  <a16:creationId xmlns:a16="http://schemas.microsoft.com/office/drawing/2014/main" id="{741F08F0-3CCB-371F-4A2A-A571B34725B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48" name="Group 47">
            <a:extLst>
              <a:ext uri="{FF2B5EF4-FFF2-40B4-BE49-F238E27FC236}">
                <a16:creationId xmlns:a16="http://schemas.microsoft.com/office/drawing/2014/main" id="{B3A4F749-3718-B2DA-DE61-0FD087E096D8}"/>
              </a:ext>
            </a:extLst>
          </xdr:cNvPr>
          <xdr:cNvGrpSpPr/>
        </xdr:nvGrpSpPr>
        <xdr:grpSpPr>
          <a:xfrm>
            <a:off x="274692" y="11276710"/>
            <a:ext cx="3175624" cy="896469"/>
            <a:chOff x="231396" y="10123616"/>
            <a:chExt cx="3175624" cy="896469"/>
          </a:xfrm>
        </xdr:grpSpPr>
        <xdr:sp macro="" textlink="">
          <xdr:nvSpPr>
            <xdr:cNvPr id="76" name="Rectangle: Rounded Corners 75">
              <a:hlinkClick xmlns:r="http://schemas.openxmlformats.org/officeDocument/2006/relationships" r:id="rId10"/>
              <a:extLst>
                <a:ext uri="{FF2B5EF4-FFF2-40B4-BE49-F238E27FC236}">
                  <a16:creationId xmlns:a16="http://schemas.microsoft.com/office/drawing/2014/main" id="{3B5A2494-3088-EB62-ACAA-5295B12137F8}"/>
                </a:ext>
              </a:extLst>
            </xdr:cNvPr>
            <xdr:cNvSpPr/>
          </xdr:nvSpPr>
          <xdr:spPr>
            <a:xfrm>
              <a:off x="231396" y="10123616"/>
              <a:ext cx="3175624" cy="89646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ysClr val="windowText" lastClr="000000"/>
                  </a:solidFill>
                  <a:latin typeface="Georgia" panose="02040502050405020303" pitchFamily="18" charset="0"/>
                  <a:ea typeface="+mn-ea"/>
                  <a:cs typeface="+mn-cs"/>
                </a:rPr>
                <a:t>Tuition &amp; Fees</a:t>
              </a:r>
            </a:p>
          </xdr:txBody>
        </xdr:sp>
        <xdr:pic>
          <xdr:nvPicPr>
            <xdr:cNvPr id="77" name="Graphic 76" descr="Bar graph with downward trend with solid fill">
              <a:hlinkClick xmlns:r="http://schemas.openxmlformats.org/officeDocument/2006/relationships" r:id="rId10"/>
              <a:extLst>
                <a:ext uri="{FF2B5EF4-FFF2-40B4-BE49-F238E27FC236}">
                  <a16:creationId xmlns:a16="http://schemas.microsoft.com/office/drawing/2014/main" id="{7C452D99-59FC-5028-9416-17D4DC107D09}"/>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49" name="Group 48">
            <a:extLst>
              <a:ext uri="{FF2B5EF4-FFF2-40B4-BE49-F238E27FC236}">
                <a16:creationId xmlns:a16="http://schemas.microsoft.com/office/drawing/2014/main" id="{F1A08F9D-129F-6855-43AC-05F708649C45}"/>
              </a:ext>
            </a:extLst>
          </xdr:cNvPr>
          <xdr:cNvGrpSpPr/>
        </xdr:nvGrpSpPr>
        <xdr:grpSpPr>
          <a:xfrm>
            <a:off x="274692" y="10277418"/>
            <a:ext cx="3175624" cy="896469"/>
            <a:chOff x="231396" y="9218130"/>
            <a:chExt cx="3175624" cy="896469"/>
          </a:xfrm>
        </xdr:grpSpPr>
        <xdr:sp macro="" textlink="">
          <xdr:nvSpPr>
            <xdr:cNvPr id="74" name="Rectangle: Rounded Corners 73">
              <a:hlinkClick xmlns:r="http://schemas.openxmlformats.org/officeDocument/2006/relationships" r:id="rId13"/>
              <a:extLst>
                <a:ext uri="{FF2B5EF4-FFF2-40B4-BE49-F238E27FC236}">
                  <a16:creationId xmlns:a16="http://schemas.microsoft.com/office/drawing/2014/main" id="{28F24BF4-58AA-8AC6-FA01-9266F09CE5D0}"/>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75" name="Graphic 74" descr="Bar graph with upward trend with solid fill">
              <a:hlinkClick xmlns:r="http://schemas.openxmlformats.org/officeDocument/2006/relationships" r:id="rId13"/>
              <a:extLst>
                <a:ext uri="{FF2B5EF4-FFF2-40B4-BE49-F238E27FC236}">
                  <a16:creationId xmlns:a16="http://schemas.microsoft.com/office/drawing/2014/main" id="{03688832-0050-0488-A5DE-C20012B025B8}"/>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50" name="Group 49">
            <a:extLst>
              <a:ext uri="{FF2B5EF4-FFF2-40B4-BE49-F238E27FC236}">
                <a16:creationId xmlns:a16="http://schemas.microsoft.com/office/drawing/2014/main" id="{058A52A6-3CCA-18CD-D0C8-04FB974A556D}"/>
              </a:ext>
            </a:extLst>
          </xdr:cNvPr>
          <xdr:cNvGrpSpPr/>
        </xdr:nvGrpSpPr>
        <xdr:grpSpPr>
          <a:xfrm>
            <a:off x="274692" y="8278833"/>
            <a:ext cx="3175624" cy="896470"/>
            <a:chOff x="231396" y="7407157"/>
            <a:chExt cx="3175624" cy="896470"/>
          </a:xfrm>
        </xdr:grpSpPr>
        <xdr:sp macro="" textlink="">
          <xdr:nvSpPr>
            <xdr:cNvPr id="72" name="Rectangle: Rounded Corners 71">
              <a:hlinkClick xmlns:r="http://schemas.openxmlformats.org/officeDocument/2006/relationships" r:id="rId16"/>
              <a:extLst>
                <a:ext uri="{FF2B5EF4-FFF2-40B4-BE49-F238E27FC236}">
                  <a16:creationId xmlns:a16="http://schemas.microsoft.com/office/drawing/2014/main" id="{F6D13CD3-CEF8-6D99-CBC2-85794E5B949B}"/>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73" name="Graphic 72" descr="Books with solid fill">
              <a:hlinkClick xmlns:r="http://schemas.openxmlformats.org/officeDocument/2006/relationships" r:id="rId16"/>
              <a:extLst>
                <a:ext uri="{FF2B5EF4-FFF2-40B4-BE49-F238E27FC236}">
                  <a16:creationId xmlns:a16="http://schemas.microsoft.com/office/drawing/2014/main" id="{CD19EA0C-D18B-98A3-AAE5-6E657F04A83E}"/>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51" name="Group 50">
            <a:extLst>
              <a:ext uri="{FF2B5EF4-FFF2-40B4-BE49-F238E27FC236}">
                <a16:creationId xmlns:a16="http://schemas.microsoft.com/office/drawing/2014/main" id="{71B38E11-77D8-4EEF-289C-EC7B7647CB54}"/>
              </a:ext>
            </a:extLst>
          </xdr:cNvPr>
          <xdr:cNvGrpSpPr/>
        </xdr:nvGrpSpPr>
        <xdr:grpSpPr>
          <a:xfrm>
            <a:off x="274692" y="9278126"/>
            <a:ext cx="3175624" cy="896469"/>
            <a:chOff x="231396" y="8312644"/>
            <a:chExt cx="3175624" cy="896469"/>
          </a:xfrm>
        </xdr:grpSpPr>
        <xdr:sp macro="" textlink="">
          <xdr:nvSpPr>
            <xdr:cNvPr id="70" name="Rectangle: Rounded Corners 69">
              <a:hlinkClick xmlns:r="http://schemas.openxmlformats.org/officeDocument/2006/relationships" r:id="rId19"/>
              <a:extLst>
                <a:ext uri="{FF2B5EF4-FFF2-40B4-BE49-F238E27FC236}">
                  <a16:creationId xmlns:a16="http://schemas.microsoft.com/office/drawing/2014/main" id="{0205E24F-2F7E-8AD4-37EC-229720D49FB4}"/>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71" name="Graphic 70" descr="Books on shelf with solid fill">
              <a:hlinkClick xmlns:r="http://schemas.openxmlformats.org/officeDocument/2006/relationships" r:id="rId19"/>
              <a:extLst>
                <a:ext uri="{FF2B5EF4-FFF2-40B4-BE49-F238E27FC236}">
                  <a16:creationId xmlns:a16="http://schemas.microsoft.com/office/drawing/2014/main" id="{2610935E-B3DC-71CC-CD43-D78DFF82FCDF}"/>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52" name="Group 51">
            <a:extLst>
              <a:ext uri="{FF2B5EF4-FFF2-40B4-BE49-F238E27FC236}">
                <a16:creationId xmlns:a16="http://schemas.microsoft.com/office/drawing/2014/main" id="{4BE9954F-8E16-0F72-7792-C8C29A3F1C4C}"/>
              </a:ext>
            </a:extLst>
          </xdr:cNvPr>
          <xdr:cNvGrpSpPr/>
        </xdr:nvGrpSpPr>
        <xdr:grpSpPr>
          <a:xfrm>
            <a:off x="274692" y="12276007"/>
            <a:ext cx="3175624" cy="896469"/>
            <a:chOff x="231396" y="11029098"/>
            <a:chExt cx="3175624" cy="896469"/>
          </a:xfrm>
        </xdr:grpSpPr>
        <xdr:sp macro="" textlink="">
          <xdr:nvSpPr>
            <xdr:cNvPr id="68" name="Rectangle: Rounded Corners 67">
              <a:hlinkClick xmlns:r="http://schemas.openxmlformats.org/officeDocument/2006/relationships" r:id="rId22"/>
              <a:extLst>
                <a:ext uri="{FF2B5EF4-FFF2-40B4-BE49-F238E27FC236}">
                  <a16:creationId xmlns:a16="http://schemas.microsoft.com/office/drawing/2014/main" id="{B2FFCA72-68AA-8D56-8881-CCB371A8EA83}"/>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69" name="Graphic 68" descr="Users with solid fill">
              <a:hlinkClick xmlns:r="http://schemas.openxmlformats.org/officeDocument/2006/relationships" r:id="rId22"/>
              <a:extLst>
                <a:ext uri="{FF2B5EF4-FFF2-40B4-BE49-F238E27FC236}">
                  <a16:creationId xmlns:a16="http://schemas.microsoft.com/office/drawing/2014/main" id="{48E46571-B9E5-9C9E-BE86-50651D3F01EE}"/>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53" name="Group 52">
            <a:extLst>
              <a:ext uri="{FF2B5EF4-FFF2-40B4-BE49-F238E27FC236}">
                <a16:creationId xmlns:a16="http://schemas.microsoft.com/office/drawing/2014/main" id="{0B22A74A-944A-4F08-F6A9-148FF9135320}"/>
              </a:ext>
            </a:extLst>
          </xdr:cNvPr>
          <xdr:cNvGrpSpPr/>
        </xdr:nvGrpSpPr>
        <xdr:grpSpPr>
          <a:xfrm>
            <a:off x="274692" y="5280956"/>
            <a:ext cx="3175624" cy="896469"/>
            <a:chOff x="231396" y="4690698"/>
            <a:chExt cx="3175624" cy="896469"/>
          </a:xfrm>
        </xdr:grpSpPr>
        <xdr:sp macro="" textlink="">
          <xdr:nvSpPr>
            <xdr:cNvPr id="66" name="Rectangle: Rounded Corners 65">
              <a:hlinkClick xmlns:r="http://schemas.openxmlformats.org/officeDocument/2006/relationships" r:id="rId25"/>
              <a:extLst>
                <a:ext uri="{FF2B5EF4-FFF2-40B4-BE49-F238E27FC236}">
                  <a16:creationId xmlns:a16="http://schemas.microsoft.com/office/drawing/2014/main" id="{07E6388D-3C4A-308A-A8F5-3EE82D31103E}"/>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67" name="Graphic 66" descr="Hierarchy with solid fill">
              <a:extLst>
                <a:ext uri="{FF2B5EF4-FFF2-40B4-BE49-F238E27FC236}">
                  <a16:creationId xmlns:a16="http://schemas.microsoft.com/office/drawing/2014/main" id="{7AD07AB6-E7A7-75FD-2097-170DD0E57B5E}"/>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54" name="Group 53">
            <a:extLst>
              <a:ext uri="{FF2B5EF4-FFF2-40B4-BE49-F238E27FC236}">
                <a16:creationId xmlns:a16="http://schemas.microsoft.com/office/drawing/2014/main" id="{B20145D0-B09E-136A-9064-59DFC2A077C7}"/>
              </a:ext>
            </a:extLst>
          </xdr:cNvPr>
          <xdr:cNvGrpSpPr/>
        </xdr:nvGrpSpPr>
        <xdr:grpSpPr>
          <a:xfrm>
            <a:off x="274692" y="6280248"/>
            <a:ext cx="3175624" cy="896469"/>
            <a:chOff x="231396" y="5596184"/>
            <a:chExt cx="3175624" cy="896469"/>
          </a:xfrm>
        </xdr:grpSpPr>
        <xdr:sp macro="" textlink="">
          <xdr:nvSpPr>
            <xdr:cNvPr id="64" name="Rectangle: Rounded Corners 63">
              <a:hlinkClick xmlns:r="http://schemas.openxmlformats.org/officeDocument/2006/relationships" r:id="rId28"/>
              <a:extLst>
                <a:ext uri="{FF2B5EF4-FFF2-40B4-BE49-F238E27FC236}">
                  <a16:creationId xmlns:a16="http://schemas.microsoft.com/office/drawing/2014/main" id="{4F5ADBEB-C9CB-CC3A-100E-F65CE9710C84}"/>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65" name="Graphic 64" descr="Postit Notes with solid fill">
              <a:hlinkClick xmlns:r="http://schemas.openxmlformats.org/officeDocument/2006/relationships" r:id="rId28"/>
              <a:extLst>
                <a:ext uri="{FF2B5EF4-FFF2-40B4-BE49-F238E27FC236}">
                  <a16:creationId xmlns:a16="http://schemas.microsoft.com/office/drawing/2014/main" id="{A3E168B4-69AC-E268-5817-3568E9DE570E}"/>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55" name="Group 54">
            <a:extLst>
              <a:ext uri="{FF2B5EF4-FFF2-40B4-BE49-F238E27FC236}">
                <a16:creationId xmlns:a16="http://schemas.microsoft.com/office/drawing/2014/main" id="{DBADCECC-92C3-C156-A6D0-D1851561E312}"/>
              </a:ext>
            </a:extLst>
          </xdr:cNvPr>
          <xdr:cNvGrpSpPr/>
        </xdr:nvGrpSpPr>
        <xdr:grpSpPr>
          <a:xfrm>
            <a:off x="274692" y="7279540"/>
            <a:ext cx="3175624" cy="896470"/>
            <a:chOff x="231396" y="6501670"/>
            <a:chExt cx="3175624" cy="896470"/>
          </a:xfrm>
        </xdr:grpSpPr>
        <xdr:sp macro="" textlink="">
          <xdr:nvSpPr>
            <xdr:cNvPr id="62" name="Rectangle: Rounded Corners 61">
              <a:hlinkClick xmlns:r="http://schemas.openxmlformats.org/officeDocument/2006/relationships" r:id="rId31"/>
              <a:extLst>
                <a:ext uri="{FF2B5EF4-FFF2-40B4-BE49-F238E27FC236}">
                  <a16:creationId xmlns:a16="http://schemas.microsoft.com/office/drawing/2014/main" id="{09374BF8-739D-D7C5-5BEB-15B546A72443}"/>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63" name="Graphic 62" descr="Signal with solid fill">
              <a:hlinkClick xmlns:r="http://schemas.openxmlformats.org/officeDocument/2006/relationships" r:id="rId31"/>
              <a:extLst>
                <a:ext uri="{FF2B5EF4-FFF2-40B4-BE49-F238E27FC236}">
                  <a16:creationId xmlns:a16="http://schemas.microsoft.com/office/drawing/2014/main" id="{C9723A1F-5D75-EA7C-D78E-F67DD7BA48D5}"/>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56" name="Group 55">
            <a:extLst>
              <a:ext uri="{FF2B5EF4-FFF2-40B4-BE49-F238E27FC236}">
                <a16:creationId xmlns:a16="http://schemas.microsoft.com/office/drawing/2014/main" id="{724DED67-09B9-AB99-E205-895A49F821E7}"/>
              </a:ext>
            </a:extLst>
          </xdr:cNvPr>
          <xdr:cNvGrpSpPr/>
        </xdr:nvGrpSpPr>
        <xdr:grpSpPr>
          <a:xfrm>
            <a:off x="274692" y="4275387"/>
            <a:ext cx="3175624" cy="902746"/>
            <a:chOff x="231396" y="3778935"/>
            <a:chExt cx="3175624" cy="902746"/>
          </a:xfrm>
        </xdr:grpSpPr>
        <xdr:sp macro="" textlink="">
          <xdr:nvSpPr>
            <xdr:cNvPr id="60" name="Rectangle: Rounded Corners 59">
              <a:hlinkClick xmlns:r="http://schemas.openxmlformats.org/officeDocument/2006/relationships" r:id="rId34"/>
              <a:extLst>
                <a:ext uri="{FF2B5EF4-FFF2-40B4-BE49-F238E27FC236}">
                  <a16:creationId xmlns:a16="http://schemas.microsoft.com/office/drawing/2014/main" id="{DB5E8F52-33F4-DA1B-2D4B-273967375AE9}"/>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61" name="Graphic 60" descr="Document with solid fill">
              <a:hlinkClick xmlns:r="http://schemas.openxmlformats.org/officeDocument/2006/relationships" r:id="rId34"/>
              <a:extLst>
                <a:ext uri="{FF2B5EF4-FFF2-40B4-BE49-F238E27FC236}">
                  <a16:creationId xmlns:a16="http://schemas.microsoft.com/office/drawing/2014/main" id="{770DB2C4-CF15-9AE2-3217-195CF636C922}"/>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57" name="Group 56">
            <a:extLst>
              <a:ext uri="{FF2B5EF4-FFF2-40B4-BE49-F238E27FC236}">
                <a16:creationId xmlns:a16="http://schemas.microsoft.com/office/drawing/2014/main" id="{C6BE9320-CBE6-7B49-B5F7-2550C58C7BFA}"/>
              </a:ext>
            </a:extLst>
          </xdr:cNvPr>
          <xdr:cNvGrpSpPr/>
        </xdr:nvGrpSpPr>
        <xdr:grpSpPr>
          <a:xfrm>
            <a:off x="274692" y="3269818"/>
            <a:ext cx="3175624" cy="902746"/>
            <a:chOff x="231396" y="2867172"/>
            <a:chExt cx="3175624" cy="902746"/>
          </a:xfrm>
        </xdr:grpSpPr>
        <xdr:sp macro="" textlink="">
          <xdr:nvSpPr>
            <xdr:cNvPr id="58" name="Rectangle: Rounded Corners 57">
              <a:hlinkClick xmlns:r="http://schemas.openxmlformats.org/officeDocument/2006/relationships" r:id="rId37"/>
              <a:extLst>
                <a:ext uri="{FF2B5EF4-FFF2-40B4-BE49-F238E27FC236}">
                  <a16:creationId xmlns:a16="http://schemas.microsoft.com/office/drawing/2014/main" id="{61E01BE1-0373-C9CF-3D54-07F59A6E9CD1}"/>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59" name="Graphic 58" descr="Soundwave with solid fill">
              <a:hlinkClick xmlns:r="http://schemas.openxmlformats.org/officeDocument/2006/relationships" r:id="rId37"/>
              <a:extLst>
                <a:ext uri="{FF2B5EF4-FFF2-40B4-BE49-F238E27FC236}">
                  <a16:creationId xmlns:a16="http://schemas.microsoft.com/office/drawing/2014/main" id="{474B28B4-B966-2A74-EE25-D2B42AC977F7}"/>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39584</xdr:rowOff>
    </xdr:to>
    <xdr:grpSp>
      <xdr:nvGrpSpPr>
        <xdr:cNvPr id="43" name="Group 42">
          <a:extLst>
            <a:ext uri="{FF2B5EF4-FFF2-40B4-BE49-F238E27FC236}">
              <a16:creationId xmlns:a16="http://schemas.microsoft.com/office/drawing/2014/main" id="{89ED1881-D446-44B6-83AD-9B215D99AD5C}"/>
            </a:ext>
          </a:extLst>
        </xdr:cNvPr>
        <xdr:cNvGrpSpPr>
          <a:grpSpLocks noChangeAspect="1"/>
        </xdr:cNvGrpSpPr>
      </xdr:nvGrpSpPr>
      <xdr:grpSpPr>
        <a:xfrm>
          <a:off x="27214" y="27214"/>
          <a:ext cx="3543281" cy="13273029"/>
          <a:chOff x="51954" y="51955"/>
          <a:chExt cx="3636819" cy="13265727"/>
        </a:xfrm>
      </xdr:grpSpPr>
      <xdr:sp macro="" textlink="">
        <xdr:nvSpPr>
          <xdr:cNvPr id="44" name="Rectangle: Rounded Corners 43">
            <a:extLst>
              <a:ext uri="{FF2B5EF4-FFF2-40B4-BE49-F238E27FC236}">
                <a16:creationId xmlns:a16="http://schemas.microsoft.com/office/drawing/2014/main" id="{74AF1E67-DE76-D3F7-8C0F-18D1BB756389}"/>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45" name="Group 44">
            <a:hlinkClick xmlns:r="http://schemas.openxmlformats.org/officeDocument/2006/relationships" r:id="rId1"/>
            <a:extLst>
              <a:ext uri="{FF2B5EF4-FFF2-40B4-BE49-F238E27FC236}">
                <a16:creationId xmlns:a16="http://schemas.microsoft.com/office/drawing/2014/main" id="{B91E9C6F-C08C-E6C6-50B0-E6B0207E64A4}"/>
              </a:ext>
            </a:extLst>
          </xdr:cNvPr>
          <xdr:cNvGrpSpPr/>
        </xdr:nvGrpSpPr>
        <xdr:grpSpPr>
          <a:xfrm>
            <a:off x="274692" y="253113"/>
            <a:ext cx="3175624" cy="902746"/>
            <a:chOff x="231396" y="131885"/>
            <a:chExt cx="3175624" cy="902746"/>
          </a:xfrm>
        </xdr:grpSpPr>
        <xdr:sp macro="" textlink="">
          <xdr:nvSpPr>
            <xdr:cNvPr id="82" name="Rectangle: Rounded Corners 81">
              <a:extLst>
                <a:ext uri="{FF2B5EF4-FFF2-40B4-BE49-F238E27FC236}">
                  <a16:creationId xmlns:a16="http://schemas.microsoft.com/office/drawing/2014/main" id="{B510AD80-0BBC-0C4D-910F-36A4FFA88BE5}"/>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83" name="Graphic 82" descr="Home with solid fill">
              <a:hlinkClick xmlns:r="http://schemas.openxmlformats.org/officeDocument/2006/relationships" r:id="rId1"/>
              <a:extLst>
                <a:ext uri="{FF2B5EF4-FFF2-40B4-BE49-F238E27FC236}">
                  <a16:creationId xmlns:a16="http://schemas.microsoft.com/office/drawing/2014/main" id="{F3B508B6-F6A9-CED9-C818-CC2C0C3B7B0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46" name="Group 45">
            <a:extLst>
              <a:ext uri="{FF2B5EF4-FFF2-40B4-BE49-F238E27FC236}">
                <a16:creationId xmlns:a16="http://schemas.microsoft.com/office/drawing/2014/main" id="{791293A7-8527-35FC-31B4-7A944A6DA4B4}"/>
              </a:ext>
            </a:extLst>
          </xdr:cNvPr>
          <xdr:cNvGrpSpPr/>
        </xdr:nvGrpSpPr>
        <xdr:grpSpPr>
          <a:xfrm>
            <a:off x="274692" y="1258682"/>
            <a:ext cx="3175624" cy="902746"/>
            <a:chOff x="231396" y="1043648"/>
            <a:chExt cx="3175624" cy="902746"/>
          </a:xfrm>
        </xdr:grpSpPr>
        <xdr:sp macro="" textlink="">
          <xdr:nvSpPr>
            <xdr:cNvPr id="80" name="Rectangle: Rounded Corners 79">
              <a:hlinkClick xmlns:r="http://schemas.openxmlformats.org/officeDocument/2006/relationships" r:id="rId4"/>
              <a:extLst>
                <a:ext uri="{FF2B5EF4-FFF2-40B4-BE49-F238E27FC236}">
                  <a16:creationId xmlns:a16="http://schemas.microsoft.com/office/drawing/2014/main" id="{980ACBF6-78F1-A1F0-F0D8-88C6AD25D640}"/>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81" name="Graphic 80" descr="Address Book with solid fill">
              <a:hlinkClick xmlns:r="http://schemas.openxmlformats.org/officeDocument/2006/relationships" r:id="rId4"/>
              <a:extLst>
                <a:ext uri="{FF2B5EF4-FFF2-40B4-BE49-F238E27FC236}">
                  <a16:creationId xmlns:a16="http://schemas.microsoft.com/office/drawing/2014/main" id="{5EDBB70A-6F73-2A70-967A-96E211361031}"/>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47" name="Group 46">
            <a:extLst>
              <a:ext uri="{FF2B5EF4-FFF2-40B4-BE49-F238E27FC236}">
                <a16:creationId xmlns:a16="http://schemas.microsoft.com/office/drawing/2014/main" id="{6DB50D7B-225D-9BF6-5BF6-F1CDA5C800FC}"/>
              </a:ext>
            </a:extLst>
          </xdr:cNvPr>
          <xdr:cNvGrpSpPr/>
        </xdr:nvGrpSpPr>
        <xdr:grpSpPr>
          <a:xfrm>
            <a:off x="274692" y="2264251"/>
            <a:ext cx="3175624" cy="902744"/>
            <a:chOff x="231396" y="1955411"/>
            <a:chExt cx="3175624" cy="902744"/>
          </a:xfrm>
        </xdr:grpSpPr>
        <xdr:sp macro="" textlink="">
          <xdr:nvSpPr>
            <xdr:cNvPr id="78" name="Rectangle: Rounded Corners 77">
              <a:hlinkClick xmlns:r="http://schemas.openxmlformats.org/officeDocument/2006/relationships" r:id="rId7"/>
              <a:extLst>
                <a:ext uri="{FF2B5EF4-FFF2-40B4-BE49-F238E27FC236}">
                  <a16:creationId xmlns:a16="http://schemas.microsoft.com/office/drawing/2014/main" id="{8EEB9EF3-F6D4-A017-BD24-D48DA5C2B3F4}"/>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79" name="Graphic 78" descr="Closed book with solid fill">
              <a:hlinkClick xmlns:r="http://schemas.openxmlformats.org/officeDocument/2006/relationships" r:id="rId7"/>
              <a:extLst>
                <a:ext uri="{FF2B5EF4-FFF2-40B4-BE49-F238E27FC236}">
                  <a16:creationId xmlns:a16="http://schemas.microsoft.com/office/drawing/2014/main" id="{7D722529-F188-0217-0203-C4BAAD2DB33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48" name="Group 47">
            <a:extLst>
              <a:ext uri="{FF2B5EF4-FFF2-40B4-BE49-F238E27FC236}">
                <a16:creationId xmlns:a16="http://schemas.microsoft.com/office/drawing/2014/main" id="{0218E28F-07A9-43F2-AE98-EFAE9D3D2B5F}"/>
              </a:ext>
            </a:extLst>
          </xdr:cNvPr>
          <xdr:cNvGrpSpPr/>
        </xdr:nvGrpSpPr>
        <xdr:grpSpPr>
          <a:xfrm>
            <a:off x="274692" y="11276710"/>
            <a:ext cx="3175624" cy="896469"/>
            <a:chOff x="231396" y="10123616"/>
            <a:chExt cx="3175624" cy="896469"/>
          </a:xfrm>
        </xdr:grpSpPr>
        <xdr:sp macro="" textlink="">
          <xdr:nvSpPr>
            <xdr:cNvPr id="76" name="Rectangle: Rounded Corners 75">
              <a:hlinkClick xmlns:r="http://schemas.openxmlformats.org/officeDocument/2006/relationships" r:id="rId10"/>
              <a:extLst>
                <a:ext uri="{FF2B5EF4-FFF2-40B4-BE49-F238E27FC236}">
                  <a16:creationId xmlns:a16="http://schemas.microsoft.com/office/drawing/2014/main" id="{21DEE3A6-92A5-E200-EAFB-2FFC3AC04B85}"/>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77" name="Graphic 76" descr="Bar graph with downward trend with solid fill">
              <a:hlinkClick xmlns:r="http://schemas.openxmlformats.org/officeDocument/2006/relationships" r:id="rId10"/>
              <a:extLst>
                <a:ext uri="{FF2B5EF4-FFF2-40B4-BE49-F238E27FC236}">
                  <a16:creationId xmlns:a16="http://schemas.microsoft.com/office/drawing/2014/main" id="{318E1A16-BA0B-18A7-D413-BC934ADD9BD6}"/>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49" name="Group 48">
            <a:extLst>
              <a:ext uri="{FF2B5EF4-FFF2-40B4-BE49-F238E27FC236}">
                <a16:creationId xmlns:a16="http://schemas.microsoft.com/office/drawing/2014/main" id="{0860E848-7F1B-3C50-34D7-29752173521D}"/>
              </a:ext>
            </a:extLst>
          </xdr:cNvPr>
          <xdr:cNvGrpSpPr/>
        </xdr:nvGrpSpPr>
        <xdr:grpSpPr>
          <a:xfrm>
            <a:off x="274692" y="10277418"/>
            <a:ext cx="3175624" cy="896469"/>
            <a:chOff x="231396" y="9218130"/>
            <a:chExt cx="3175624" cy="896469"/>
          </a:xfrm>
        </xdr:grpSpPr>
        <xdr:sp macro="" textlink="">
          <xdr:nvSpPr>
            <xdr:cNvPr id="74" name="Rectangle: Rounded Corners 73">
              <a:hlinkClick xmlns:r="http://schemas.openxmlformats.org/officeDocument/2006/relationships" r:id="rId13"/>
              <a:extLst>
                <a:ext uri="{FF2B5EF4-FFF2-40B4-BE49-F238E27FC236}">
                  <a16:creationId xmlns:a16="http://schemas.microsoft.com/office/drawing/2014/main" id="{53E17FE0-BEDE-899C-8005-B8E814E296F9}"/>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75" name="Graphic 74" descr="Bar graph with upward trend with solid fill">
              <a:hlinkClick xmlns:r="http://schemas.openxmlformats.org/officeDocument/2006/relationships" r:id="rId13"/>
              <a:extLst>
                <a:ext uri="{FF2B5EF4-FFF2-40B4-BE49-F238E27FC236}">
                  <a16:creationId xmlns:a16="http://schemas.microsoft.com/office/drawing/2014/main" id="{363E2416-243E-2341-0DC3-EEE6BF108259}"/>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50" name="Group 49">
            <a:extLst>
              <a:ext uri="{FF2B5EF4-FFF2-40B4-BE49-F238E27FC236}">
                <a16:creationId xmlns:a16="http://schemas.microsoft.com/office/drawing/2014/main" id="{978FA5D4-1C1C-B87F-644C-8C8EB23D8AFD}"/>
              </a:ext>
            </a:extLst>
          </xdr:cNvPr>
          <xdr:cNvGrpSpPr/>
        </xdr:nvGrpSpPr>
        <xdr:grpSpPr>
          <a:xfrm>
            <a:off x="274692" y="8278833"/>
            <a:ext cx="3175624" cy="896470"/>
            <a:chOff x="231396" y="7407157"/>
            <a:chExt cx="3175624" cy="896470"/>
          </a:xfrm>
        </xdr:grpSpPr>
        <xdr:sp macro="" textlink="">
          <xdr:nvSpPr>
            <xdr:cNvPr id="72" name="Rectangle: Rounded Corners 71">
              <a:hlinkClick xmlns:r="http://schemas.openxmlformats.org/officeDocument/2006/relationships" r:id="rId16"/>
              <a:extLst>
                <a:ext uri="{FF2B5EF4-FFF2-40B4-BE49-F238E27FC236}">
                  <a16:creationId xmlns:a16="http://schemas.microsoft.com/office/drawing/2014/main" id="{A6B8A7B4-E9E5-57FA-0580-1D71D96138B8}"/>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73" name="Graphic 72" descr="Books with solid fill">
              <a:hlinkClick xmlns:r="http://schemas.openxmlformats.org/officeDocument/2006/relationships" r:id="rId16"/>
              <a:extLst>
                <a:ext uri="{FF2B5EF4-FFF2-40B4-BE49-F238E27FC236}">
                  <a16:creationId xmlns:a16="http://schemas.microsoft.com/office/drawing/2014/main" id="{58293F83-219E-5298-56C4-4D26EC01735A}"/>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51" name="Group 50">
            <a:extLst>
              <a:ext uri="{FF2B5EF4-FFF2-40B4-BE49-F238E27FC236}">
                <a16:creationId xmlns:a16="http://schemas.microsoft.com/office/drawing/2014/main" id="{2CF66CE2-9E23-A533-DC35-27B938F7255C}"/>
              </a:ext>
            </a:extLst>
          </xdr:cNvPr>
          <xdr:cNvGrpSpPr/>
        </xdr:nvGrpSpPr>
        <xdr:grpSpPr>
          <a:xfrm>
            <a:off x="274692" y="9278126"/>
            <a:ext cx="3175624" cy="896469"/>
            <a:chOff x="231396" y="8312644"/>
            <a:chExt cx="3175624" cy="896469"/>
          </a:xfrm>
        </xdr:grpSpPr>
        <xdr:sp macro="" textlink="">
          <xdr:nvSpPr>
            <xdr:cNvPr id="70" name="Rectangle: Rounded Corners 69">
              <a:hlinkClick xmlns:r="http://schemas.openxmlformats.org/officeDocument/2006/relationships" r:id="rId19"/>
              <a:extLst>
                <a:ext uri="{FF2B5EF4-FFF2-40B4-BE49-F238E27FC236}">
                  <a16:creationId xmlns:a16="http://schemas.microsoft.com/office/drawing/2014/main" id="{47DCE2B1-ECCE-7790-8CA9-EE9CDF39C825}"/>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71" name="Graphic 70" descr="Books on shelf with solid fill">
              <a:hlinkClick xmlns:r="http://schemas.openxmlformats.org/officeDocument/2006/relationships" r:id="rId19"/>
              <a:extLst>
                <a:ext uri="{FF2B5EF4-FFF2-40B4-BE49-F238E27FC236}">
                  <a16:creationId xmlns:a16="http://schemas.microsoft.com/office/drawing/2014/main" id="{11CB56F8-B095-AF9F-E44A-F72E694C708C}"/>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52" name="Group 51">
            <a:extLst>
              <a:ext uri="{FF2B5EF4-FFF2-40B4-BE49-F238E27FC236}">
                <a16:creationId xmlns:a16="http://schemas.microsoft.com/office/drawing/2014/main" id="{822875CB-20E9-6370-5C85-AC0B644C297B}"/>
              </a:ext>
            </a:extLst>
          </xdr:cNvPr>
          <xdr:cNvGrpSpPr/>
        </xdr:nvGrpSpPr>
        <xdr:grpSpPr>
          <a:xfrm>
            <a:off x="274692" y="12276007"/>
            <a:ext cx="3175624" cy="896469"/>
            <a:chOff x="231396" y="11029098"/>
            <a:chExt cx="3175624" cy="896469"/>
          </a:xfrm>
        </xdr:grpSpPr>
        <xdr:sp macro="" textlink="">
          <xdr:nvSpPr>
            <xdr:cNvPr id="68" name="Rectangle: Rounded Corners 67">
              <a:hlinkClick xmlns:r="http://schemas.openxmlformats.org/officeDocument/2006/relationships" r:id="rId22"/>
              <a:extLst>
                <a:ext uri="{FF2B5EF4-FFF2-40B4-BE49-F238E27FC236}">
                  <a16:creationId xmlns:a16="http://schemas.microsoft.com/office/drawing/2014/main" id="{2B1F6CC3-7E24-7B00-84DB-FC788B49C30A}"/>
                </a:ext>
              </a:extLst>
            </xdr:cNvPr>
            <xdr:cNvSpPr/>
          </xdr:nvSpPr>
          <xdr:spPr>
            <a:xfrm>
              <a:off x="231396" y="11029098"/>
              <a:ext cx="3175624" cy="896469"/>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FTSE | FTFE</a:t>
              </a:r>
            </a:p>
          </xdr:txBody>
        </xdr:sp>
        <xdr:pic>
          <xdr:nvPicPr>
            <xdr:cNvPr id="69" name="Graphic 68" descr="Users with solid fill">
              <a:hlinkClick xmlns:r="http://schemas.openxmlformats.org/officeDocument/2006/relationships" r:id="rId22"/>
              <a:extLst>
                <a:ext uri="{FF2B5EF4-FFF2-40B4-BE49-F238E27FC236}">
                  <a16:creationId xmlns:a16="http://schemas.microsoft.com/office/drawing/2014/main" id="{C2DDA962-CB00-684F-F209-2AF0C96A8188}"/>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53" name="Group 52">
            <a:extLst>
              <a:ext uri="{FF2B5EF4-FFF2-40B4-BE49-F238E27FC236}">
                <a16:creationId xmlns:a16="http://schemas.microsoft.com/office/drawing/2014/main" id="{592401E6-EA3B-DB07-E43C-6ED0E8D604AF}"/>
              </a:ext>
            </a:extLst>
          </xdr:cNvPr>
          <xdr:cNvGrpSpPr/>
        </xdr:nvGrpSpPr>
        <xdr:grpSpPr>
          <a:xfrm>
            <a:off x="274692" y="5280956"/>
            <a:ext cx="3175624" cy="896469"/>
            <a:chOff x="231396" y="4690698"/>
            <a:chExt cx="3175624" cy="896469"/>
          </a:xfrm>
        </xdr:grpSpPr>
        <xdr:sp macro="" textlink="">
          <xdr:nvSpPr>
            <xdr:cNvPr id="66" name="Rectangle: Rounded Corners 65">
              <a:hlinkClick xmlns:r="http://schemas.openxmlformats.org/officeDocument/2006/relationships" r:id="rId25"/>
              <a:extLst>
                <a:ext uri="{FF2B5EF4-FFF2-40B4-BE49-F238E27FC236}">
                  <a16:creationId xmlns:a16="http://schemas.microsoft.com/office/drawing/2014/main" id="{FC40D9F9-9156-A88F-6402-A817917CBDBF}"/>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67" name="Graphic 66" descr="Hierarchy with solid fill">
              <a:extLst>
                <a:ext uri="{FF2B5EF4-FFF2-40B4-BE49-F238E27FC236}">
                  <a16:creationId xmlns:a16="http://schemas.microsoft.com/office/drawing/2014/main" id="{0CF63F64-EA60-3801-E618-015851DD95E5}"/>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54" name="Group 53">
            <a:extLst>
              <a:ext uri="{FF2B5EF4-FFF2-40B4-BE49-F238E27FC236}">
                <a16:creationId xmlns:a16="http://schemas.microsoft.com/office/drawing/2014/main" id="{979D4A61-C4AE-16C0-4B96-90FA624BCC35}"/>
              </a:ext>
            </a:extLst>
          </xdr:cNvPr>
          <xdr:cNvGrpSpPr/>
        </xdr:nvGrpSpPr>
        <xdr:grpSpPr>
          <a:xfrm>
            <a:off x="274692" y="6280248"/>
            <a:ext cx="3175624" cy="896469"/>
            <a:chOff x="231396" y="5596184"/>
            <a:chExt cx="3175624" cy="896469"/>
          </a:xfrm>
        </xdr:grpSpPr>
        <xdr:sp macro="" textlink="">
          <xdr:nvSpPr>
            <xdr:cNvPr id="64" name="Rectangle: Rounded Corners 63">
              <a:hlinkClick xmlns:r="http://schemas.openxmlformats.org/officeDocument/2006/relationships" r:id="rId28"/>
              <a:extLst>
                <a:ext uri="{FF2B5EF4-FFF2-40B4-BE49-F238E27FC236}">
                  <a16:creationId xmlns:a16="http://schemas.microsoft.com/office/drawing/2014/main" id="{04C8E4CD-8043-08F8-1675-2A6F663E32B5}"/>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65" name="Graphic 64" descr="Postit Notes with solid fill">
              <a:hlinkClick xmlns:r="http://schemas.openxmlformats.org/officeDocument/2006/relationships" r:id="rId28"/>
              <a:extLst>
                <a:ext uri="{FF2B5EF4-FFF2-40B4-BE49-F238E27FC236}">
                  <a16:creationId xmlns:a16="http://schemas.microsoft.com/office/drawing/2014/main" id="{65380243-24DA-2015-81D9-75DAA009ED09}"/>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55" name="Group 54">
            <a:extLst>
              <a:ext uri="{FF2B5EF4-FFF2-40B4-BE49-F238E27FC236}">
                <a16:creationId xmlns:a16="http://schemas.microsoft.com/office/drawing/2014/main" id="{69E6918E-31BE-7781-DE5C-662674DB03E9}"/>
              </a:ext>
            </a:extLst>
          </xdr:cNvPr>
          <xdr:cNvGrpSpPr/>
        </xdr:nvGrpSpPr>
        <xdr:grpSpPr>
          <a:xfrm>
            <a:off x="274692" y="7279540"/>
            <a:ext cx="3175624" cy="896470"/>
            <a:chOff x="231396" y="6501670"/>
            <a:chExt cx="3175624" cy="896470"/>
          </a:xfrm>
        </xdr:grpSpPr>
        <xdr:sp macro="" textlink="">
          <xdr:nvSpPr>
            <xdr:cNvPr id="62" name="Rectangle: Rounded Corners 61">
              <a:hlinkClick xmlns:r="http://schemas.openxmlformats.org/officeDocument/2006/relationships" r:id="rId31"/>
              <a:extLst>
                <a:ext uri="{FF2B5EF4-FFF2-40B4-BE49-F238E27FC236}">
                  <a16:creationId xmlns:a16="http://schemas.microsoft.com/office/drawing/2014/main" id="{C199A610-F7C7-C586-CC20-316369BCB9AF}"/>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63" name="Graphic 62" descr="Signal with solid fill">
              <a:hlinkClick xmlns:r="http://schemas.openxmlformats.org/officeDocument/2006/relationships" r:id="rId31"/>
              <a:extLst>
                <a:ext uri="{FF2B5EF4-FFF2-40B4-BE49-F238E27FC236}">
                  <a16:creationId xmlns:a16="http://schemas.microsoft.com/office/drawing/2014/main" id="{61CA6686-75EA-4D92-78DD-91AE117ABD60}"/>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56" name="Group 55">
            <a:extLst>
              <a:ext uri="{FF2B5EF4-FFF2-40B4-BE49-F238E27FC236}">
                <a16:creationId xmlns:a16="http://schemas.microsoft.com/office/drawing/2014/main" id="{DA7A38FB-B435-7B7D-DECC-1B6C8AC489B0}"/>
              </a:ext>
            </a:extLst>
          </xdr:cNvPr>
          <xdr:cNvGrpSpPr/>
        </xdr:nvGrpSpPr>
        <xdr:grpSpPr>
          <a:xfrm>
            <a:off x="274692" y="4275387"/>
            <a:ext cx="3175624" cy="902746"/>
            <a:chOff x="231396" y="3778935"/>
            <a:chExt cx="3175624" cy="902746"/>
          </a:xfrm>
        </xdr:grpSpPr>
        <xdr:sp macro="" textlink="">
          <xdr:nvSpPr>
            <xdr:cNvPr id="60" name="Rectangle: Rounded Corners 59">
              <a:hlinkClick xmlns:r="http://schemas.openxmlformats.org/officeDocument/2006/relationships" r:id="rId34"/>
              <a:extLst>
                <a:ext uri="{FF2B5EF4-FFF2-40B4-BE49-F238E27FC236}">
                  <a16:creationId xmlns:a16="http://schemas.microsoft.com/office/drawing/2014/main" id="{45412BE1-C599-F86B-0431-3E8D18F853EE}"/>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61" name="Graphic 60" descr="Document with solid fill">
              <a:hlinkClick xmlns:r="http://schemas.openxmlformats.org/officeDocument/2006/relationships" r:id="rId34"/>
              <a:extLst>
                <a:ext uri="{FF2B5EF4-FFF2-40B4-BE49-F238E27FC236}">
                  <a16:creationId xmlns:a16="http://schemas.microsoft.com/office/drawing/2014/main" id="{141B8E89-09F5-5742-31F6-2C307585382D}"/>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57" name="Group 56">
            <a:extLst>
              <a:ext uri="{FF2B5EF4-FFF2-40B4-BE49-F238E27FC236}">
                <a16:creationId xmlns:a16="http://schemas.microsoft.com/office/drawing/2014/main" id="{39085FAE-3D88-0C88-DC9E-47CB15686A13}"/>
              </a:ext>
            </a:extLst>
          </xdr:cNvPr>
          <xdr:cNvGrpSpPr/>
        </xdr:nvGrpSpPr>
        <xdr:grpSpPr>
          <a:xfrm>
            <a:off x="274692" y="3269818"/>
            <a:ext cx="3175624" cy="902746"/>
            <a:chOff x="231396" y="2867172"/>
            <a:chExt cx="3175624" cy="902746"/>
          </a:xfrm>
        </xdr:grpSpPr>
        <xdr:sp macro="" textlink="">
          <xdr:nvSpPr>
            <xdr:cNvPr id="58" name="Rectangle: Rounded Corners 57">
              <a:hlinkClick xmlns:r="http://schemas.openxmlformats.org/officeDocument/2006/relationships" r:id="rId37"/>
              <a:extLst>
                <a:ext uri="{FF2B5EF4-FFF2-40B4-BE49-F238E27FC236}">
                  <a16:creationId xmlns:a16="http://schemas.microsoft.com/office/drawing/2014/main" id="{A3AB4AEC-0760-45D3-AABA-E1A9A66542C3}"/>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59" name="Graphic 58" descr="Soundwave with solid fill">
              <a:hlinkClick xmlns:r="http://schemas.openxmlformats.org/officeDocument/2006/relationships" r:id="rId37"/>
              <a:extLst>
                <a:ext uri="{FF2B5EF4-FFF2-40B4-BE49-F238E27FC236}">
                  <a16:creationId xmlns:a16="http://schemas.microsoft.com/office/drawing/2014/main" id="{3C5794C5-4E50-3BD0-D5BE-6740308BDA86}"/>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338941</xdr:rowOff>
    </xdr:to>
    <xdr:grpSp>
      <xdr:nvGrpSpPr>
        <xdr:cNvPr id="57" name="Group 56">
          <a:extLst>
            <a:ext uri="{FF2B5EF4-FFF2-40B4-BE49-F238E27FC236}">
              <a16:creationId xmlns:a16="http://schemas.microsoft.com/office/drawing/2014/main" id="{A129CDE8-3C7A-4C83-AA01-FC3EE440B526}"/>
            </a:ext>
          </a:extLst>
        </xdr:cNvPr>
        <xdr:cNvGrpSpPr>
          <a:grpSpLocks noChangeAspect="1"/>
        </xdr:cNvGrpSpPr>
      </xdr:nvGrpSpPr>
      <xdr:grpSpPr>
        <a:xfrm>
          <a:off x="27214" y="27214"/>
          <a:ext cx="3524696" cy="13265727"/>
          <a:chOff x="51954" y="51955"/>
          <a:chExt cx="3636819" cy="13265727"/>
        </a:xfrm>
      </xdr:grpSpPr>
      <xdr:sp macro="" textlink="">
        <xdr:nvSpPr>
          <xdr:cNvPr id="58" name="Rectangle: Rounded Corners 57">
            <a:extLst>
              <a:ext uri="{FF2B5EF4-FFF2-40B4-BE49-F238E27FC236}">
                <a16:creationId xmlns:a16="http://schemas.microsoft.com/office/drawing/2014/main" id="{42E3A0E9-0B7A-7CB8-8835-759934D824C6}"/>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59" name="Group 58">
            <a:hlinkClick xmlns:r="http://schemas.openxmlformats.org/officeDocument/2006/relationships" r:id="rId1"/>
            <a:extLst>
              <a:ext uri="{FF2B5EF4-FFF2-40B4-BE49-F238E27FC236}">
                <a16:creationId xmlns:a16="http://schemas.microsoft.com/office/drawing/2014/main" id="{8A2050B6-DF70-3C8E-4A14-EC3F3A7992DD}"/>
              </a:ext>
            </a:extLst>
          </xdr:cNvPr>
          <xdr:cNvGrpSpPr/>
        </xdr:nvGrpSpPr>
        <xdr:grpSpPr>
          <a:xfrm>
            <a:off x="274692" y="253113"/>
            <a:ext cx="3175624" cy="902746"/>
            <a:chOff x="231396" y="131885"/>
            <a:chExt cx="3175624" cy="902746"/>
          </a:xfrm>
        </xdr:grpSpPr>
        <xdr:sp macro="" textlink="">
          <xdr:nvSpPr>
            <xdr:cNvPr id="96" name="Rectangle: Rounded Corners 95">
              <a:extLst>
                <a:ext uri="{FF2B5EF4-FFF2-40B4-BE49-F238E27FC236}">
                  <a16:creationId xmlns:a16="http://schemas.microsoft.com/office/drawing/2014/main" id="{53007373-DF6A-C4BB-B5F5-D9E1A4D9B716}"/>
                </a:ext>
              </a:extLst>
            </xdr:cNvPr>
            <xdr:cNvSpPr/>
          </xdr:nvSpPr>
          <xdr:spPr>
            <a:xfrm>
              <a:off x="231396" y="131885"/>
              <a:ext cx="3175624" cy="902746"/>
            </a:xfrm>
            <a:prstGeom prst="roundRect">
              <a:avLst/>
            </a:prstGeom>
            <a:solidFill>
              <a:schemeClr val="accent1"/>
            </a:solidFill>
            <a:ln>
              <a:solidFill>
                <a:schemeClr val="bg1"/>
              </a:solid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97" name="Graphic 96" descr="Home with solid fill">
              <a:hlinkClick xmlns:r="http://schemas.openxmlformats.org/officeDocument/2006/relationships" r:id="rId1"/>
              <a:extLst>
                <a:ext uri="{FF2B5EF4-FFF2-40B4-BE49-F238E27FC236}">
                  <a16:creationId xmlns:a16="http://schemas.microsoft.com/office/drawing/2014/main" id="{B3BD191D-231D-7612-9FD0-7511F4D2FB7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60" name="Group 59">
            <a:extLst>
              <a:ext uri="{FF2B5EF4-FFF2-40B4-BE49-F238E27FC236}">
                <a16:creationId xmlns:a16="http://schemas.microsoft.com/office/drawing/2014/main" id="{B1EBED18-1AAF-76D0-F6C0-89444C6FA4DA}"/>
              </a:ext>
            </a:extLst>
          </xdr:cNvPr>
          <xdr:cNvGrpSpPr/>
        </xdr:nvGrpSpPr>
        <xdr:grpSpPr>
          <a:xfrm>
            <a:off x="274692" y="1258682"/>
            <a:ext cx="3175624" cy="902746"/>
            <a:chOff x="231396" y="1043648"/>
            <a:chExt cx="3175624" cy="902746"/>
          </a:xfrm>
        </xdr:grpSpPr>
        <xdr:sp macro="" textlink="">
          <xdr:nvSpPr>
            <xdr:cNvPr id="94" name="Rectangle: Rounded Corners 93">
              <a:hlinkClick xmlns:r="http://schemas.openxmlformats.org/officeDocument/2006/relationships" r:id="rId4"/>
              <a:extLst>
                <a:ext uri="{FF2B5EF4-FFF2-40B4-BE49-F238E27FC236}">
                  <a16:creationId xmlns:a16="http://schemas.microsoft.com/office/drawing/2014/main" id="{506D30FB-528C-A1AA-89AC-A6D6EF12CC98}"/>
                </a:ext>
              </a:extLst>
            </xdr:cNvPr>
            <xdr:cNvSpPr/>
          </xdr:nvSpPr>
          <xdr:spPr>
            <a:xfrm>
              <a:off x="231396" y="1043648"/>
              <a:ext cx="3175624" cy="902746"/>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ysClr val="windowText" lastClr="000000"/>
                  </a:solidFill>
                  <a:latin typeface="Georgia" panose="02040502050405020303" pitchFamily="18" charset="0"/>
                  <a:ea typeface="+mn-ea"/>
                  <a:cs typeface="+mn-cs"/>
                </a:rPr>
                <a:t>Contact Information</a:t>
              </a:r>
            </a:p>
          </xdr:txBody>
        </xdr:sp>
        <xdr:pic>
          <xdr:nvPicPr>
            <xdr:cNvPr id="95" name="Graphic 94" descr="Address Book with solid fill">
              <a:hlinkClick xmlns:r="http://schemas.openxmlformats.org/officeDocument/2006/relationships" r:id="rId4"/>
              <a:extLst>
                <a:ext uri="{FF2B5EF4-FFF2-40B4-BE49-F238E27FC236}">
                  <a16:creationId xmlns:a16="http://schemas.microsoft.com/office/drawing/2014/main" id="{0362AF00-5236-7947-E389-A0DC773D5A5F}"/>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61" name="Group 60">
            <a:extLst>
              <a:ext uri="{FF2B5EF4-FFF2-40B4-BE49-F238E27FC236}">
                <a16:creationId xmlns:a16="http://schemas.microsoft.com/office/drawing/2014/main" id="{40C18F6C-895B-4B35-7DD0-7B08D59FB8AE}"/>
              </a:ext>
            </a:extLst>
          </xdr:cNvPr>
          <xdr:cNvGrpSpPr/>
        </xdr:nvGrpSpPr>
        <xdr:grpSpPr>
          <a:xfrm>
            <a:off x="274692" y="2264251"/>
            <a:ext cx="3175624" cy="902744"/>
            <a:chOff x="231396" y="1955411"/>
            <a:chExt cx="3175624" cy="902744"/>
          </a:xfrm>
        </xdr:grpSpPr>
        <xdr:sp macro="" textlink="">
          <xdr:nvSpPr>
            <xdr:cNvPr id="92" name="Rectangle: Rounded Corners 91">
              <a:hlinkClick xmlns:r="http://schemas.openxmlformats.org/officeDocument/2006/relationships" r:id="rId7"/>
              <a:extLst>
                <a:ext uri="{FF2B5EF4-FFF2-40B4-BE49-F238E27FC236}">
                  <a16:creationId xmlns:a16="http://schemas.microsoft.com/office/drawing/2014/main" id="{34C01F9A-AAEC-1AC2-CE95-C1FA5D78ECEA}"/>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93" name="Graphic 92" descr="Closed book with solid fill">
              <a:hlinkClick xmlns:r="http://schemas.openxmlformats.org/officeDocument/2006/relationships" r:id="rId7"/>
              <a:extLst>
                <a:ext uri="{FF2B5EF4-FFF2-40B4-BE49-F238E27FC236}">
                  <a16:creationId xmlns:a16="http://schemas.microsoft.com/office/drawing/2014/main" id="{D34B2BDB-CE1D-B90A-AE4F-3574D5E38948}"/>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62" name="Group 61">
            <a:extLst>
              <a:ext uri="{FF2B5EF4-FFF2-40B4-BE49-F238E27FC236}">
                <a16:creationId xmlns:a16="http://schemas.microsoft.com/office/drawing/2014/main" id="{E4F01DB1-E667-A7AD-5C70-FD31441BD42B}"/>
              </a:ext>
            </a:extLst>
          </xdr:cNvPr>
          <xdr:cNvGrpSpPr/>
        </xdr:nvGrpSpPr>
        <xdr:grpSpPr>
          <a:xfrm>
            <a:off x="274692" y="11276710"/>
            <a:ext cx="3175624" cy="896469"/>
            <a:chOff x="231396" y="10123616"/>
            <a:chExt cx="3175624" cy="896469"/>
          </a:xfrm>
        </xdr:grpSpPr>
        <xdr:sp macro="" textlink="">
          <xdr:nvSpPr>
            <xdr:cNvPr id="90" name="Rectangle: Rounded Corners 89">
              <a:hlinkClick xmlns:r="http://schemas.openxmlformats.org/officeDocument/2006/relationships" r:id="rId10"/>
              <a:extLst>
                <a:ext uri="{FF2B5EF4-FFF2-40B4-BE49-F238E27FC236}">
                  <a16:creationId xmlns:a16="http://schemas.microsoft.com/office/drawing/2014/main" id="{72A9BCC3-8D0F-D897-2EEA-27CFE591A862}"/>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91" name="Graphic 90" descr="Bar graph with downward trend with solid fill">
              <a:hlinkClick xmlns:r="http://schemas.openxmlformats.org/officeDocument/2006/relationships" r:id="rId10"/>
              <a:extLst>
                <a:ext uri="{FF2B5EF4-FFF2-40B4-BE49-F238E27FC236}">
                  <a16:creationId xmlns:a16="http://schemas.microsoft.com/office/drawing/2014/main" id="{26EFF208-D45A-6C2C-8B3A-30B85BAA6B04}"/>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63" name="Group 62">
            <a:extLst>
              <a:ext uri="{FF2B5EF4-FFF2-40B4-BE49-F238E27FC236}">
                <a16:creationId xmlns:a16="http://schemas.microsoft.com/office/drawing/2014/main" id="{B39FF209-6EFB-0366-54D1-4BF1E486C32E}"/>
              </a:ext>
            </a:extLst>
          </xdr:cNvPr>
          <xdr:cNvGrpSpPr/>
        </xdr:nvGrpSpPr>
        <xdr:grpSpPr>
          <a:xfrm>
            <a:off x="274692" y="10277418"/>
            <a:ext cx="3175624" cy="896469"/>
            <a:chOff x="231396" y="9218130"/>
            <a:chExt cx="3175624" cy="896469"/>
          </a:xfrm>
        </xdr:grpSpPr>
        <xdr:sp macro="" textlink="">
          <xdr:nvSpPr>
            <xdr:cNvPr id="88" name="Rectangle: Rounded Corners 87">
              <a:hlinkClick xmlns:r="http://schemas.openxmlformats.org/officeDocument/2006/relationships" r:id="rId13"/>
              <a:extLst>
                <a:ext uri="{FF2B5EF4-FFF2-40B4-BE49-F238E27FC236}">
                  <a16:creationId xmlns:a16="http://schemas.microsoft.com/office/drawing/2014/main" id="{CB9120F9-340E-5DD7-26A8-26CDC3CD6069}"/>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89" name="Graphic 88" descr="Bar graph with upward trend with solid fill">
              <a:hlinkClick xmlns:r="http://schemas.openxmlformats.org/officeDocument/2006/relationships" r:id="rId13"/>
              <a:extLst>
                <a:ext uri="{FF2B5EF4-FFF2-40B4-BE49-F238E27FC236}">
                  <a16:creationId xmlns:a16="http://schemas.microsoft.com/office/drawing/2014/main" id="{ADCB8B2C-DDE0-620B-EC2B-922A82739481}"/>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64" name="Group 63">
            <a:extLst>
              <a:ext uri="{FF2B5EF4-FFF2-40B4-BE49-F238E27FC236}">
                <a16:creationId xmlns:a16="http://schemas.microsoft.com/office/drawing/2014/main" id="{80ED4B6E-DF34-E7AB-059B-3EF6BFE3EC7F}"/>
              </a:ext>
            </a:extLst>
          </xdr:cNvPr>
          <xdr:cNvGrpSpPr/>
        </xdr:nvGrpSpPr>
        <xdr:grpSpPr>
          <a:xfrm>
            <a:off x="274692" y="8278833"/>
            <a:ext cx="3175624" cy="896470"/>
            <a:chOff x="231396" y="7407157"/>
            <a:chExt cx="3175624" cy="896470"/>
          </a:xfrm>
        </xdr:grpSpPr>
        <xdr:sp macro="" textlink="">
          <xdr:nvSpPr>
            <xdr:cNvPr id="86" name="Rectangle: Rounded Corners 85">
              <a:hlinkClick xmlns:r="http://schemas.openxmlformats.org/officeDocument/2006/relationships" r:id="rId16"/>
              <a:extLst>
                <a:ext uri="{FF2B5EF4-FFF2-40B4-BE49-F238E27FC236}">
                  <a16:creationId xmlns:a16="http://schemas.microsoft.com/office/drawing/2014/main" id="{AF3901CD-91E9-BB5A-2EB2-A7B36637989C}"/>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87" name="Graphic 86" descr="Books with solid fill">
              <a:hlinkClick xmlns:r="http://schemas.openxmlformats.org/officeDocument/2006/relationships" r:id="rId16"/>
              <a:extLst>
                <a:ext uri="{FF2B5EF4-FFF2-40B4-BE49-F238E27FC236}">
                  <a16:creationId xmlns:a16="http://schemas.microsoft.com/office/drawing/2014/main" id="{1F3EB10C-C75A-CF7F-26CA-B5B7B2EF9E20}"/>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65" name="Group 64">
            <a:extLst>
              <a:ext uri="{FF2B5EF4-FFF2-40B4-BE49-F238E27FC236}">
                <a16:creationId xmlns:a16="http://schemas.microsoft.com/office/drawing/2014/main" id="{7FEBF3E4-65D4-DE6A-8991-BED18FBACC32}"/>
              </a:ext>
            </a:extLst>
          </xdr:cNvPr>
          <xdr:cNvGrpSpPr/>
        </xdr:nvGrpSpPr>
        <xdr:grpSpPr>
          <a:xfrm>
            <a:off x="274692" y="9278126"/>
            <a:ext cx="3175624" cy="896469"/>
            <a:chOff x="231396" y="8312644"/>
            <a:chExt cx="3175624" cy="896469"/>
          </a:xfrm>
        </xdr:grpSpPr>
        <xdr:sp macro="" textlink="">
          <xdr:nvSpPr>
            <xdr:cNvPr id="84" name="Rectangle: Rounded Corners 83">
              <a:hlinkClick xmlns:r="http://schemas.openxmlformats.org/officeDocument/2006/relationships" r:id="rId19"/>
              <a:extLst>
                <a:ext uri="{FF2B5EF4-FFF2-40B4-BE49-F238E27FC236}">
                  <a16:creationId xmlns:a16="http://schemas.microsoft.com/office/drawing/2014/main" id="{AB02FFA3-7C13-AB2D-9747-37B8BE002EBC}"/>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85" name="Graphic 84" descr="Books on shelf with solid fill">
              <a:hlinkClick xmlns:r="http://schemas.openxmlformats.org/officeDocument/2006/relationships" r:id="rId19"/>
              <a:extLst>
                <a:ext uri="{FF2B5EF4-FFF2-40B4-BE49-F238E27FC236}">
                  <a16:creationId xmlns:a16="http://schemas.microsoft.com/office/drawing/2014/main" id="{BAB91898-617D-DF0E-744E-93A80CA8FDFC}"/>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66" name="Group 65">
            <a:extLst>
              <a:ext uri="{FF2B5EF4-FFF2-40B4-BE49-F238E27FC236}">
                <a16:creationId xmlns:a16="http://schemas.microsoft.com/office/drawing/2014/main" id="{70E2FFF9-39AF-A086-A9E4-E1466128932B}"/>
              </a:ext>
            </a:extLst>
          </xdr:cNvPr>
          <xdr:cNvGrpSpPr/>
        </xdr:nvGrpSpPr>
        <xdr:grpSpPr>
          <a:xfrm>
            <a:off x="274692" y="12276007"/>
            <a:ext cx="3175624" cy="896469"/>
            <a:chOff x="231396" y="11029098"/>
            <a:chExt cx="3175624" cy="896469"/>
          </a:xfrm>
        </xdr:grpSpPr>
        <xdr:sp macro="" textlink="">
          <xdr:nvSpPr>
            <xdr:cNvPr id="82" name="Rectangle: Rounded Corners 81">
              <a:hlinkClick xmlns:r="http://schemas.openxmlformats.org/officeDocument/2006/relationships" r:id="rId22"/>
              <a:extLst>
                <a:ext uri="{FF2B5EF4-FFF2-40B4-BE49-F238E27FC236}">
                  <a16:creationId xmlns:a16="http://schemas.microsoft.com/office/drawing/2014/main" id="{C85DE18C-EEBA-229A-B1E1-4634E4E7F247}"/>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83" name="Graphic 82" descr="Users with solid fill">
              <a:hlinkClick xmlns:r="http://schemas.openxmlformats.org/officeDocument/2006/relationships" r:id="rId22"/>
              <a:extLst>
                <a:ext uri="{FF2B5EF4-FFF2-40B4-BE49-F238E27FC236}">
                  <a16:creationId xmlns:a16="http://schemas.microsoft.com/office/drawing/2014/main" id="{EC9F4A45-CA95-3AC3-CFDF-769B6652DED6}"/>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67" name="Group 66">
            <a:extLst>
              <a:ext uri="{FF2B5EF4-FFF2-40B4-BE49-F238E27FC236}">
                <a16:creationId xmlns:a16="http://schemas.microsoft.com/office/drawing/2014/main" id="{00C5E89C-8319-8B11-C951-0B2B58365324}"/>
              </a:ext>
            </a:extLst>
          </xdr:cNvPr>
          <xdr:cNvGrpSpPr/>
        </xdr:nvGrpSpPr>
        <xdr:grpSpPr>
          <a:xfrm>
            <a:off x="274692" y="5280956"/>
            <a:ext cx="3175624" cy="896469"/>
            <a:chOff x="231396" y="4690698"/>
            <a:chExt cx="3175624" cy="896469"/>
          </a:xfrm>
        </xdr:grpSpPr>
        <xdr:sp macro="" textlink="">
          <xdr:nvSpPr>
            <xdr:cNvPr id="80" name="Rectangle: Rounded Corners 79">
              <a:hlinkClick xmlns:r="http://schemas.openxmlformats.org/officeDocument/2006/relationships" r:id="rId25"/>
              <a:extLst>
                <a:ext uri="{FF2B5EF4-FFF2-40B4-BE49-F238E27FC236}">
                  <a16:creationId xmlns:a16="http://schemas.microsoft.com/office/drawing/2014/main" id="{B917B49C-4626-4893-CF59-39D316658DC9}"/>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81" name="Graphic 80" descr="Hierarchy with solid fill">
              <a:extLst>
                <a:ext uri="{FF2B5EF4-FFF2-40B4-BE49-F238E27FC236}">
                  <a16:creationId xmlns:a16="http://schemas.microsoft.com/office/drawing/2014/main" id="{D665C0EF-6CE9-470D-876F-A525F4930C77}"/>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68" name="Group 67">
            <a:extLst>
              <a:ext uri="{FF2B5EF4-FFF2-40B4-BE49-F238E27FC236}">
                <a16:creationId xmlns:a16="http://schemas.microsoft.com/office/drawing/2014/main" id="{F84AF17B-03C7-2FBF-D8B4-DE72A630B886}"/>
              </a:ext>
            </a:extLst>
          </xdr:cNvPr>
          <xdr:cNvGrpSpPr/>
        </xdr:nvGrpSpPr>
        <xdr:grpSpPr>
          <a:xfrm>
            <a:off x="274692" y="6280248"/>
            <a:ext cx="3175624" cy="896469"/>
            <a:chOff x="231396" y="5596184"/>
            <a:chExt cx="3175624" cy="896469"/>
          </a:xfrm>
        </xdr:grpSpPr>
        <xdr:sp macro="" textlink="">
          <xdr:nvSpPr>
            <xdr:cNvPr id="78" name="Rectangle: Rounded Corners 77">
              <a:hlinkClick xmlns:r="http://schemas.openxmlformats.org/officeDocument/2006/relationships" r:id="rId28"/>
              <a:extLst>
                <a:ext uri="{FF2B5EF4-FFF2-40B4-BE49-F238E27FC236}">
                  <a16:creationId xmlns:a16="http://schemas.microsoft.com/office/drawing/2014/main" id="{A48D625C-3542-B4AB-A909-5612D8E886CB}"/>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79" name="Graphic 78" descr="Postit Notes with solid fill">
              <a:hlinkClick xmlns:r="http://schemas.openxmlformats.org/officeDocument/2006/relationships" r:id="rId28"/>
              <a:extLst>
                <a:ext uri="{FF2B5EF4-FFF2-40B4-BE49-F238E27FC236}">
                  <a16:creationId xmlns:a16="http://schemas.microsoft.com/office/drawing/2014/main" id="{E301662A-6521-AFA8-C495-7C7B78ACD19B}"/>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69" name="Group 68">
            <a:extLst>
              <a:ext uri="{FF2B5EF4-FFF2-40B4-BE49-F238E27FC236}">
                <a16:creationId xmlns:a16="http://schemas.microsoft.com/office/drawing/2014/main" id="{11A37FBD-1A7A-A028-5400-014DBD52E76B}"/>
              </a:ext>
            </a:extLst>
          </xdr:cNvPr>
          <xdr:cNvGrpSpPr/>
        </xdr:nvGrpSpPr>
        <xdr:grpSpPr>
          <a:xfrm>
            <a:off x="274692" y="7279540"/>
            <a:ext cx="3175624" cy="896470"/>
            <a:chOff x="231396" y="6501670"/>
            <a:chExt cx="3175624" cy="896470"/>
          </a:xfrm>
        </xdr:grpSpPr>
        <xdr:sp macro="" textlink="">
          <xdr:nvSpPr>
            <xdr:cNvPr id="76" name="Rectangle: Rounded Corners 75">
              <a:hlinkClick xmlns:r="http://schemas.openxmlformats.org/officeDocument/2006/relationships" r:id="rId31"/>
              <a:extLst>
                <a:ext uri="{FF2B5EF4-FFF2-40B4-BE49-F238E27FC236}">
                  <a16:creationId xmlns:a16="http://schemas.microsoft.com/office/drawing/2014/main" id="{82D58993-2605-3BD3-FDB3-4AEA49E816B7}"/>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77" name="Graphic 76" descr="Signal with solid fill">
              <a:hlinkClick xmlns:r="http://schemas.openxmlformats.org/officeDocument/2006/relationships" r:id="rId31"/>
              <a:extLst>
                <a:ext uri="{FF2B5EF4-FFF2-40B4-BE49-F238E27FC236}">
                  <a16:creationId xmlns:a16="http://schemas.microsoft.com/office/drawing/2014/main" id="{1D33F65D-5237-3227-2712-9ACA5DC6A8AF}"/>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70" name="Group 69">
            <a:extLst>
              <a:ext uri="{FF2B5EF4-FFF2-40B4-BE49-F238E27FC236}">
                <a16:creationId xmlns:a16="http://schemas.microsoft.com/office/drawing/2014/main" id="{087FD2AD-BBBA-2AD2-4490-EA88B3AC602B}"/>
              </a:ext>
            </a:extLst>
          </xdr:cNvPr>
          <xdr:cNvGrpSpPr/>
        </xdr:nvGrpSpPr>
        <xdr:grpSpPr>
          <a:xfrm>
            <a:off x="274692" y="4275387"/>
            <a:ext cx="3175624" cy="902746"/>
            <a:chOff x="231396" y="3778935"/>
            <a:chExt cx="3175624" cy="902746"/>
          </a:xfrm>
        </xdr:grpSpPr>
        <xdr:sp macro="" textlink="">
          <xdr:nvSpPr>
            <xdr:cNvPr id="74" name="Rectangle: Rounded Corners 73">
              <a:hlinkClick xmlns:r="http://schemas.openxmlformats.org/officeDocument/2006/relationships" r:id="rId34"/>
              <a:extLst>
                <a:ext uri="{FF2B5EF4-FFF2-40B4-BE49-F238E27FC236}">
                  <a16:creationId xmlns:a16="http://schemas.microsoft.com/office/drawing/2014/main" id="{7B99F6F4-4735-6D6F-F9B1-8608BA274812}"/>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75" name="Graphic 74" descr="Document with solid fill">
              <a:hlinkClick xmlns:r="http://schemas.openxmlformats.org/officeDocument/2006/relationships" r:id="rId34"/>
              <a:extLst>
                <a:ext uri="{FF2B5EF4-FFF2-40B4-BE49-F238E27FC236}">
                  <a16:creationId xmlns:a16="http://schemas.microsoft.com/office/drawing/2014/main" id="{7D1E388B-8773-6BB6-8345-5FD90C94D8BD}"/>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71" name="Group 70">
            <a:extLst>
              <a:ext uri="{FF2B5EF4-FFF2-40B4-BE49-F238E27FC236}">
                <a16:creationId xmlns:a16="http://schemas.microsoft.com/office/drawing/2014/main" id="{3DCC03C2-0FCF-8693-8E30-860335F53958}"/>
              </a:ext>
            </a:extLst>
          </xdr:cNvPr>
          <xdr:cNvGrpSpPr/>
        </xdr:nvGrpSpPr>
        <xdr:grpSpPr>
          <a:xfrm>
            <a:off x="274692" y="3269818"/>
            <a:ext cx="3175624" cy="902746"/>
            <a:chOff x="231396" y="2867172"/>
            <a:chExt cx="3175624" cy="902746"/>
          </a:xfrm>
        </xdr:grpSpPr>
        <xdr:sp macro="" textlink="">
          <xdr:nvSpPr>
            <xdr:cNvPr id="72" name="Rectangle: Rounded Corners 71">
              <a:hlinkClick xmlns:r="http://schemas.openxmlformats.org/officeDocument/2006/relationships" r:id="rId37"/>
              <a:extLst>
                <a:ext uri="{FF2B5EF4-FFF2-40B4-BE49-F238E27FC236}">
                  <a16:creationId xmlns:a16="http://schemas.microsoft.com/office/drawing/2014/main" id="{9473A273-5C0F-77A9-9C03-8AA14D6719D3}"/>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73" name="Graphic 72" descr="Soundwave with solid fill">
              <a:hlinkClick xmlns:r="http://schemas.openxmlformats.org/officeDocument/2006/relationships" r:id="rId37"/>
              <a:extLst>
                <a:ext uri="{FF2B5EF4-FFF2-40B4-BE49-F238E27FC236}">
                  <a16:creationId xmlns:a16="http://schemas.microsoft.com/office/drawing/2014/main" id="{1EE33937-3C5D-4FDD-8584-D586B47C3453}"/>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503013</xdr:colOff>
      <xdr:row>34</xdr:row>
      <xdr:rowOff>338941</xdr:rowOff>
    </xdr:to>
    <xdr:grpSp>
      <xdr:nvGrpSpPr>
        <xdr:cNvPr id="84" name="Group 83">
          <a:extLst>
            <a:ext uri="{FF2B5EF4-FFF2-40B4-BE49-F238E27FC236}">
              <a16:creationId xmlns:a16="http://schemas.microsoft.com/office/drawing/2014/main" id="{1ABB4536-B8DF-45F7-89B2-3771BD6A6BCD}"/>
            </a:ext>
          </a:extLst>
        </xdr:cNvPr>
        <xdr:cNvGrpSpPr>
          <a:grpSpLocks noChangeAspect="1"/>
        </xdr:cNvGrpSpPr>
      </xdr:nvGrpSpPr>
      <xdr:grpSpPr>
        <a:xfrm>
          <a:off x="27214" y="27214"/>
          <a:ext cx="3523799" cy="13265727"/>
          <a:chOff x="51954" y="51955"/>
          <a:chExt cx="3636819" cy="13265727"/>
        </a:xfrm>
      </xdr:grpSpPr>
      <xdr:sp macro="" textlink="">
        <xdr:nvSpPr>
          <xdr:cNvPr id="85" name="Rectangle: Rounded Corners 84">
            <a:extLst>
              <a:ext uri="{FF2B5EF4-FFF2-40B4-BE49-F238E27FC236}">
                <a16:creationId xmlns:a16="http://schemas.microsoft.com/office/drawing/2014/main" id="{715016A2-2280-FBC8-9861-8BCF7C0CAA66}"/>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86" name="Group 85">
            <a:hlinkClick xmlns:r="http://schemas.openxmlformats.org/officeDocument/2006/relationships" r:id="rId1"/>
            <a:extLst>
              <a:ext uri="{FF2B5EF4-FFF2-40B4-BE49-F238E27FC236}">
                <a16:creationId xmlns:a16="http://schemas.microsoft.com/office/drawing/2014/main" id="{FFE02928-E034-7D15-9F6E-6282421DFE15}"/>
              </a:ext>
            </a:extLst>
          </xdr:cNvPr>
          <xdr:cNvGrpSpPr/>
        </xdr:nvGrpSpPr>
        <xdr:grpSpPr>
          <a:xfrm>
            <a:off x="274692" y="253113"/>
            <a:ext cx="3175624" cy="902746"/>
            <a:chOff x="231396" y="131885"/>
            <a:chExt cx="3175624" cy="902746"/>
          </a:xfrm>
        </xdr:grpSpPr>
        <xdr:sp macro="" textlink="">
          <xdr:nvSpPr>
            <xdr:cNvPr id="123" name="Rectangle: Rounded Corners 122">
              <a:extLst>
                <a:ext uri="{FF2B5EF4-FFF2-40B4-BE49-F238E27FC236}">
                  <a16:creationId xmlns:a16="http://schemas.microsoft.com/office/drawing/2014/main" id="{8E971033-0232-DC7B-26DC-DE22710C446C}"/>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124" name="Graphic 123" descr="Home with solid fill">
              <a:hlinkClick xmlns:r="http://schemas.openxmlformats.org/officeDocument/2006/relationships" r:id="rId1"/>
              <a:extLst>
                <a:ext uri="{FF2B5EF4-FFF2-40B4-BE49-F238E27FC236}">
                  <a16:creationId xmlns:a16="http://schemas.microsoft.com/office/drawing/2014/main" id="{D2856B93-730E-360D-0683-6EB343ABBA4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87" name="Group 86">
            <a:extLst>
              <a:ext uri="{FF2B5EF4-FFF2-40B4-BE49-F238E27FC236}">
                <a16:creationId xmlns:a16="http://schemas.microsoft.com/office/drawing/2014/main" id="{5489C133-6FD6-6642-F5DD-B16416E62DE3}"/>
              </a:ext>
            </a:extLst>
          </xdr:cNvPr>
          <xdr:cNvGrpSpPr/>
        </xdr:nvGrpSpPr>
        <xdr:grpSpPr>
          <a:xfrm>
            <a:off x="274692" y="1258682"/>
            <a:ext cx="3175624" cy="902746"/>
            <a:chOff x="231396" y="1043648"/>
            <a:chExt cx="3175624" cy="902746"/>
          </a:xfrm>
        </xdr:grpSpPr>
        <xdr:sp macro="" textlink="">
          <xdr:nvSpPr>
            <xdr:cNvPr id="121" name="Rectangle: Rounded Corners 120">
              <a:hlinkClick xmlns:r="http://schemas.openxmlformats.org/officeDocument/2006/relationships" r:id="rId4"/>
              <a:extLst>
                <a:ext uri="{FF2B5EF4-FFF2-40B4-BE49-F238E27FC236}">
                  <a16:creationId xmlns:a16="http://schemas.microsoft.com/office/drawing/2014/main" id="{92D3D8DC-4832-38CD-DBEE-F717C0483BFA}"/>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122" name="Graphic 121" descr="Address Book with solid fill">
              <a:hlinkClick xmlns:r="http://schemas.openxmlformats.org/officeDocument/2006/relationships" r:id="rId4"/>
              <a:extLst>
                <a:ext uri="{FF2B5EF4-FFF2-40B4-BE49-F238E27FC236}">
                  <a16:creationId xmlns:a16="http://schemas.microsoft.com/office/drawing/2014/main" id="{05D475FB-CEEB-71CE-992F-64C548AD401F}"/>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88" name="Group 87">
            <a:extLst>
              <a:ext uri="{FF2B5EF4-FFF2-40B4-BE49-F238E27FC236}">
                <a16:creationId xmlns:a16="http://schemas.microsoft.com/office/drawing/2014/main" id="{FBECA68B-B752-993F-5C7E-A1DDCDF0E1FE}"/>
              </a:ext>
            </a:extLst>
          </xdr:cNvPr>
          <xdr:cNvGrpSpPr/>
        </xdr:nvGrpSpPr>
        <xdr:grpSpPr>
          <a:xfrm>
            <a:off x="274692" y="2264251"/>
            <a:ext cx="3175624" cy="902744"/>
            <a:chOff x="231396" y="1955411"/>
            <a:chExt cx="3175624" cy="902744"/>
          </a:xfrm>
        </xdr:grpSpPr>
        <xdr:sp macro="" textlink="">
          <xdr:nvSpPr>
            <xdr:cNvPr id="119" name="Rectangle: Rounded Corners 118">
              <a:hlinkClick xmlns:r="http://schemas.openxmlformats.org/officeDocument/2006/relationships" r:id="rId7"/>
              <a:extLst>
                <a:ext uri="{FF2B5EF4-FFF2-40B4-BE49-F238E27FC236}">
                  <a16:creationId xmlns:a16="http://schemas.microsoft.com/office/drawing/2014/main" id="{FB607301-D03B-7B76-2679-735A5A10FF7B}"/>
                </a:ext>
              </a:extLst>
            </xdr:cNvPr>
            <xdr:cNvSpPr/>
          </xdr:nvSpPr>
          <xdr:spPr>
            <a:xfrm>
              <a:off x="231396" y="1955411"/>
              <a:ext cx="3175624" cy="902744"/>
            </a:xfrm>
            <a:prstGeom prst="roundRect">
              <a:avLst/>
            </a:prstGeom>
            <a:solidFill>
              <a:schemeClr val="accent3"/>
            </a:solidFill>
            <a:ln w="9525">
              <a:solidFill>
                <a:schemeClr val="tx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ysClr val="windowText" lastClr="000000"/>
                  </a:solidFill>
                  <a:latin typeface="Georgia" panose="02040502050405020303" pitchFamily="18" charset="0"/>
                  <a:ea typeface="+mn-ea"/>
                  <a:cs typeface="+mn-cs"/>
                </a:rPr>
                <a:t>Definitions</a:t>
              </a:r>
            </a:p>
          </xdr:txBody>
        </xdr:sp>
        <xdr:pic>
          <xdr:nvPicPr>
            <xdr:cNvPr id="120" name="Graphic 119" descr="Closed book with solid fill">
              <a:hlinkClick xmlns:r="http://schemas.openxmlformats.org/officeDocument/2006/relationships" r:id="rId7"/>
              <a:extLst>
                <a:ext uri="{FF2B5EF4-FFF2-40B4-BE49-F238E27FC236}">
                  <a16:creationId xmlns:a16="http://schemas.microsoft.com/office/drawing/2014/main" id="{6DCFDF7B-E75E-C50A-C812-B8C325748C5E}"/>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89" name="Group 88">
            <a:extLst>
              <a:ext uri="{FF2B5EF4-FFF2-40B4-BE49-F238E27FC236}">
                <a16:creationId xmlns:a16="http://schemas.microsoft.com/office/drawing/2014/main" id="{4BC3A2D4-8238-B18A-4F11-ACDBF4FF1219}"/>
              </a:ext>
            </a:extLst>
          </xdr:cNvPr>
          <xdr:cNvGrpSpPr/>
        </xdr:nvGrpSpPr>
        <xdr:grpSpPr>
          <a:xfrm>
            <a:off x="274692" y="11276710"/>
            <a:ext cx="3175624" cy="896469"/>
            <a:chOff x="231396" y="10123616"/>
            <a:chExt cx="3175624" cy="896469"/>
          </a:xfrm>
        </xdr:grpSpPr>
        <xdr:sp macro="" textlink="">
          <xdr:nvSpPr>
            <xdr:cNvPr id="117" name="Rectangle: Rounded Corners 116">
              <a:hlinkClick xmlns:r="http://schemas.openxmlformats.org/officeDocument/2006/relationships" r:id="rId10"/>
              <a:extLst>
                <a:ext uri="{FF2B5EF4-FFF2-40B4-BE49-F238E27FC236}">
                  <a16:creationId xmlns:a16="http://schemas.microsoft.com/office/drawing/2014/main" id="{35A432FA-343A-6D5E-A21F-9F6450B92527}"/>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118" name="Graphic 117" descr="Bar graph with downward trend with solid fill">
              <a:hlinkClick xmlns:r="http://schemas.openxmlformats.org/officeDocument/2006/relationships" r:id="rId10"/>
              <a:extLst>
                <a:ext uri="{FF2B5EF4-FFF2-40B4-BE49-F238E27FC236}">
                  <a16:creationId xmlns:a16="http://schemas.microsoft.com/office/drawing/2014/main" id="{3ED6A794-F1A9-16E7-1A73-1D0720FC39C2}"/>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90" name="Group 89">
            <a:extLst>
              <a:ext uri="{FF2B5EF4-FFF2-40B4-BE49-F238E27FC236}">
                <a16:creationId xmlns:a16="http://schemas.microsoft.com/office/drawing/2014/main" id="{548F0762-824A-7DEE-F546-667DA56D4F32}"/>
              </a:ext>
            </a:extLst>
          </xdr:cNvPr>
          <xdr:cNvGrpSpPr/>
        </xdr:nvGrpSpPr>
        <xdr:grpSpPr>
          <a:xfrm>
            <a:off x="274692" y="10277418"/>
            <a:ext cx="3175624" cy="896469"/>
            <a:chOff x="231396" y="9218130"/>
            <a:chExt cx="3175624" cy="896469"/>
          </a:xfrm>
        </xdr:grpSpPr>
        <xdr:sp macro="" textlink="">
          <xdr:nvSpPr>
            <xdr:cNvPr id="115" name="Rectangle: Rounded Corners 114">
              <a:hlinkClick xmlns:r="http://schemas.openxmlformats.org/officeDocument/2006/relationships" r:id="rId13"/>
              <a:extLst>
                <a:ext uri="{FF2B5EF4-FFF2-40B4-BE49-F238E27FC236}">
                  <a16:creationId xmlns:a16="http://schemas.microsoft.com/office/drawing/2014/main" id="{49577DC6-AE62-845E-A076-417D0C3D1FA9}"/>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116" name="Graphic 115" descr="Bar graph with upward trend with solid fill">
              <a:hlinkClick xmlns:r="http://schemas.openxmlformats.org/officeDocument/2006/relationships" r:id="rId13"/>
              <a:extLst>
                <a:ext uri="{FF2B5EF4-FFF2-40B4-BE49-F238E27FC236}">
                  <a16:creationId xmlns:a16="http://schemas.microsoft.com/office/drawing/2014/main" id="{7BCFA2B5-D7BE-BCA1-CBC3-2486BF76F220}"/>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91" name="Group 90">
            <a:extLst>
              <a:ext uri="{FF2B5EF4-FFF2-40B4-BE49-F238E27FC236}">
                <a16:creationId xmlns:a16="http://schemas.microsoft.com/office/drawing/2014/main" id="{6ECDE705-DC81-799A-D9E7-7E9A0C798ECE}"/>
              </a:ext>
            </a:extLst>
          </xdr:cNvPr>
          <xdr:cNvGrpSpPr/>
        </xdr:nvGrpSpPr>
        <xdr:grpSpPr>
          <a:xfrm>
            <a:off x="274692" y="8278833"/>
            <a:ext cx="3175624" cy="896470"/>
            <a:chOff x="231396" y="7407157"/>
            <a:chExt cx="3175624" cy="896470"/>
          </a:xfrm>
        </xdr:grpSpPr>
        <xdr:sp macro="" textlink="">
          <xdr:nvSpPr>
            <xdr:cNvPr id="113" name="Rectangle: Rounded Corners 112">
              <a:hlinkClick xmlns:r="http://schemas.openxmlformats.org/officeDocument/2006/relationships" r:id="rId16"/>
              <a:extLst>
                <a:ext uri="{FF2B5EF4-FFF2-40B4-BE49-F238E27FC236}">
                  <a16:creationId xmlns:a16="http://schemas.microsoft.com/office/drawing/2014/main" id="{7138CDC4-F64C-A89E-5EDE-677AF9699026}"/>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114" name="Graphic 113" descr="Books with solid fill">
              <a:hlinkClick xmlns:r="http://schemas.openxmlformats.org/officeDocument/2006/relationships" r:id="rId16"/>
              <a:extLst>
                <a:ext uri="{FF2B5EF4-FFF2-40B4-BE49-F238E27FC236}">
                  <a16:creationId xmlns:a16="http://schemas.microsoft.com/office/drawing/2014/main" id="{11B7E4BD-1848-8133-6EBF-86B70BDE4200}"/>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92" name="Group 91">
            <a:extLst>
              <a:ext uri="{FF2B5EF4-FFF2-40B4-BE49-F238E27FC236}">
                <a16:creationId xmlns:a16="http://schemas.microsoft.com/office/drawing/2014/main" id="{73314894-E8CF-7211-F066-0B8F0C46FA5E}"/>
              </a:ext>
            </a:extLst>
          </xdr:cNvPr>
          <xdr:cNvGrpSpPr/>
        </xdr:nvGrpSpPr>
        <xdr:grpSpPr>
          <a:xfrm>
            <a:off x="274692" y="9278126"/>
            <a:ext cx="3175624" cy="896469"/>
            <a:chOff x="231396" y="8312644"/>
            <a:chExt cx="3175624" cy="896469"/>
          </a:xfrm>
        </xdr:grpSpPr>
        <xdr:sp macro="" textlink="">
          <xdr:nvSpPr>
            <xdr:cNvPr id="111" name="Rectangle: Rounded Corners 110">
              <a:hlinkClick xmlns:r="http://schemas.openxmlformats.org/officeDocument/2006/relationships" r:id="rId19"/>
              <a:extLst>
                <a:ext uri="{FF2B5EF4-FFF2-40B4-BE49-F238E27FC236}">
                  <a16:creationId xmlns:a16="http://schemas.microsoft.com/office/drawing/2014/main" id="{1F7856BA-E87E-0045-11C6-4A3D77C64C11}"/>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112" name="Graphic 111" descr="Books on shelf with solid fill">
              <a:hlinkClick xmlns:r="http://schemas.openxmlformats.org/officeDocument/2006/relationships" r:id="rId19"/>
              <a:extLst>
                <a:ext uri="{FF2B5EF4-FFF2-40B4-BE49-F238E27FC236}">
                  <a16:creationId xmlns:a16="http://schemas.microsoft.com/office/drawing/2014/main" id="{25C08A99-0BAF-4F5F-8ED0-E76C004EAD0B}"/>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93" name="Group 92">
            <a:extLst>
              <a:ext uri="{FF2B5EF4-FFF2-40B4-BE49-F238E27FC236}">
                <a16:creationId xmlns:a16="http://schemas.microsoft.com/office/drawing/2014/main" id="{10DE027F-A34E-C169-151D-9BE613D36961}"/>
              </a:ext>
            </a:extLst>
          </xdr:cNvPr>
          <xdr:cNvGrpSpPr/>
        </xdr:nvGrpSpPr>
        <xdr:grpSpPr>
          <a:xfrm>
            <a:off x="274692" y="12276007"/>
            <a:ext cx="3175624" cy="896469"/>
            <a:chOff x="231396" y="11029098"/>
            <a:chExt cx="3175624" cy="896469"/>
          </a:xfrm>
        </xdr:grpSpPr>
        <xdr:sp macro="" textlink="">
          <xdr:nvSpPr>
            <xdr:cNvPr id="109" name="Rectangle: Rounded Corners 108">
              <a:hlinkClick xmlns:r="http://schemas.openxmlformats.org/officeDocument/2006/relationships" r:id="rId22"/>
              <a:extLst>
                <a:ext uri="{FF2B5EF4-FFF2-40B4-BE49-F238E27FC236}">
                  <a16:creationId xmlns:a16="http://schemas.microsoft.com/office/drawing/2014/main" id="{1949509C-CF96-F49F-39A5-72AA0A1F60B6}"/>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110" name="Graphic 109" descr="Users with solid fill">
              <a:hlinkClick xmlns:r="http://schemas.openxmlformats.org/officeDocument/2006/relationships" r:id="rId22"/>
              <a:extLst>
                <a:ext uri="{FF2B5EF4-FFF2-40B4-BE49-F238E27FC236}">
                  <a16:creationId xmlns:a16="http://schemas.microsoft.com/office/drawing/2014/main" id="{C4E78B0E-8896-DCB6-D60E-5ADA95F39878}"/>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94" name="Group 93">
            <a:extLst>
              <a:ext uri="{FF2B5EF4-FFF2-40B4-BE49-F238E27FC236}">
                <a16:creationId xmlns:a16="http://schemas.microsoft.com/office/drawing/2014/main" id="{321F1729-8FA1-7232-9F5B-7488D6B09003}"/>
              </a:ext>
            </a:extLst>
          </xdr:cNvPr>
          <xdr:cNvGrpSpPr/>
        </xdr:nvGrpSpPr>
        <xdr:grpSpPr>
          <a:xfrm>
            <a:off x="274692" y="5280956"/>
            <a:ext cx="3175624" cy="896469"/>
            <a:chOff x="231396" y="4690698"/>
            <a:chExt cx="3175624" cy="896469"/>
          </a:xfrm>
        </xdr:grpSpPr>
        <xdr:sp macro="" textlink="">
          <xdr:nvSpPr>
            <xdr:cNvPr id="107" name="Rectangle: Rounded Corners 106">
              <a:hlinkClick xmlns:r="http://schemas.openxmlformats.org/officeDocument/2006/relationships" r:id="rId25"/>
              <a:extLst>
                <a:ext uri="{FF2B5EF4-FFF2-40B4-BE49-F238E27FC236}">
                  <a16:creationId xmlns:a16="http://schemas.microsoft.com/office/drawing/2014/main" id="{21865FF9-6025-466A-3CA8-0E8A36D8BEC2}"/>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108" name="Graphic 107" descr="Hierarchy with solid fill">
              <a:extLst>
                <a:ext uri="{FF2B5EF4-FFF2-40B4-BE49-F238E27FC236}">
                  <a16:creationId xmlns:a16="http://schemas.microsoft.com/office/drawing/2014/main" id="{347FBCFD-679E-41E2-A01E-21C0939476EC}"/>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95" name="Group 94">
            <a:extLst>
              <a:ext uri="{FF2B5EF4-FFF2-40B4-BE49-F238E27FC236}">
                <a16:creationId xmlns:a16="http://schemas.microsoft.com/office/drawing/2014/main" id="{BCFAA042-80CD-E6F4-B0B3-92156DD41E34}"/>
              </a:ext>
            </a:extLst>
          </xdr:cNvPr>
          <xdr:cNvGrpSpPr/>
        </xdr:nvGrpSpPr>
        <xdr:grpSpPr>
          <a:xfrm>
            <a:off x="274692" y="6280248"/>
            <a:ext cx="3175624" cy="896469"/>
            <a:chOff x="231396" y="5596184"/>
            <a:chExt cx="3175624" cy="896469"/>
          </a:xfrm>
        </xdr:grpSpPr>
        <xdr:sp macro="" textlink="">
          <xdr:nvSpPr>
            <xdr:cNvPr id="105" name="Rectangle: Rounded Corners 104">
              <a:hlinkClick xmlns:r="http://schemas.openxmlformats.org/officeDocument/2006/relationships" r:id="rId28"/>
              <a:extLst>
                <a:ext uri="{FF2B5EF4-FFF2-40B4-BE49-F238E27FC236}">
                  <a16:creationId xmlns:a16="http://schemas.microsoft.com/office/drawing/2014/main" id="{B45EF79D-0A35-128C-A9C4-0A117398F8E8}"/>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106" name="Graphic 105" descr="Postit Notes with solid fill">
              <a:hlinkClick xmlns:r="http://schemas.openxmlformats.org/officeDocument/2006/relationships" r:id="rId28"/>
              <a:extLst>
                <a:ext uri="{FF2B5EF4-FFF2-40B4-BE49-F238E27FC236}">
                  <a16:creationId xmlns:a16="http://schemas.microsoft.com/office/drawing/2014/main" id="{396BE6AE-01B2-CE75-1671-09735CF99110}"/>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96" name="Group 95">
            <a:extLst>
              <a:ext uri="{FF2B5EF4-FFF2-40B4-BE49-F238E27FC236}">
                <a16:creationId xmlns:a16="http://schemas.microsoft.com/office/drawing/2014/main" id="{C80CF0F7-8FA0-0AAD-795E-B1090FB3454B}"/>
              </a:ext>
            </a:extLst>
          </xdr:cNvPr>
          <xdr:cNvGrpSpPr/>
        </xdr:nvGrpSpPr>
        <xdr:grpSpPr>
          <a:xfrm>
            <a:off x="274692" y="7279540"/>
            <a:ext cx="3175624" cy="896470"/>
            <a:chOff x="231396" y="6501670"/>
            <a:chExt cx="3175624" cy="896470"/>
          </a:xfrm>
        </xdr:grpSpPr>
        <xdr:sp macro="" textlink="">
          <xdr:nvSpPr>
            <xdr:cNvPr id="103" name="Rectangle: Rounded Corners 102">
              <a:hlinkClick xmlns:r="http://schemas.openxmlformats.org/officeDocument/2006/relationships" r:id="rId31"/>
              <a:extLst>
                <a:ext uri="{FF2B5EF4-FFF2-40B4-BE49-F238E27FC236}">
                  <a16:creationId xmlns:a16="http://schemas.microsoft.com/office/drawing/2014/main" id="{5A3632EE-A7F9-7CA5-3DD6-75D17A22F147}"/>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104" name="Graphic 103" descr="Signal with solid fill">
              <a:hlinkClick xmlns:r="http://schemas.openxmlformats.org/officeDocument/2006/relationships" r:id="rId31"/>
              <a:extLst>
                <a:ext uri="{FF2B5EF4-FFF2-40B4-BE49-F238E27FC236}">
                  <a16:creationId xmlns:a16="http://schemas.microsoft.com/office/drawing/2014/main" id="{67937FD4-DDFB-78D5-48D3-B9D1E05A3FDA}"/>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97" name="Group 96">
            <a:extLst>
              <a:ext uri="{FF2B5EF4-FFF2-40B4-BE49-F238E27FC236}">
                <a16:creationId xmlns:a16="http://schemas.microsoft.com/office/drawing/2014/main" id="{F61C326B-2283-31BC-C529-EDC58963146D}"/>
              </a:ext>
            </a:extLst>
          </xdr:cNvPr>
          <xdr:cNvGrpSpPr/>
        </xdr:nvGrpSpPr>
        <xdr:grpSpPr>
          <a:xfrm>
            <a:off x="274692" y="4275387"/>
            <a:ext cx="3175624" cy="902746"/>
            <a:chOff x="231396" y="3778935"/>
            <a:chExt cx="3175624" cy="902746"/>
          </a:xfrm>
        </xdr:grpSpPr>
        <xdr:sp macro="" textlink="">
          <xdr:nvSpPr>
            <xdr:cNvPr id="101" name="Rectangle: Rounded Corners 100">
              <a:hlinkClick xmlns:r="http://schemas.openxmlformats.org/officeDocument/2006/relationships" r:id="rId34"/>
              <a:extLst>
                <a:ext uri="{FF2B5EF4-FFF2-40B4-BE49-F238E27FC236}">
                  <a16:creationId xmlns:a16="http://schemas.microsoft.com/office/drawing/2014/main" id="{10A3979D-C27D-A8BD-2D37-9FEE5F87C667}"/>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102" name="Graphic 101" descr="Document with solid fill">
              <a:hlinkClick xmlns:r="http://schemas.openxmlformats.org/officeDocument/2006/relationships" r:id="rId34"/>
              <a:extLst>
                <a:ext uri="{FF2B5EF4-FFF2-40B4-BE49-F238E27FC236}">
                  <a16:creationId xmlns:a16="http://schemas.microsoft.com/office/drawing/2014/main" id="{FBF6223D-4973-4129-2B98-AB017CFE11A1}"/>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98" name="Group 97">
            <a:extLst>
              <a:ext uri="{FF2B5EF4-FFF2-40B4-BE49-F238E27FC236}">
                <a16:creationId xmlns:a16="http://schemas.microsoft.com/office/drawing/2014/main" id="{1086EB45-3D55-CC80-BEF9-DD96191DB4E6}"/>
              </a:ext>
            </a:extLst>
          </xdr:cNvPr>
          <xdr:cNvGrpSpPr/>
        </xdr:nvGrpSpPr>
        <xdr:grpSpPr>
          <a:xfrm>
            <a:off x="274692" y="3269818"/>
            <a:ext cx="3175624" cy="902746"/>
            <a:chOff x="231396" y="2867172"/>
            <a:chExt cx="3175624" cy="902746"/>
          </a:xfrm>
        </xdr:grpSpPr>
        <xdr:sp macro="" textlink="">
          <xdr:nvSpPr>
            <xdr:cNvPr id="99" name="Rectangle: Rounded Corners 98">
              <a:hlinkClick xmlns:r="http://schemas.openxmlformats.org/officeDocument/2006/relationships" r:id="rId37"/>
              <a:extLst>
                <a:ext uri="{FF2B5EF4-FFF2-40B4-BE49-F238E27FC236}">
                  <a16:creationId xmlns:a16="http://schemas.microsoft.com/office/drawing/2014/main" id="{36082D2A-028F-46B0-46E7-D83EF8005B03}"/>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100" name="Graphic 99" descr="Soundwave with solid fill">
              <a:hlinkClick xmlns:r="http://schemas.openxmlformats.org/officeDocument/2006/relationships" r:id="rId37"/>
              <a:extLst>
                <a:ext uri="{FF2B5EF4-FFF2-40B4-BE49-F238E27FC236}">
                  <a16:creationId xmlns:a16="http://schemas.microsoft.com/office/drawing/2014/main" id="{B3898026-B865-75C2-D603-BB49B6DCF6CC}"/>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338941</xdr:rowOff>
    </xdr:to>
    <xdr:grpSp>
      <xdr:nvGrpSpPr>
        <xdr:cNvPr id="57" name="Group 56">
          <a:extLst>
            <a:ext uri="{FF2B5EF4-FFF2-40B4-BE49-F238E27FC236}">
              <a16:creationId xmlns:a16="http://schemas.microsoft.com/office/drawing/2014/main" id="{E372FDD3-D948-4BAF-9DAC-F92CA5DE020E}"/>
            </a:ext>
          </a:extLst>
        </xdr:cNvPr>
        <xdr:cNvGrpSpPr>
          <a:grpSpLocks noChangeAspect="1"/>
        </xdr:cNvGrpSpPr>
      </xdr:nvGrpSpPr>
      <xdr:grpSpPr>
        <a:xfrm>
          <a:off x="27214" y="27214"/>
          <a:ext cx="3524696" cy="13265727"/>
          <a:chOff x="51954" y="51955"/>
          <a:chExt cx="3636819" cy="13265727"/>
        </a:xfrm>
      </xdr:grpSpPr>
      <xdr:sp macro="" textlink="">
        <xdr:nvSpPr>
          <xdr:cNvPr id="58" name="Rectangle: Rounded Corners 57">
            <a:extLst>
              <a:ext uri="{FF2B5EF4-FFF2-40B4-BE49-F238E27FC236}">
                <a16:creationId xmlns:a16="http://schemas.microsoft.com/office/drawing/2014/main" id="{8DA4E962-491A-B6DC-12C8-AAA0DFB1E7FC}"/>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solidFill>
                <a:sysClr val="windowText" lastClr="000000"/>
              </a:solidFill>
            </a:endParaRPr>
          </a:p>
        </xdr:txBody>
      </xdr:sp>
      <xdr:grpSp>
        <xdr:nvGrpSpPr>
          <xdr:cNvPr id="59" name="Group 58">
            <a:hlinkClick xmlns:r="http://schemas.openxmlformats.org/officeDocument/2006/relationships" r:id="rId1"/>
            <a:extLst>
              <a:ext uri="{FF2B5EF4-FFF2-40B4-BE49-F238E27FC236}">
                <a16:creationId xmlns:a16="http://schemas.microsoft.com/office/drawing/2014/main" id="{1512FBBB-4BA7-01E7-2EEE-600BEE2449E9}"/>
              </a:ext>
            </a:extLst>
          </xdr:cNvPr>
          <xdr:cNvGrpSpPr/>
        </xdr:nvGrpSpPr>
        <xdr:grpSpPr>
          <a:xfrm>
            <a:off x="274692" y="253113"/>
            <a:ext cx="3175624" cy="902746"/>
            <a:chOff x="231396" y="131885"/>
            <a:chExt cx="3175624" cy="902746"/>
          </a:xfrm>
        </xdr:grpSpPr>
        <xdr:sp macro="" textlink="">
          <xdr:nvSpPr>
            <xdr:cNvPr id="96" name="Rectangle: Rounded Corners 95">
              <a:extLst>
                <a:ext uri="{FF2B5EF4-FFF2-40B4-BE49-F238E27FC236}">
                  <a16:creationId xmlns:a16="http://schemas.microsoft.com/office/drawing/2014/main" id="{E6F2CEAE-5BE6-79AC-9050-DC968904ECBC}"/>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97" name="Graphic 96" descr="Home with solid fill">
              <a:hlinkClick xmlns:r="http://schemas.openxmlformats.org/officeDocument/2006/relationships" r:id="rId1"/>
              <a:extLst>
                <a:ext uri="{FF2B5EF4-FFF2-40B4-BE49-F238E27FC236}">
                  <a16:creationId xmlns:a16="http://schemas.microsoft.com/office/drawing/2014/main" id="{7D0D27BA-1475-B3C3-69AF-6DC1C60149A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60" name="Group 59">
            <a:extLst>
              <a:ext uri="{FF2B5EF4-FFF2-40B4-BE49-F238E27FC236}">
                <a16:creationId xmlns:a16="http://schemas.microsoft.com/office/drawing/2014/main" id="{F4BDA034-A1BA-6BC6-B23E-C3FC2D2319FB}"/>
              </a:ext>
            </a:extLst>
          </xdr:cNvPr>
          <xdr:cNvGrpSpPr/>
        </xdr:nvGrpSpPr>
        <xdr:grpSpPr>
          <a:xfrm>
            <a:off x="274692" y="1258682"/>
            <a:ext cx="3175624" cy="902746"/>
            <a:chOff x="231396" y="1043648"/>
            <a:chExt cx="3175624" cy="902746"/>
          </a:xfrm>
        </xdr:grpSpPr>
        <xdr:sp macro="" textlink="">
          <xdr:nvSpPr>
            <xdr:cNvPr id="94" name="Rectangle: Rounded Corners 93">
              <a:hlinkClick xmlns:r="http://schemas.openxmlformats.org/officeDocument/2006/relationships" r:id="rId4"/>
              <a:extLst>
                <a:ext uri="{FF2B5EF4-FFF2-40B4-BE49-F238E27FC236}">
                  <a16:creationId xmlns:a16="http://schemas.microsoft.com/office/drawing/2014/main" id="{A399FFF0-667E-8106-8AD4-3A95564E27C7}"/>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95" name="Graphic 94" descr="Address Book with solid fill">
              <a:hlinkClick xmlns:r="http://schemas.openxmlformats.org/officeDocument/2006/relationships" r:id="rId4"/>
              <a:extLst>
                <a:ext uri="{FF2B5EF4-FFF2-40B4-BE49-F238E27FC236}">
                  <a16:creationId xmlns:a16="http://schemas.microsoft.com/office/drawing/2014/main" id="{58B6FF6A-43C8-2BFC-1214-F3B2DE97B6F6}"/>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61" name="Group 60">
            <a:extLst>
              <a:ext uri="{FF2B5EF4-FFF2-40B4-BE49-F238E27FC236}">
                <a16:creationId xmlns:a16="http://schemas.microsoft.com/office/drawing/2014/main" id="{5A05FABC-3BF2-8EAB-70D0-5E16F460AE65}"/>
              </a:ext>
            </a:extLst>
          </xdr:cNvPr>
          <xdr:cNvGrpSpPr/>
        </xdr:nvGrpSpPr>
        <xdr:grpSpPr>
          <a:xfrm>
            <a:off x="274692" y="2264251"/>
            <a:ext cx="3175624" cy="902744"/>
            <a:chOff x="231396" y="1955411"/>
            <a:chExt cx="3175624" cy="902744"/>
          </a:xfrm>
        </xdr:grpSpPr>
        <xdr:sp macro="" textlink="">
          <xdr:nvSpPr>
            <xdr:cNvPr id="92" name="Rectangle: Rounded Corners 91">
              <a:hlinkClick xmlns:r="http://schemas.openxmlformats.org/officeDocument/2006/relationships" r:id="rId7"/>
              <a:extLst>
                <a:ext uri="{FF2B5EF4-FFF2-40B4-BE49-F238E27FC236}">
                  <a16:creationId xmlns:a16="http://schemas.microsoft.com/office/drawing/2014/main" id="{6B6369B7-F702-D211-BA77-D2DBDF4D0033}"/>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93" name="Graphic 92" descr="Closed book with solid fill">
              <a:hlinkClick xmlns:r="http://schemas.openxmlformats.org/officeDocument/2006/relationships" r:id="rId7"/>
              <a:extLst>
                <a:ext uri="{FF2B5EF4-FFF2-40B4-BE49-F238E27FC236}">
                  <a16:creationId xmlns:a16="http://schemas.microsoft.com/office/drawing/2014/main" id="{721BE5B2-F110-84BA-E808-08E8D4B8F262}"/>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62" name="Group 61">
            <a:extLst>
              <a:ext uri="{FF2B5EF4-FFF2-40B4-BE49-F238E27FC236}">
                <a16:creationId xmlns:a16="http://schemas.microsoft.com/office/drawing/2014/main" id="{3866DB86-EF8E-AE17-29C4-7821EC968825}"/>
              </a:ext>
            </a:extLst>
          </xdr:cNvPr>
          <xdr:cNvGrpSpPr/>
        </xdr:nvGrpSpPr>
        <xdr:grpSpPr>
          <a:xfrm>
            <a:off x="274692" y="11276710"/>
            <a:ext cx="3175624" cy="896469"/>
            <a:chOff x="231396" y="10123616"/>
            <a:chExt cx="3175624" cy="896469"/>
          </a:xfrm>
        </xdr:grpSpPr>
        <xdr:sp macro="" textlink="">
          <xdr:nvSpPr>
            <xdr:cNvPr id="90" name="Rectangle: Rounded Corners 89">
              <a:hlinkClick xmlns:r="http://schemas.openxmlformats.org/officeDocument/2006/relationships" r:id="rId10"/>
              <a:extLst>
                <a:ext uri="{FF2B5EF4-FFF2-40B4-BE49-F238E27FC236}">
                  <a16:creationId xmlns:a16="http://schemas.microsoft.com/office/drawing/2014/main" id="{B9E22E6D-894F-B8EB-87D0-97C969B60A46}"/>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91" name="Graphic 90" descr="Bar graph with downward trend with solid fill">
              <a:hlinkClick xmlns:r="http://schemas.openxmlformats.org/officeDocument/2006/relationships" r:id="rId10"/>
              <a:extLst>
                <a:ext uri="{FF2B5EF4-FFF2-40B4-BE49-F238E27FC236}">
                  <a16:creationId xmlns:a16="http://schemas.microsoft.com/office/drawing/2014/main" id="{4902A4D3-AF48-25C4-18BC-31F9683F8917}"/>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63" name="Group 62">
            <a:extLst>
              <a:ext uri="{FF2B5EF4-FFF2-40B4-BE49-F238E27FC236}">
                <a16:creationId xmlns:a16="http://schemas.microsoft.com/office/drawing/2014/main" id="{E4560CF1-5586-7DC9-8964-7305E3597FF7}"/>
              </a:ext>
            </a:extLst>
          </xdr:cNvPr>
          <xdr:cNvGrpSpPr/>
        </xdr:nvGrpSpPr>
        <xdr:grpSpPr>
          <a:xfrm>
            <a:off x="274692" y="10277418"/>
            <a:ext cx="3175624" cy="896469"/>
            <a:chOff x="231396" y="9218130"/>
            <a:chExt cx="3175624" cy="896469"/>
          </a:xfrm>
        </xdr:grpSpPr>
        <xdr:sp macro="" textlink="">
          <xdr:nvSpPr>
            <xdr:cNvPr id="88" name="Rectangle: Rounded Corners 87">
              <a:hlinkClick xmlns:r="http://schemas.openxmlformats.org/officeDocument/2006/relationships" r:id="rId13"/>
              <a:extLst>
                <a:ext uri="{FF2B5EF4-FFF2-40B4-BE49-F238E27FC236}">
                  <a16:creationId xmlns:a16="http://schemas.microsoft.com/office/drawing/2014/main" id="{945FEB06-4FCC-9A62-0C2E-FA707AFAD3BA}"/>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89" name="Graphic 88" descr="Bar graph with upward trend with solid fill">
              <a:hlinkClick xmlns:r="http://schemas.openxmlformats.org/officeDocument/2006/relationships" r:id="rId13"/>
              <a:extLst>
                <a:ext uri="{FF2B5EF4-FFF2-40B4-BE49-F238E27FC236}">
                  <a16:creationId xmlns:a16="http://schemas.microsoft.com/office/drawing/2014/main" id="{92576784-CF44-46F3-7F71-918E7B1F8DD2}"/>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64" name="Group 63">
            <a:extLst>
              <a:ext uri="{FF2B5EF4-FFF2-40B4-BE49-F238E27FC236}">
                <a16:creationId xmlns:a16="http://schemas.microsoft.com/office/drawing/2014/main" id="{ADBCBA58-0C2E-11E3-AE42-A5A315801424}"/>
              </a:ext>
            </a:extLst>
          </xdr:cNvPr>
          <xdr:cNvGrpSpPr/>
        </xdr:nvGrpSpPr>
        <xdr:grpSpPr>
          <a:xfrm>
            <a:off x="274692" y="8278833"/>
            <a:ext cx="3175624" cy="896470"/>
            <a:chOff x="231396" y="7407157"/>
            <a:chExt cx="3175624" cy="896470"/>
          </a:xfrm>
        </xdr:grpSpPr>
        <xdr:sp macro="" textlink="">
          <xdr:nvSpPr>
            <xdr:cNvPr id="86" name="Rectangle: Rounded Corners 85">
              <a:hlinkClick xmlns:r="http://schemas.openxmlformats.org/officeDocument/2006/relationships" r:id="rId16"/>
              <a:extLst>
                <a:ext uri="{FF2B5EF4-FFF2-40B4-BE49-F238E27FC236}">
                  <a16:creationId xmlns:a16="http://schemas.microsoft.com/office/drawing/2014/main" id="{A29D3773-41AA-BB90-71F9-80589E025F5A}"/>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87" name="Graphic 86" descr="Books with solid fill">
              <a:hlinkClick xmlns:r="http://schemas.openxmlformats.org/officeDocument/2006/relationships" r:id="rId16"/>
              <a:extLst>
                <a:ext uri="{FF2B5EF4-FFF2-40B4-BE49-F238E27FC236}">
                  <a16:creationId xmlns:a16="http://schemas.microsoft.com/office/drawing/2014/main" id="{5BF4F392-9F8B-AE7D-B313-38F28B2AB5A8}"/>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65" name="Group 64">
            <a:extLst>
              <a:ext uri="{FF2B5EF4-FFF2-40B4-BE49-F238E27FC236}">
                <a16:creationId xmlns:a16="http://schemas.microsoft.com/office/drawing/2014/main" id="{EC49B714-31D3-938F-8628-FE8FB08F2EED}"/>
              </a:ext>
            </a:extLst>
          </xdr:cNvPr>
          <xdr:cNvGrpSpPr/>
        </xdr:nvGrpSpPr>
        <xdr:grpSpPr>
          <a:xfrm>
            <a:off x="274692" y="9278126"/>
            <a:ext cx="3175624" cy="896469"/>
            <a:chOff x="231396" y="8312644"/>
            <a:chExt cx="3175624" cy="896469"/>
          </a:xfrm>
        </xdr:grpSpPr>
        <xdr:sp macro="" textlink="">
          <xdr:nvSpPr>
            <xdr:cNvPr id="84" name="Rectangle: Rounded Corners 83">
              <a:hlinkClick xmlns:r="http://schemas.openxmlformats.org/officeDocument/2006/relationships" r:id="rId19"/>
              <a:extLst>
                <a:ext uri="{FF2B5EF4-FFF2-40B4-BE49-F238E27FC236}">
                  <a16:creationId xmlns:a16="http://schemas.microsoft.com/office/drawing/2014/main" id="{B89455A2-6AAD-A9A4-7381-D65EBF52D171}"/>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85" name="Graphic 84" descr="Books on shelf with solid fill">
              <a:hlinkClick xmlns:r="http://schemas.openxmlformats.org/officeDocument/2006/relationships" r:id="rId19"/>
              <a:extLst>
                <a:ext uri="{FF2B5EF4-FFF2-40B4-BE49-F238E27FC236}">
                  <a16:creationId xmlns:a16="http://schemas.microsoft.com/office/drawing/2014/main" id="{C1632E7D-E568-ED82-326A-22DDC6544638}"/>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66" name="Group 65">
            <a:extLst>
              <a:ext uri="{FF2B5EF4-FFF2-40B4-BE49-F238E27FC236}">
                <a16:creationId xmlns:a16="http://schemas.microsoft.com/office/drawing/2014/main" id="{E44BC0DC-326F-F5C0-5305-2AB66DE33AC2}"/>
              </a:ext>
            </a:extLst>
          </xdr:cNvPr>
          <xdr:cNvGrpSpPr/>
        </xdr:nvGrpSpPr>
        <xdr:grpSpPr>
          <a:xfrm>
            <a:off x="274692" y="12276007"/>
            <a:ext cx="3175624" cy="896469"/>
            <a:chOff x="231396" y="11029098"/>
            <a:chExt cx="3175624" cy="896469"/>
          </a:xfrm>
        </xdr:grpSpPr>
        <xdr:sp macro="" textlink="">
          <xdr:nvSpPr>
            <xdr:cNvPr id="82" name="Rectangle: Rounded Corners 81">
              <a:hlinkClick xmlns:r="http://schemas.openxmlformats.org/officeDocument/2006/relationships" r:id="rId22"/>
              <a:extLst>
                <a:ext uri="{FF2B5EF4-FFF2-40B4-BE49-F238E27FC236}">
                  <a16:creationId xmlns:a16="http://schemas.microsoft.com/office/drawing/2014/main" id="{B5D2EBA7-5A10-46C8-89E3-37C81D2E9D1E}"/>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83" name="Graphic 82" descr="Users with solid fill">
              <a:hlinkClick xmlns:r="http://schemas.openxmlformats.org/officeDocument/2006/relationships" r:id="rId22"/>
              <a:extLst>
                <a:ext uri="{FF2B5EF4-FFF2-40B4-BE49-F238E27FC236}">
                  <a16:creationId xmlns:a16="http://schemas.microsoft.com/office/drawing/2014/main" id="{99EB40BC-5083-4F17-58B2-334D0396332D}"/>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67" name="Group 66">
            <a:extLst>
              <a:ext uri="{FF2B5EF4-FFF2-40B4-BE49-F238E27FC236}">
                <a16:creationId xmlns:a16="http://schemas.microsoft.com/office/drawing/2014/main" id="{99234A5F-E4C4-1247-4A4C-F85E26E5CE22}"/>
              </a:ext>
            </a:extLst>
          </xdr:cNvPr>
          <xdr:cNvGrpSpPr/>
        </xdr:nvGrpSpPr>
        <xdr:grpSpPr>
          <a:xfrm>
            <a:off x="274692" y="5280956"/>
            <a:ext cx="3175624" cy="896469"/>
            <a:chOff x="231396" y="4690698"/>
            <a:chExt cx="3175624" cy="896469"/>
          </a:xfrm>
        </xdr:grpSpPr>
        <xdr:sp macro="" textlink="">
          <xdr:nvSpPr>
            <xdr:cNvPr id="80" name="Rectangle: Rounded Corners 79">
              <a:hlinkClick xmlns:r="http://schemas.openxmlformats.org/officeDocument/2006/relationships" r:id="rId25"/>
              <a:extLst>
                <a:ext uri="{FF2B5EF4-FFF2-40B4-BE49-F238E27FC236}">
                  <a16:creationId xmlns:a16="http://schemas.microsoft.com/office/drawing/2014/main" id="{A4E45BF1-CC6F-0E15-6304-CB08CC0C2B5C}"/>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81" name="Graphic 80" descr="Hierarchy with solid fill">
              <a:hlinkClick xmlns:r="http://schemas.openxmlformats.org/officeDocument/2006/relationships" r:id="rId25"/>
              <a:extLst>
                <a:ext uri="{FF2B5EF4-FFF2-40B4-BE49-F238E27FC236}">
                  <a16:creationId xmlns:a16="http://schemas.microsoft.com/office/drawing/2014/main" id="{4EAAD2DC-1B86-3F95-8F3C-8473BCAF7464}"/>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68" name="Group 67">
            <a:extLst>
              <a:ext uri="{FF2B5EF4-FFF2-40B4-BE49-F238E27FC236}">
                <a16:creationId xmlns:a16="http://schemas.microsoft.com/office/drawing/2014/main" id="{C1127B93-F9A8-8D12-099D-D98D200E227F}"/>
              </a:ext>
            </a:extLst>
          </xdr:cNvPr>
          <xdr:cNvGrpSpPr/>
        </xdr:nvGrpSpPr>
        <xdr:grpSpPr>
          <a:xfrm>
            <a:off x="274692" y="6280248"/>
            <a:ext cx="3175624" cy="896469"/>
            <a:chOff x="231396" y="5596184"/>
            <a:chExt cx="3175624" cy="896469"/>
          </a:xfrm>
        </xdr:grpSpPr>
        <xdr:sp macro="" textlink="">
          <xdr:nvSpPr>
            <xdr:cNvPr id="78" name="Rectangle: Rounded Corners 77">
              <a:hlinkClick xmlns:r="http://schemas.openxmlformats.org/officeDocument/2006/relationships" r:id="rId28"/>
              <a:extLst>
                <a:ext uri="{FF2B5EF4-FFF2-40B4-BE49-F238E27FC236}">
                  <a16:creationId xmlns:a16="http://schemas.microsoft.com/office/drawing/2014/main" id="{492D332F-83A8-9BCE-5D09-1A2E087E8C74}"/>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79" name="Graphic 78" descr="Postit Notes with solid fill">
              <a:hlinkClick xmlns:r="http://schemas.openxmlformats.org/officeDocument/2006/relationships" r:id="rId28"/>
              <a:extLst>
                <a:ext uri="{FF2B5EF4-FFF2-40B4-BE49-F238E27FC236}">
                  <a16:creationId xmlns:a16="http://schemas.microsoft.com/office/drawing/2014/main" id="{6363B70A-1CD3-6DDD-9233-8468DCEF8A98}"/>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69" name="Group 68">
            <a:extLst>
              <a:ext uri="{FF2B5EF4-FFF2-40B4-BE49-F238E27FC236}">
                <a16:creationId xmlns:a16="http://schemas.microsoft.com/office/drawing/2014/main" id="{92433875-ADC8-5307-8449-2B9E8A4E2DAF}"/>
              </a:ext>
            </a:extLst>
          </xdr:cNvPr>
          <xdr:cNvGrpSpPr/>
        </xdr:nvGrpSpPr>
        <xdr:grpSpPr>
          <a:xfrm>
            <a:off x="274692" y="7279540"/>
            <a:ext cx="3175624" cy="896470"/>
            <a:chOff x="231396" y="6501670"/>
            <a:chExt cx="3175624" cy="896470"/>
          </a:xfrm>
        </xdr:grpSpPr>
        <xdr:sp macro="" textlink="">
          <xdr:nvSpPr>
            <xdr:cNvPr id="76" name="Rectangle: Rounded Corners 75">
              <a:hlinkClick xmlns:r="http://schemas.openxmlformats.org/officeDocument/2006/relationships" r:id="rId31"/>
              <a:extLst>
                <a:ext uri="{FF2B5EF4-FFF2-40B4-BE49-F238E27FC236}">
                  <a16:creationId xmlns:a16="http://schemas.microsoft.com/office/drawing/2014/main" id="{1856B962-B36D-0560-27DB-D621838A6BA8}"/>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77" name="Graphic 76" descr="Signal with solid fill">
              <a:hlinkClick xmlns:r="http://schemas.openxmlformats.org/officeDocument/2006/relationships" r:id="rId31"/>
              <a:extLst>
                <a:ext uri="{FF2B5EF4-FFF2-40B4-BE49-F238E27FC236}">
                  <a16:creationId xmlns:a16="http://schemas.microsoft.com/office/drawing/2014/main" id="{D04A6F51-C4FE-6952-2A47-CA573473F47E}"/>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70" name="Group 69">
            <a:extLst>
              <a:ext uri="{FF2B5EF4-FFF2-40B4-BE49-F238E27FC236}">
                <a16:creationId xmlns:a16="http://schemas.microsoft.com/office/drawing/2014/main" id="{B1A5898C-BE0D-2121-ECDD-7F48C00D83FD}"/>
              </a:ext>
            </a:extLst>
          </xdr:cNvPr>
          <xdr:cNvGrpSpPr/>
        </xdr:nvGrpSpPr>
        <xdr:grpSpPr>
          <a:xfrm>
            <a:off x="274692" y="4275387"/>
            <a:ext cx="3175624" cy="902746"/>
            <a:chOff x="231396" y="3778935"/>
            <a:chExt cx="3175624" cy="902746"/>
          </a:xfrm>
        </xdr:grpSpPr>
        <xdr:sp macro="" textlink="">
          <xdr:nvSpPr>
            <xdr:cNvPr id="74" name="Rectangle: Rounded Corners 73">
              <a:hlinkClick xmlns:r="http://schemas.openxmlformats.org/officeDocument/2006/relationships" r:id="rId34"/>
              <a:extLst>
                <a:ext uri="{FF2B5EF4-FFF2-40B4-BE49-F238E27FC236}">
                  <a16:creationId xmlns:a16="http://schemas.microsoft.com/office/drawing/2014/main" id="{BD7C798C-3FE5-7AFC-8C4F-E3EADF16B751}"/>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75" name="Graphic 74" descr="Document with solid fill">
              <a:hlinkClick xmlns:r="http://schemas.openxmlformats.org/officeDocument/2006/relationships" r:id="rId34"/>
              <a:extLst>
                <a:ext uri="{FF2B5EF4-FFF2-40B4-BE49-F238E27FC236}">
                  <a16:creationId xmlns:a16="http://schemas.microsoft.com/office/drawing/2014/main" id="{E87C943D-3A07-E0B9-A97B-4F1C96BB461A}"/>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71" name="Group 70">
            <a:extLst>
              <a:ext uri="{FF2B5EF4-FFF2-40B4-BE49-F238E27FC236}">
                <a16:creationId xmlns:a16="http://schemas.microsoft.com/office/drawing/2014/main" id="{ECB62331-004E-7601-DFC8-C103F6672423}"/>
              </a:ext>
            </a:extLst>
          </xdr:cNvPr>
          <xdr:cNvGrpSpPr/>
        </xdr:nvGrpSpPr>
        <xdr:grpSpPr>
          <a:xfrm>
            <a:off x="274692" y="3269818"/>
            <a:ext cx="3175624" cy="902746"/>
            <a:chOff x="231396" y="2867172"/>
            <a:chExt cx="3175624" cy="902746"/>
          </a:xfrm>
        </xdr:grpSpPr>
        <xdr:sp macro="" textlink="">
          <xdr:nvSpPr>
            <xdr:cNvPr id="72" name="Rectangle: Rounded Corners 71">
              <a:hlinkClick xmlns:r="http://schemas.openxmlformats.org/officeDocument/2006/relationships" r:id="rId37"/>
              <a:extLst>
                <a:ext uri="{FF2B5EF4-FFF2-40B4-BE49-F238E27FC236}">
                  <a16:creationId xmlns:a16="http://schemas.microsoft.com/office/drawing/2014/main" id="{75BF67AD-8703-8B0B-4408-D44EEDFCBE7C}"/>
                </a:ext>
              </a:extLst>
            </xdr:cNvPr>
            <xdr:cNvSpPr/>
          </xdr:nvSpPr>
          <xdr:spPr>
            <a:xfrm>
              <a:off x="231396" y="2867172"/>
              <a:ext cx="3175624" cy="902746"/>
            </a:xfrm>
            <a:prstGeom prst="roundRect">
              <a:avLst/>
            </a:prstGeom>
            <a:solidFill>
              <a:schemeClr val="accent3"/>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ysClr val="windowText" lastClr="000000"/>
                  </a:solidFill>
                  <a:latin typeface="Georgia" panose="02040502050405020303" pitchFamily="18" charset="0"/>
                  <a:ea typeface="+mn-ea"/>
                  <a:cs typeface="+mn-cs"/>
                </a:rPr>
                <a:t>Fund Group Detail</a:t>
              </a:r>
            </a:p>
          </xdr:txBody>
        </xdr:sp>
        <xdr:pic>
          <xdr:nvPicPr>
            <xdr:cNvPr id="73" name="Graphic 72" descr="Soundwave with solid fill">
              <a:hlinkClick xmlns:r="http://schemas.openxmlformats.org/officeDocument/2006/relationships" r:id="rId37"/>
              <a:extLst>
                <a:ext uri="{FF2B5EF4-FFF2-40B4-BE49-F238E27FC236}">
                  <a16:creationId xmlns:a16="http://schemas.microsoft.com/office/drawing/2014/main" id="{DB015784-B1BD-633F-E4CE-D66CC505A4E2}"/>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72066</xdr:colOff>
      <xdr:row>9</xdr:row>
      <xdr:rowOff>68470</xdr:rowOff>
    </xdr:from>
    <xdr:to>
      <xdr:col>23</xdr:col>
      <xdr:colOff>262566</xdr:colOff>
      <xdr:row>9</xdr:row>
      <xdr:rowOff>257065</xdr:rowOff>
    </xdr:to>
    <xdr:sp macro="" textlink="">
      <xdr:nvSpPr>
        <xdr:cNvPr id="10" name="Rectangle 9">
          <a:extLst>
            <a:ext uri="{FF2B5EF4-FFF2-40B4-BE49-F238E27FC236}">
              <a16:creationId xmlns:a16="http://schemas.microsoft.com/office/drawing/2014/main" id="{F0BEC98F-5A83-4CAE-BF4E-5D8FC860926E}"/>
            </a:ext>
          </a:extLst>
        </xdr:cNvPr>
        <xdr:cNvSpPr/>
      </xdr:nvSpPr>
      <xdr:spPr>
        <a:xfrm>
          <a:off x="13948086" y="3543190"/>
          <a:ext cx="190500" cy="188595"/>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68256</xdr:colOff>
      <xdr:row>10</xdr:row>
      <xdr:rowOff>72518</xdr:rowOff>
    </xdr:from>
    <xdr:to>
      <xdr:col>23</xdr:col>
      <xdr:colOff>258756</xdr:colOff>
      <xdr:row>10</xdr:row>
      <xdr:rowOff>261113</xdr:rowOff>
    </xdr:to>
    <xdr:sp macro="" textlink="">
      <xdr:nvSpPr>
        <xdr:cNvPr id="11" name="Rectangle 10">
          <a:extLst>
            <a:ext uri="{FF2B5EF4-FFF2-40B4-BE49-F238E27FC236}">
              <a16:creationId xmlns:a16="http://schemas.microsoft.com/office/drawing/2014/main" id="{127129FD-62C6-493C-B993-9FBE175E1233}"/>
            </a:ext>
          </a:extLst>
        </xdr:cNvPr>
        <xdr:cNvSpPr/>
      </xdr:nvSpPr>
      <xdr:spPr>
        <a:xfrm>
          <a:off x="13944276" y="3890138"/>
          <a:ext cx="190500" cy="188595"/>
        </a:xfrm>
        <a:prstGeom prst="rect">
          <a:avLst/>
        </a:prstGeom>
        <a:solidFill>
          <a:schemeClr val="accent2"/>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72378</xdr:colOff>
      <xdr:row>11</xdr:row>
      <xdr:rowOff>57645</xdr:rowOff>
    </xdr:from>
    <xdr:to>
      <xdr:col>23</xdr:col>
      <xdr:colOff>262878</xdr:colOff>
      <xdr:row>11</xdr:row>
      <xdr:rowOff>244335</xdr:rowOff>
    </xdr:to>
    <xdr:sp macro="" textlink="">
      <xdr:nvSpPr>
        <xdr:cNvPr id="12" name="Rectangle 11">
          <a:extLst>
            <a:ext uri="{FF2B5EF4-FFF2-40B4-BE49-F238E27FC236}">
              <a16:creationId xmlns:a16="http://schemas.microsoft.com/office/drawing/2014/main" id="{93D711B7-4488-4672-AB06-CF6D3D15CAEF}"/>
            </a:ext>
          </a:extLst>
        </xdr:cNvPr>
        <xdr:cNvSpPr/>
      </xdr:nvSpPr>
      <xdr:spPr>
        <a:xfrm>
          <a:off x="13948398" y="4218165"/>
          <a:ext cx="190500" cy="186690"/>
        </a:xfrm>
        <a:prstGeom prst="rect">
          <a:avLst/>
        </a:prstGeom>
        <a:solidFill>
          <a:schemeClr val="accent3"/>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61241</xdr:colOff>
      <xdr:row>12</xdr:row>
      <xdr:rowOff>58595</xdr:rowOff>
    </xdr:from>
    <xdr:to>
      <xdr:col>23</xdr:col>
      <xdr:colOff>251741</xdr:colOff>
      <xdr:row>12</xdr:row>
      <xdr:rowOff>254810</xdr:rowOff>
    </xdr:to>
    <xdr:sp macro="" textlink="">
      <xdr:nvSpPr>
        <xdr:cNvPr id="13" name="Rectangle 12">
          <a:extLst>
            <a:ext uri="{FF2B5EF4-FFF2-40B4-BE49-F238E27FC236}">
              <a16:creationId xmlns:a16="http://schemas.microsoft.com/office/drawing/2014/main" id="{28BEAB52-0294-4BF2-881E-C374A7E2B27E}"/>
            </a:ext>
          </a:extLst>
        </xdr:cNvPr>
        <xdr:cNvSpPr/>
      </xdr:nvSpPr>
      <xdr:spPr>
        <a:xfrm>
          <a:off x="13937261" y="4562015"/>
          <a:ext cx="190500" cy="196215"/>
        </a:xfrm>
        <a:prstGeom prst="rect">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xdr:from>
      <xdr:col>37</xdr:col>
      <xdr:colOff>0</xdr:colOff>
      <xdr:row>6</xdr:row>
      <xdr:rowOff>119743</xdr:rowOff>
    </xdr:from>
    <xdr:to>
      <xdr:col>46</xdr:col>
      <xdr:colOff>396784</xdr:colOff>
      <xdr:row>16</xdr:row>
      <xdr:rowOff>326573</xdr:rowOff>
    </xdr:to>
    <xdr:graphicFrame macro="">
      <xdr:nvGraphicFramePr>
        <xdr:cNvPr id="24" name="Chart 23">
          <a:extLst>
            <a:ext uri="{FF2B5EF4-FFF2-40B4-BE49-F238E27FC236}">
              <a16:creationId xmlns:a16="http://schemas.microsoft.com/office/drawing/2014/main" id="{B7828ACB-5618-4D69-B424-D0DB0C7208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27214</xdr:colOff>
      <xdr:row>0</xdr:row>
      <xdr:rowOff>27214</xdr:rowOff>
    </xdr:from>
    <xdr:to>
      <xdr:col>5</xdr:col>
      <xdr:colOff>503910</xdr:colOff>
      <xdr:row>34</xdr:row>
      <xdr:rowOff>338941</xdr:rowOff>
    </xdr:to>
    <xdr:grpSp>
      <xdr:nvGrpSpPr>
        <xdr:cNvPr id="72" name="Group 71">
          <a:extLst>
            <a:ext uri="{FF2B5EF4-FFF2-40B4-BE49-F238E27FC236}">
              <a16:creationId xmlns:a16="http://schemas.microsoft.com/office/drawing/2014/main" id="{C9CABD5F-ED8A-4E0E-9471-C98C7D475B43}"/>
            </a:ext>
          </a:extLst>
        </xdr:cNvPr>
        <xdr:cNvGrpSpPr>
          <a:grpSpLocks noChangeAspect="1"/>
        </xdr:cNvGrpSpPr>
      </xdr:nvGrpSpPr>
      <xdr:grpSpPr>
        <a:xfrm>
          <a:off x="27214" y="27214"/>
          <a:ext cx="3524696" cy="13265727"/>
          <a:chOff x="51954" y="51955"/>
          <a:chExt cx="3636819" cy="13265727"/>
        </a:xfrm>
      </xdr:grpSpPr>
      <xdr:sp macro="" textlink="">
        <xdr:nvSpPr>
          <xdr:cNvPr id="73" name="Rectangle: Rounded Corners 72">
            <a:extLst>
              <a:ext uri="{FF2B5EF4-FFF2-40B4-BE49-F238E27FC236}">
                <a16:creationId xmlns:a16="http://schemas.microsoft.com/office/drawing/2014/main" id="{60EDA6B4-711E-59F9-1BBD-73C597A3CB1C}"/>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74" name="Group 73">
            <a:hlinkClick xmlns:r="http://schemas.openxmlformats.org/officeDocument/2006/relationships" r:id="rId2"/>
            <a:extLst>
              <a:ext uri="{FF2B5EF4-FFF2-40B4-BE49-F238E27FC236}">
                <a16:creationId xmlns:a16="http://schemas.microsoft.com/office/drawing/2014/main" id="{FC78BA2F-F306-D8BD-AD5A-251DA62D1C15}"/>
              </a:ext>
            </a:extLst>
          </xdr:cNvPr>
          <xdr:cNvGrpSpPr/>
        </xdr:nvGrpSpPr>
        <xdr:grpSpPr>
          <a:xfrm>
            <a:off x="274692" y="253113"/>
            <a:ext cx="3175624" cy="902746"/>
            <a:chOff x="231396" y="131885"/>
            <a:chExt cx="3175624" cy="902746"/>
          </a:xfrm>
        </xdr:grpSpPr>
        <xdr:sp macro="" textlink="">
          <xdr:nvSpPr>
            <xdr:cNvPr id="111" name="Rectangle: Rounded Corners 110">
              <a:extLst>
                <a:ext uri="{FF2B5EF4-FFF2-40B4-BE49-F238E27FC236}">
                  <a16:creationId xmlns:a16="http://schemas.microsoft.com/office/drawing/2014/main" id="{5C1F6575-5EEF-1AF5-7879-1C1FB18A60E6}"/>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112" name="Graphic 111" descr="Home with solid fill">
              <a:hlinkClick xmlns:r="http://schemas.openxmlformats.org/officeDocument/2006/relationships" r:id="rId2"/>
              <a:extLst>
                <a:ext uri="{FF2B5EF4-FFF2-40B4-BE49-F238E27FC236}">
                  <a16:creationId xmlns:a16="http://schemas.microsoft.com/office/drawing/2014/main" id="{4B9FA259-2DBA-75DB-3833-858A575CD374}"/>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465954" y="196627"/>
              <a:ext cx="775580" cy="775580"/>
            </a:xfrm>
            <a:prstGeom prst="rect">
              <a:avLst/>
            </a:prstGeom>
          </xdr:spPr>
        </xdr:pic>
      </xdr:grpSp>
      <xdr:grpSp>
        <xdr:nvGrpSpPr>
          <xdr:cNvPr id="75" name="Group 74">
            <a:extLst>
              <a:ext uri="{FF2B5EF4-FFF2-40B4-BE49-F238E27FC236}">
                <a16:creationId xmlns:a16="http://schemas.microsoft.com/office/drawing/2014/main" id="{F3F1898D-1718-B87B-4EF2-7C4446B3D9F4}"/>
              </a:ext>
            </a:extLst>
          </xdr:cNvPr>
          <xdr:cNvGrpSpPr/>
        </xdr:nvGrpSpPr>
        <xdr:grpSpPr>
          <a:xfrm>
            <a:off x="274692" y="1258682"/>
            <a:ext cx="3175624" cy="902746"/>
            <a:chOff x="231396" y="1043648"/>
            <a:chExt cx="3175624" cy="902746"/>
          </a:xfrm>
        </xdr:grpSpPr>
        <xdr:sp macro="" textlink="">
          <xdr:nvSpPr>
            <xdr:cNvPr id="109" name="Rectangle: Rounded Corners 108">
              <a:hlinkClick xmlns:r="http://schemas.openxmlformats.org/officeDocument/2006/relationships" r:id="rId5"/>
              <a:extLst>
                <a:ext uri="{FF2B5EF4-FFF2-40B4-BE49-F238E27FC236}">
                  <a16:creationId xmlns:a16="http://schemas.microsoft.com/office/drawing/2014/main" id="{CF5197CF-1456-6B11-C607-803E66ECDC6C}"/>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110" name="Graphic 109" descr="Address Book with solid fill">
              <a:hlinkClick xmlns:r="http://schemas.openxmlformats.org/officeDocument/2006/relationships" r:id="rId5"/>
              <a:extLst>
                <a:ext uri="{FF2B5EF4-FFF2-40B4-BE49-F238E27FC236}">
                  <a16:creationId xmlns:a16="http://schemas.microsoft.com/office/drawing/2014/main" id="{2F6C8AE1-1689-CE34-E00E-69E0208BB7C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65954" y="1100991"/>
              <a:ext cx="765589" cy="775580"/>
            </a:xfrm>
            <a:prstGeom prst="rect">
              <a:avLst/>
            </a:prstGeom>
          </xdr:spPr>
        </xdr:pic>
      </xdr:grpSp>
      <xdr:grpSp>
        <xdr:nvGrpSpPr>
          <xdr:cNvPr id="76" name="Group 75">
            <a:extLst>
              <a:ext uri="{FF2B5EF4-FFF2-40B4-BE49-F238E27FC236}">
                <a16:creationId xmlns:a16="http://schemas.microsoft.com/office/drawing/2014/main" id="{4063D3E6-8F4A-88C1-2570-EC206DC9A62C}"/>
              </a:ext>
            </a:extLst>
          </xdr:cNvPr>
          <xdr:cNvGrpSpPr/>
        </xdr:nvGrpSpPr>
        <xdr:grpSpPr>
          <a:xfrm>
            <a:off x="274692" y="2264251"/>
            <a:ext cx="3175624" cy="902744"/>
            <a:chOff x="231396" y="1955411"/>
            <a:chExt cx="3175624" cy="902744"/>
          </a:xfrm>
        </xdr:grpSpPr>
        <xdr:sp macro="" textlink="">
          <xdr:nvSpPr>
            <xdr:cNvPr id="107" name="Rectangle: Rounded Corners 106">
              <a:hlinkClick xmlns:r="http://schemas.openxmlformats.org/officeDocument/2006/relationships" r:id="rId8"/>
              <a:extLst>
                <a:ext uri="{FF2B5EF4-FFF2-40B4-BE49-F238E27FC236}">
                  <a16:creationId xmlns:a16="http://schemas.microsoft.com/office/drawing/2014/main" id="{B901D9B7-58AF-3C5C-44E4-B7D8D265A92B}"/>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108" name="Graphic 107" descr="Closed book with solid fill">
              <a:hlinkClick xmlns:r="http://schemas.openxmlformats.org/officeDocument/2006/relationships" r:id="rId8"/>
              <a:extLst>
                <a:ext uri="{FF2B5EF4-FFF2-40B4-BE49-F238E27FC236}">
                  <a16:creationId xmlns:a16="http://schemas.microsoft.com/office/drawing/2014/main" id="{6A4B68AE-0EC9-459F-6D51-BE80076E6EBF}"/>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465954" y="2005355"/>
              <a:ext cx="765589" cy="775580"/>
            </a:xfrm>
            <a:prstGeom prst="rect">
              <a:avLst/>
            </a:prstGeom>
          </xdr:spPr>
        </xdr:pic>
      </xdr:grpSp>
      <xdr:grpSp>
        <xdr:nvGrpSpPr>
          <xdr:cNvPr id="77" name="Group 76">
            <a:extLst>
              <a:ext uri="{FF2B5EF4-FFF2-40B4-BE49-F238E27FC236}">
                <a16:creationId xmlns:a16="http://schemas.microsoft.com/office/drawing/2014/main" id="{F0DFF10F-1D02-60DC-4C74-F137806E86DE}"/>
              </a:ext>
            </a:extLst>
          </xdr:cNvPr>
          <xdr:cNvGrpSpPr/>
        </xdr:nvGrpSpPr>
        <xdr:grpSpPr>
          <a:xfrm>
            <a:off x="274692" y="11276710"/>
            <a:ext cx="3175624" cy="896469"/>
            <a:chOff x="231396" y="10123616"/>
            <a:chExt cx="3175624" cy="896469"/>
          </a:xfrm>
        </xdr:grpSpPr>
        <xdr:sp macro="" textlink="">
          <xdr:nvSpPr>
            <xdr:cNvPr id="105" name="Rectangle: Rounded Corners 104">
              <a:hlinkClick xmlns:r="http://schemas.openxmlformats.org/officeDocument/2006/relationships" r:id="rId11"/>
              <a:extLst>
                <a:ext uri="{FF2B5EF4-FFF2-40B4-BE49-F238E27FC236}">
                  <a16:creationId xmlns:a16="http://schemas.microsoft.com/office/drawing/2014/main" id="{080210F9-B238-1DFD-165E-3E9D0AD01791}"/>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106" name="Graphic 105" descr="Bar graph with downward trend with solid fill">
              <a:hlinkClick xmlns:r="http://schemas.openxmlformats.org/officeDocument/2006/relationships" r:id="rId11"/>
              <a:extLst>
                <a:ext uri="{FF2B5EF4-FFF2-40B4-BE49-F238E27FC236}">
                  <a16:creationId xmlns:a16="http://schemas.microsoft.com/office/drawing/2014/main" id="{6D689D1E-6253-2E4D-E92C-C0AFE0C4B87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65954" y="10144631"/>
              <a:ext cx="775580" cy="775580"/>
            </a:xfrm>
            <a:prstGeom prst="rect">
              <a:avLst/>
            </a:prstGeom>
          </xdr:spPr>
        </xdr:pic>
      </xdr:grpSp>
      <xdr:grpSp>
        <xdr:nvGrpSpPr>
          <xdr:cNvPr id="78" name="Group 77">
            <a:extLst>
              <a:ext uri="{FF2B5EF4-FFF2-40B4-BE49-F238E27FC236}">
                <a16:creationId xmlns:a16="http://schemas.microsoft.com/office/drawing/2014/main" id="{9AE05F16-A8D1-A387-B7BB-C24D27C36493}"/>
              </a:ext>
            </a:extLst>
          </xdr:cNvPr>
          <xdr:cNvGrpSpPr/>
        </xdr:nvGrpSpPr>
        <xdr:grpSpPr>
          <a:xfrm>
            <a:off x="274692" y="10277418"/>
            <a:ext cx="3175624" cy="896469"/>
            <a:chOff x="231396" y="9218130"/>
            <a:chExt cx="3175624" cy="896469"/>
          </a:xfrm>
        </xdr:grpSpPr>
        <xdr:sp macro="" textlink="">
          <xdr:nvSpPr>
            <xdr:cNvPr id="103" name="Rectangle: Rounded Corners 102">
              <a:hlinkClick xmlns:r="http://schemas.openxmlformats.org/officeDocument/2006/relationships" r:id="rId14"/>
              <a:extLst>
                <a:ext uri="{FF2B5EF4-FFF2-40B4-BE49-F238E27FC236}">
                  <a16:creationId xmlns:a16="http://schemas.microsoft.com/office/drawing/2014/main" id="{1F50F95B-16CD-DFFC-A60E-E3496C73687D}"/>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104" name="Graphic 103" descr="Bar graph with upward trend with solid fill">
              <a:hlinkClick xmlns:r="http://schemas.openxmlformats.org/officeDocument/2006/relationships" r:id="rId14"/>
              <a:extLst>
                <a:ext uri="{FF2B5EF4-FFF2-40B4-BE49-F238E27FC236}">
                  <a16:creationId xmlns:a16="http://schemas.microsoft.com/office/drawing/2014/main" id="{45B492C8-894D-4AE0-61ED-3150948C2DCC}"/>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465954" y="9240267"/>
              <a:ext cx="775580" cy="775580"/>
            </a:xfrm>
            <a:prstGeom prst="rect">
              <a:avLst/>
            </a:prstGeom>
          </xdr:spPr>
        </xdr:pic>
      </xdr:grpSp>
      <xdr:grpSp>
        <xdr:nvGrpSpPr>
          <xdr:cNvPr id="79" name="Group 78">
            <a:extLst>
              <a:ext uri="{FF2B5EF4-FFF2-40B4-BE49-F238E27FC236}">
                <a16:creationId xmlns:a16="http://schemas.microsoft.com/office/drawing/2014/main" id="{C91B3E69-5E06-0D88-BE3A-79209CACDFA4}"/>
              </a:ext>
            </a:extLst>
          </xdr:cNvPr>
          <xdr:cNvGrpSpPr/>
        </xdr:nvGrpSpPr>
        <xdr:grpSpPr>
          <a:xfrm>
            <a:off x="274692" y="8278833"/>
            <a:ext cx="3175624" cy="896470"/>
            <a:chOff x="231396" y="7407157"/>
            <a:chExt cx="3175624" cy="896470"/>
          </a:xfrm>
        </xdr:grpSpPr>
        <xdr:sp macro="" textlink="">
          <xdr:nvSpPr>
            <xdr:cNvPr id="101" name="Rectangle: Rounded Corners 100">
              <a:hlinkClick xmlns:r="http://schemas.openxmlformats.org/officeDocument/2006/relationships" r:id="rId17"/>
              <a:extLst>
                <a:ext uri="{FF2B5EF4-FFF2-40B4-BE49-F238E27FC236}">
                  <a16:creationId xmlns:a16="http://schemas.microsoft.com/office/drawing/2014/main" id="{1E6A5BED-A7E8-5710-9A0A-732178C8545B}"/>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102" name="Graphic 101" descr="Books with solid fill">
              <a:hlinkClick xmlns:r="http://schemas.openxmlformats.org/officeDocument/2006/relationships" r:id="rId17"/>
              <a:extLst>
                <a:ext uri="{FF2B5EF4-FFF2-40B4-BE49-F238E27FC236}">
                  <a16:creationId xmlns:a16="http://schemas.microsoft.com/office/drawing/2014/main" id="{D6DD0447-65C9-D789-B683-06B7894D4076}"/>
                </a:ext>
              </a:extLst>
            </xdr:cNvPr>
            <xdr:cNvPicPr>
              <a:picLocks noChangeAspect="1"/>
            </xdr:cNvPicPr>
          </xdr:nvPicPr>
          <xdr:blipFill>
            <a:blip xmlns:r="http://schemas.openxmlformats.org/officeDocument/2006/relationships" r:embed="rId18">
              <a:extLst>
                <a:ext uri="{96DAC541-7B7A-43D3-8B79-37D633B846F1}">
                  <asvg:svgBlip xmlns:asvg="http://schemas.microsoft.com/office/drawing/2016/SVG/main" r:embed="rId19"/>
                </a:ext>
              </a:extLst>
            </a:blip>
            <a:stretch>
              <a:fillRect/>
            </a:stretch>
          </xdr:blipFill>
          <xdr:spPr>
            <a:xfrm>
              <a:off x="465954" y="7431539"/>
              <a:ext cx="775580" cy="775580"/>
            </a:xfrm>
            <a:prstGeom prst="rect">
              <a:avLst/>
            </a:prstGeom>
          </xdr:spPr>
        </xdr:pic>
      </xdr:grpSp>
      <xdr:grpSp>
        <xdr:nvGrpSpPr>
          <xdr:cNvPr id="80" name="Group 79">
            <a:extLst>
              <a:ext uri="{FF2B5EF4-FFF2-40B4-BE49-F238E27FC236}">
                <a16:creationId xmlns:a16="http://schemas.microsoft.com/office/drawing/2014/main" id="{3ED03DF0-8EA7-1B04-0348-39B2CD135D7C}"/>
              </a:ext>
            </a:extLst>
          </xdr:cNvPr>
          <xdr:cNvGrpSpPr/>
        </xdr:nvGrpSpPr>
        <xdr:grpSpPr>
          <a:xfrm>
            <a:off x="274692" y="9278126"/>
            <a:ext cx="3175624" cy="896469"/>
            <a:chOff x="231396" y="8312644"/>
            <a:chExt cx="3175624" cy="896469"/>
          </a:xfrm>
        </xdr:grpSpPr>
        <xdr:sp macro="" textlink="">
          <xdr:nvSpPr>
            <xdr:cNvPr id="99" name="Rectangle: Rounded Corners 98">
              <a:hlinkClick xmlns:r="http://schemas.openxmlformats.org/officeDocument/2006/relationships" r:id="rId20"/>
              <a:extLst>
                <a:ext uri="{FF2B5EF4-FFF2-40B4-BE49-F238E27FC236}">
                  <a16:creationId xmlns:a16="http://schemas.microsoft.com/office/drawing/2014/main" id="{0BB19F5D-4351-B649-B820-5CF440913440}"/>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100" name="Graphic 99" descr="Books on shelf with solid fill">
              <a:hlinkClick xmlns:r="http://schemas.openxmlformats.org/officeDocument/2006/relationships" r:id="rId20"/>
              <a:extLst>
                <a:ext uri="{FF2B5EF4-FFF2-40B4-BE49-F238E27FC236}">
                  <a16:creationId xmlns:a16="http://schemas.microsoft.com/office/drawing/2014/main" id="{46D138CD-64A5-0B51-BB5A-A34141BA0A76}"/>
                </a:ext>
              </a:extLst>
            </xdr:cNvPr>
            <xdr:cNvPicPr>
              <a:picLocks noChangeAspect="1"/>
            </xdr:cNvPicPr>
          </xdr:nvPicPr>
          <xdr:blipFill>
            <a:blip xmlns:r="http://schemas.openxmlformats.org/officeDocument/2006/relationships" r:embed="rId21">
              <a:extLst>
                <a:ext uri="{96DAC541-7B7A-43D3-8B79-37D633B846F1}">
                  <asvg:svgBlip xmlns:asvg="http://schemas.microsoft.com/office/drawing/2016/SVG/main" r:embed="rId22"/>
                </a:ext>
              </a:extLst>
            </a:blip>
            <a:stretch>
              <a:fillRect/>
            </a:stretch>
          </xdr:blipFill>
          <xdr:spPr>
            <a:xfrm>
              <a:off x="465954" y="8335903"/>
              <a:ext cx="775580" cy="775580"/>
            </a:xfrm>
            <a:prstGeom prst="rect">
              <a:avLst/>
            </a:prstGeom>
          </xdr:spPr>
        </xdr:pic>
      </xdr:grpSp>
      <xdr:grpSp>
        <xdr:nvGrpSpPr>
          <xdr:cNvPr id="81" name="Group 80">
            <a:extLst>
              <a:ext uri="{FF2B5EF4-FFF2-40B4-BE49-F238E27FC236}">
                <a16:creationId xmlns:a16="http://schemas.microsoft.com/office/drawing/2014/main" id="{FE205D3B-A459-1619-65D8-18DA844F9098}"/>
              </a:ext>
            </a:extLst>
          </xdr:cNvPr>
          <xdr:cNvGrpSpPr/>
        </xdr:nvGrpSpPr>
        <xdr:grpSpPr>
          <a:xfrm>
            <a:off x="274692" y="12276007"/>
            <a:ext cx="3175624" cy="896469"/>
            <a:chOff x="231396" y="11029098"/>
            <a:chExt cx="3175624" cy="896469"/>
          </a:xfrm>
        </xdr:grpSpPr>
        <xdr:sp macro="" textlink="">
          <xdr:nvSpPr>
            <xdr:cNvPr id="97" name="Rectangle: Rounded Corners 96">
              <a:hlinkClick xmlns:r="http://schemas.openxmlformats.org/officeDocument/2006/relationships" r:id="rId23"/>
              <a:extLst>
                <a:ext uri="{FF2B5EF4-FFF2-40B4-BE49-F238E27FC236}">
                  <a16:creationId xmlns:a16="http://schemas.microsoft.com/office/drawing/2014/main" id="{95C77F0C-80C7-AE4A-3958-916ECC22852F}"/>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98" name="Graphic 97" descr="Users with solid fill">
              <a:hlinkClick xmlns:r="http://schemas.openxmlformats.org/officeDocument/2006/relationships" r:id="rId23"/>
              <a:extLst>
                <a:ext uri="{FF2B5EF4-FFF2-40B4-BE49-F238E27FC236}">
                  <a16:creationId xmlns:a16="http://schemas.microsoft.com/office/drawing/2014/main" id="{913C18A7-C6BD-E7BF-B4A8-AC5E2266F4F0}"/>
                </a:ext>
              </a:extLst>
            </xdr:cNvPr>
            <xdr:cNvPicPr>
              <a:picLocks noChangeAspect="1"/>
            </xdr:cNvPicPr>
          </xdr:nvPicPr>
          <xdr:blipFill>
            <a:blip xmlns:r="http://schemas.openxmlformats.org/officeDocument/2006/relationships" r:embed="rId24">
              <a:extLst>
                <a:ext uri="{96DAC541-7B7A-43D3-8B79-37D633B846F1}">
                  <asvg:svgBlip xmlns:asvg="http://schemas.microsoft.com/office/drawing/2016/SVG/main" r:embed="rId25"/>
                </a:ext>
              </a:extLst>
            </a:blip>
            <a:stretch>
              <a:fillRect/>
            </a:stretch>
          </xdr:blipFill>
          <xdr:spPr>
            <a:xfrm>
              <a:off x="465954" y="11049000"/>
              <a:ext cx="775580" cy="775580"/>
            </a:xfrm>
            <a:prstGeom prst="rect">
              <a:avLst/>
            </a:prstGeom>
          </xdr:spPr>
        </xdr:pic>
      </xdr:grpSp>
      <xdr:grpSp>
        <xdr:nvGrpSpPr>
          <xdr:cNvPr id="82" name="Group 81">
            <a:extLst>
              <a:ext uri="{FF2B5EF4-FFF2-40B4-BE49-F238E27FC236}">
                <a16:creationId xmlns:a16="http://schemas.microsoft.com/office/drawing/2014/main" id="{38FFDA96-E3A7-2724-B675-457FF50BDFA6}"/>
              </a:ext>
            </a:extLst>
          </xdr:cNvPr>
          <xdr:cNvGrpSpPr/>
        </xdr:nvGrpSpPr>
        <xdr:grpSpPr>
          <a:xfrm>
            <a:off x="274692" y="5280956"/>
            <a:ext cx="3175624" cy="896469"/>
            <a:chOff x="231396" y="4690698"/>
            <a:chExt cx="3175624" cy="896469"/>
          </a:xfrm>
        </xdr:grpSpPr>
        <xdr:sp macro="" textlink="">
          <xdr:nvSpPr>
            <xdr:cNvPr id="95" name="Rectangle: Rounded Corners 94">
              <a:hlinkClick xmlns:r="http://schemas.openxmlformats.org/officeDocument/2006/relationships" r:id="rId26"/>
              <a:extLst>
                <a:ext uri="{FF2B5EF4-FFF2-40B4-BE49-F238E27FC236}">
                  <a16:creationId xmlns:a16="http://schemas.microsoft.com/office/drawing/2014/main" id="{786DCBDF-6035-06C0-0447-D69A03CEA7C8}"/>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96" name="Graphic 95" descr="Hierarchy with solid fill">
              <a:hlinkClick xmlns:r="http://schemas.openxmlformats.org/officeDocument/2006/relationships" r:id="rId26"/>
              <a:extLst>
                <a:ext uri="{FF2B5EF4-FFF2-40B4-BE49-F238E27FC236}">
                  <a16:creationId xmlns:a16="http://schemas.microsoft.com/office/drawing/2014/main" id="{E80BD126-94D4-BB39-8231-E277938FF895}"/>
                </a:ext>
              </a:extLst>
            </xdr:cNvPr>
            <xdr:cNvPicPr>
              <a:picLocks noChangeAspect="1"/>
            </xdr:cNvPicPr>
          </xdr:nvPicPr>
          <xdr:blipFill>
            <a:blip xmlns:r="http://schemas.openxmlformats.org/officeDocument/2006/relationships" r:embed="rId27">
              <a:extLst>
                <a:ext uri="{96DAC541-7B7A-43D3-8B79-37D633B846F1}">
                  <asvg:svgBlip xmlns:asvg="http://schemas.microsoft.com/office/drawing/2016/SVG/main" r:embed="rId28"/>
                </a:ext>
              </a:extLst>
            </a:blip>
            <a:stretch>
              <a:fillRect/>
            </a:stretch>
          </xdr:blipFill>
          <xdr:spPr>
            <a:xfrm>
              <a:off x="465954" y="4718447"/>
              <a:ext cx="763355" cy="775580"/>
            </a:xfrm>
            <a:prstGeom prst="rect">
              <a:avLst/>
            </a:prstGeom>
          </xdr:spPr>
        </xdr:pic>
      </xdr:grpSp>
      <xdr:grpSp>
        <xdr:nvGrpSpPr>
          <xdr:cNvPr id="83" name="Group 82">
            <a:extLst>
              <a:ext uri="{FF2B5EF4-FFF2-40B4-BE49-F238E27FC236}">
                <a16:creationId xmlns:a16="http://schemas.microsoft.com/office/drawing/2014/main" id="{E663FC5D-DC7E-712D-74FF-61FB3B477DE8}"/>
              </a:ext>
            </a:extLst>
          </xdr:cNvPr>
          <xdr:cNvGrpSpPr/>
        </xdr:nvGrpSpPr>
        <xdr:grpSpPr>
          <a:xfrm>
            <a:off x="274692" y="6280248"/>
            <a:ext cx="3175624" cy="896469"/>
            <a:chOff x="231396" y="5596184"/>
            <a:chExt cx="3175624" cy="896469"/>
          </a:xfrm>
        </xdr:grpSpPr>
        <xdr:sp macro="" textlink="">
          <xdr:nvSpPr>
            <xdr:cNvPr id="93" name="Rectangle: Rounded Corners 92">
              <a:hlinkClick xmlns:r="http://schemas.openxmlformats.org/officeDocument/2006/relationships" r:id="rId29"/>
              <a:extLst>
                <a:ext uri="{FF2B5EF4-FFF2-40B4-BE49-F238E27FC236}">
                  <a16:creationId xmlns:a16="http://schemas.microsoft.com/office/drawing/2014/main" id="{C975AC59-72D6-44FC-4697-EE5A0537D9F0}"/>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94" name="Graphic 93" descr="Postit Notes with solid fill">
              <a:hlinkClick xmlns:r="http://schemas.openxmlformats.org/officeDocument/2006/relationships" r:id="rId29"/>
              <a:extLst>
                <a:ext uri="{FF2B5EF4-FFF2-40B4-BE49-F238E27FC236}">
                  <a16:creationId xmlns:a16="http://schemas.microsoft.com/office/drawing/2014/main" id="{9699792B-422C-0C22-7CBF-67BE364B903F}"/>
                </a:ext>
              </a:extLst>
            </xdr:cNvPr>
            <xdr:cNvPicPr>
              <a:picLocks noChangeAspect="1"/>
            </xdr:cNvPicPr>
          </xdr:nvPicPr>
          <xdr:blipFill>
            <a:blip xmlns:r="http://schemas.openxmlformats.org/officeDocument/2006/relationships" r:embed="rId30">
              <a:extLst>
                <a:ext uri="{96DAC541-7B7A-43D3-8B79-37D633B846F1}">
                  <asvg:svgBlip xmlns:asvg="http://schemas.microsoft.com/office/drawing/2016/SVG/main" r:embed="rId31"/>
                </a:ext>
              </a:extLst>
            </a:blip>
            <a:stretch>
              <a:fillRect/>
            </a:stretch>
          </xdr:blipFill>
          <xdr:spPr>
            <a:xfrm>
              <a:off x="465954" y="5622811"/>
              <a:ext cx="763355" cy="775580"/>
            </a:xfrm>
            <a:prstGeom prst="rect">
              <a:avLst/>
            </a:prstGeom>
          </xdr:spPr>
        </xdr:pic>
      </xdr:grpSp>
      <xdr:grpSp>
        <xdr:nvGrpSpPr>
          <xdr:cNvPr id="84" name="Group 83">
            <a:extLst>
              <a:ext uri="{FF2B5EF4-FFF2-40B4-BE49-F238E27FC236}">
                <a16:creationId xmlns:a16="http://schemas.microsoft.com/office/drawing/2014/main" id="{048C63F5-B3EE-5ED5-9E9A-7A2E911BA81B}"/>
              </a:ext>
            </a:extLst>
          </xdr:cNvPr>
          <xdr:cNvGrpSpPr/>
        </xdr:nvGrpSpPr>
        <xdr:grpSpPr>
          <a:xfrm>
            <a:off x="274692" y="7279540"/>
            <a:ext cx="3175624" cy="896470"/>
            <a:chOff x="231396" y="6501670"/>
            <a:chExt cx="3175624" cy="896470"/>
          </a:xfrm>
        </xdr:grpSpPr>
        <xdr:sp macro="" textlink="">
          <xdr:nvSpPr>
            <xdr:cNvPr id="91" name="Rectangle: Rounded Corners 90">
              <a:hlinkClick xmlns:r="http://schemas.openxmlformats.org/officeDocument/2006/relationships" r:id="rId32"/>
              <a:extLst>
                <a:ext uri="{FF2B5EF4-FFF2-40B4-BE49-F238E27FC236}">
                  <a16:creationId xmlns:a16="http://schemas.microsoft.com/office/drawing/2014/main" id="{2C046548-3EEF-D8C1-9716-36B2ECA55CE3}"/>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92" name="Graphic 91" descr="Signal with solid fill">
              <a:hlinkClick xmlns:r="http://schemas.openxmlformats.org/officeDocument/2006/relationships" r:id="rId32"/>
              <a:extLst>
                <a:ext uri="{FF2B5EF4-FFF2-40B4-BE49-F238E27FC236}">
                  <a16:creationId xmlns:a16="http://schemas.microsoft.com/office/drawing/2014/main" id="{17AF19FB-30A2-2A20-81E5-D8A2A563298F}"/>
                </a:ext>
              </a:extLst>
            </xdr:cNvPr>
            <xdr:cNvPicPr>
              <a:picLocks noChangeAspect="1"/>
            </xdr:cNvPicPr>
          </xdr:nvPicPr>
          <xdr:blipFill>
            <a:blip xmlns:r="http://schemas.openxmlformats.org/officeDocument/2006/relationships" r:embed="rId33">
              <a:extLst>
                <a:ext uri="{96DAC541-7B7A-43D3-8B79-37D633B846F1}">
                  <asvg:svgBlip xmlns:asvg="http://schemas.microsoft.com/office/drawing/2016/SVG/main" r:embed="rId34"/>
                </a:ext>
              </a:extLst>
            </a:blip>
            <a:stretch>
              <a:fillRect/>
            </a:stretch>
          </xdr:blipFill>
          <xdr:spPr>
            <a:xfrm>
              <a:off x="465954" y="6527175"/>
              <a:ext cx="775580" cy="775580"/>
            </a:xfrm>
            <a:prstGeom prst="rect">
              <a:avLst/>
            </a:prstGeom>
          </xdr:spPr>
        </xdr:pic>
      </xdr:grpSp>
      <xdr:grpSp>
        <xdr:nvGrpSpPr>
          <xdr:cNvPr id="85" name="Group 84">
            <a:extLst>
              <a:ext uri="{FF2B5EF4-FFF2-40B4-BE49-F238E27FC236}">
                <a16:creationId xmlns:a16="http://schemas.microsoft.com/office/drawing/2014/main" id="{C089E15E-1840-614B-6590-A23DCF150816}"/>
              </a:ext>
            </a:extLst>
          </xdr:cNvPr>
          <xdr:cNvGrpSpPr/>
        </xdr:nvGrpSpPr>
        <xdr:grpSpPr>
          <a:xfrm>
            <a:off x="274692" y="4275387"/>
            <a:ext cx="3175624" cy="902746"/>
            <a:chOff x="231396" y="3778935"/>
            <a:chExt cx="3175624" cy="902746"/>
          </a:xfrm>
        </xdr:grpSpPr>
        <xdr:sp macro="" textlink="">
          <xdr:nvSpPr>
            <xdr:cNvPr id="89" name="Rectangle: Rounded Corners 88">
              <a:hlinkClick xmlns:r="http://schemas.openxmlformats.org/officeDocument/2006/relationships" r:id="rId35"/>
              <a:extLst>
                <a:ext uri="{FF2B5EF4-FFF2-40B4-BE49-F238E27FC236}">
                  <a16:creationId xmlns:a16="http://schemas.microsoft.com/office/drawing/2014/main" id="{A039AA67-7678-27C2-5A04-F673C3892CE4}"/>
                </a:ext>
              </a:extLst>
            </xdr:cNvPr>
            <xdr:cNvSpPr/>
          </xdr:nvSpPr>
          <xdr:spPr>
            <a:xfrm>
              <a:off x="231396" y="3778935"/>
              <a:ext cx="3175624" cy="902746"/>
            </a:xfrm>
            <a:prstGeom prst="roundRect">
              <a:avLst/>
            </a:prstGeom>
            <a:solidFill>
              <a:schemeClr val="accent3"/>
            </a:solidFill>
            <a:ln w="9525">
              <a:solidFill>
                <a:schemeClr val="accent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tx1"/>
                  </a:solidFill>
                  <a:latin typeface="Georgia" panose="02040502050405020303" pitchFamily="18" charset="0"/>
                  <a:ea typeface="+mn-ea"/>
                  <a:cs typeface="+mn-cs"/>
                </a:rPr>
                <a:t>Summary </a:t>
              </a:r>
            </a:p>
            <a:p>
              <a:pPr algn="r"/>
              <a:r>
                <a:rPr lang="en-US" sz="1400" b="1">
                  <a:solidFill>
                    <a:schemeClr val="tx1"/>
                  </a:solidFill>
                  <a:latin typeface="Georgia" panose="02040502050405020303" pitchFamily="18" charset="0"/>
                  <a:ea typeface="+mn-ea"/>
                  <a:cs typeface="+mn-cs"/>
                </a:rPr>
                <a:t>(by Institution)</a:t>
              </a:r>
            </a:p>
          </xdr:txBody>
        </xdr:sp>
        <xdr:pic>
          <xdr:nvPicPr>
            <xdr:cNvPr id="90" name="Graphic 89" descr="Document with solid fill">
              <a:hlinkClick xmlns:r="http://schemas.openxmlformats.org/officeDocument/2006/relationships" r:id="rId35"/>
              <a:extLst>
                <a:ext uri="{FF2B5EF4-FFF2-40B4-BE49-F238E27FC236}">
                  <a16:creationId xmlns:a16="http://schemas.microsoft.com/office/drawing/2014/main" id="{506D1EA4-1C90-2674-003B-4F2563A0A59A}"/>
                </a:ext>
              </a:extLst>
            </xdr:cNvPr>
            <xdr:cNvPicPr>
              <a:picLocks noChangeAspect="1"/>
            </xdr:cNvPicPr>
          </xdr:nvPicPr>
          <xdr:blipFill>
            <a:blip xmlns:r="http://schemas.openxmlformats.org/officeDocument/2006/relationships" r:embed="rId36">
              <a:extLst>
                <a:ext uri="{96DAC541-7B7A-43D3-8B79-37D633B846F1}">
                  <asvg:svgBlip xmlns:asvg="http://schemas.microsoft.com/office/drawing/2016/SVG/main" r:embed="rId37"/>
                </a:ext>
              </a:extLst>
            </a:blip>
            <a:stretch>
              <a:fillRect/>
            </a:stretch>
          </xdr:blipFill>
          <xdr:spPr>
            <a:xfrm>
              <a:off x="465954" y="3814083"/>
              <a:ext cx="769468" cy="775580"/>
            </a:xfrm>
            <a:prstGeom prst="rect">
              <a:avLst/>
            </a:prstGeom>
          </xdr:spPr>
        </xdr:pic>
      </xdr:grpSp>
      <xdr:grpSp>
        <xdr:nvGrpSpPr>
          <xdr:cNvPr id="86" name="Group 85">
            <a:extLst>
              <a:ext uri="{FF2B5EF4-FFF2-40B4-BE49-F238E27FC236}">
                <a16:creationId xmlns:a16="http://schemas.microsoft.com/office/drawing/2014/main" id="{39C2AE1B-BD13-5C63-C80B-25A640E0AD48}"/>
              </a:ext>
            </a:extLst>
          </xdr:cNvPr>
          <xdr:cNvGrpSpPr/>
        </xdr:nvGrpSpPr>
        <xdr:grpSpPr>
          <a:xfrm>
            <a:off x="274692" y="3269818"/>
            <a:ext cx="3175624" cy="902746"/>
            <a:chOff x="231396" y="2867172"/>
            <a:chExt cx="3175624" cy="902746"/>
          </a:xfrm>
        </xdr:grpSpPr>
        <xdr:sp macro="" textlink="">
          <xdr:nvSpPr>
            <xdr:cNvPr id="87" name="Rectangle: Rounded Corners 86">
              <a:hlinkClick xmlns:r="http://schemas.openxmlformats.org/officeDocument/2006/relationships" r:id="rId38"/>
              <a:extLst>
                <a:ext uri="{FF2B5EF4-FFF2-40B4-BE49-F238E27FC236}">
                  <a16:creationId xmlns:a16="http://schemas.microsoft.com/office/drawing/2014/main" id="{C11BBA0B-52A0-F60F-494E-7F5C28D26D0F}"/>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88" name="Graphic 87" descr="Soundwave with solid fill">
              <a:hlinkClick xmlns:r="http://schemas.openxmlformats.org/officeDocument/2006/relationships" r:id="rId38"/>
              <a:extLst>
                <a:ext uri="{FF2B5EF4-FFF2-40B4-BE49-F238E27FC236}">
                  <a16:creationId xmlns:a16="http://schemas.microsoft.com/office/drawing/2014/main" id="{8A79405F-0DE2-37AA-AD8A-E251835D6D14}"/>
                </a:ext>
              </a:extLst>
            </xdr:cNvPr>
            <xdr:cNvPicPr>
              <a:picLocks noChangeAspect="1"/>
            </xdr:cNvPicPr>
          </xdr:nvPicPr>
          <xdr:blipFill>
            <a:blip xmlns:r="http://schemas.openxmlformats.org/officeDocument/2006/relationships" r:embed="rId39">
              <a:extLst>
                <a:ext uri="{96DAC541-7B7A-43D3-8B79-37D633B846F1}">
                  <asvg:svgBlip xmlns:asvg="http://schemas.microsoft.com/office/drawing/2016/SVG/main" r:embed="rId40"/>
                </a:ext>
              </a:extLst>
            </a:blip>
            <a:stretch>
              <a:fillRect/>
            </a:stretch>
          </xdr:blipFill>
          <xdr:spPr>
            <a:xfrm>
              <a:off x="465954" y="2909719"/>
              <a:ext cx="769468" cy="775580"/>
            </a:xfrm>
            <a:prstGeom prst="rect">
              <a:avLst/>
            </a:prstGeom>
          </xdr:spPr>
        </xdr:pic>
      </xdr:grpSp>
    </xdr:grp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72066</xdr:colOff>
      <xdr:row>9</xdr:row>
      <xdr:rowOff>68470</xdr:rowOff>
    </xdr:from>
    <xdr:to>
      <xdr:col>23</xdr:col>
      <xdr:colOff>262566</xdr:colOff>
      <xdr:row>9</xdr:row>
      <xdr:rowOff>257065</xdr:rowOff>
    </xdr:to>
    <xdr:sp macro="" textlink="">
      <xdr:nvSpPr>
        <xdr:cNvPr id="2" name="Rectangle 1">
          <a:extLst>
            <a:ext uri="{FF2B5EF4-FFF2-40B4-BE49-F238E27FC236}">
              <a16:creationId xmlns:a16="http://schemas.microsoft.com/office/drawing/2014/main" id="{3115F359-4968-450C-8730-0C731CEF3590}"/>
            </a:ext>
          </a:extLst>
        </xdr:cNvPr>
        <xdr:cNvSpPr/>
      </xdr:nvSpPr>
      <xdr:spPr>
        <a:xfrm>
          <a:off x="12309786" y="3329830"/>
          <a:ext cx="190500" cy="188595"/>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68256</xdr:colOff>
      <xdr:row>10</xdr:row>
      <xdr:rowOff>72518</xdr:rowOff>
    </xdr:from>
    <xdr:to>
      <xdr:col>23</xdr:col>
      <xdr:colOff>258756</xdr:colOff>
      <xdr:row>10</xdr:row>
      <xdr:rowOff>261113</xdr:rowOff>
    </xdr:to>
    <xdr:sp macro="" textlink="">
      <xdr:nvSpPr>
        <xdr:cNvPr id="3" name="Rectangle 2">
          <a:extLst>
            <a:ext uri="{FF2B5EF4-FFF2-40B4-BE49-F238E27FC236}">
              <a16:creationId xmlns:a16="http://schemas.microsoft.com/office/drawing/2014/main" id="{60B69AB3-CE65-474F-98C5-CFB087D82FA1}"/>
            </a:ext>
          </a:extLst>
        </xdr:cNvPr>
        <xdr:cNvSpPr/>
      </xdr:nvSpPr>
      <xdr:spPr>
        <a:xfrm>
          <a:off x="12305976" y="3676778"/>
          <a:ext cx="190500" cy="188595"/>
        </a:xfrm>
        <a:prstGeom prst="rect">
          <a:avLst/>
        </a:prstGeom>
        <a:solidFill>
          <a:schemeClr val="accent2"/>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72378</xdr:colOff>
      <xdr:row>11</xdr:row>
      <xdr:rowOff>57645</xdr:rowOff>
    </xdr:from>
    <xdr:to>
      <xdr:col>23</xdr:col>
      <xdr:colOff>262878</xdr:colOff>
      <xdr:row>11</xdr:row>
      <xdr:rowOff>244335</xdr:rowOff>
    </xdr:to>
    <xdr:sp macro="" textlink="">
      <xdr:nvSpPr>
        <xdr:cNvPr id="4" name="Rectangle 3">
          <a:extLst>
            <a:ext uri="{FF2B5EF4-FFF2-40B4-BE49-F238E27FC236}">
              <a16:creationId xmlns:a16="http://schemas.microsoft.com/office/drawing/2014/main" id="{B0F6035A-1348-4D20-AB4F-539CD124E434}"/>
            </a:ext>
          </a:extLst>
        </xdr:cNvPr>
        <xdr:cNvSpPr/>
      </xdr:nvSpPr>
      <xdr:spPr>
        <a:xfrm>
          <a:off x="12310098" y="4004805"/>
          <a:ext cx="190500" cy="186690"/>
        </a:xfrm>
        <a:prstGeom prst="rect">
          <a:avLst/>
        </a:prstGeom>
        <a:solidFill>
          <a:schemeClr val="accent3"/>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61241</xdr:colOff>
      <xdr:row>12</xdr:row>
      <xdr:rowOff>58595</xdr:rowOff>
    </xdr:from>
    <xdr:to>
      <xdr:col>23</xdr:col>
      <xdr:colOff>251741</xdr:colOff>
      <xdr:row>12</xdr:row>
      <xdr:rowOff>254810</xdr:rowOff>
    </xdr:to>
    <xdr:sp macro="" textlink="">
      <xdr:nvSpPr>
        <xdr:cNvPr id="5" name="Rectangle 4">
          <a:extLst>
            <a:ext uri="{FF2B5EF4-FFF2-40B4-BE49-F238E27FC236}">
              <a16:creationId xmlns:a16="http://schemas.microsoft.com/office/drawing/2014/main" id="{A80141B8-165B-47BA-A99C-E36D47CD4205}"/>
            </a:ext>
          </a:extLst>
        </xdr:cNvPr>
        <xdr:cNvSpPr/>
      </xdr:nvSpPr>
      <xdr:spPr>
        <a:xfrm>
          <a:off x="12298961" y="4348655"/>
          <a:ext cx="190500" cy="196215"/>
        </a:xfrm>
        <a:prstGeom prst="rect">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xdr:from>
      <xdr:col>37</xdr:col>
      <xdr:colOff>0</xdr:colOff>
      <xdr:row>6</xdr:row>
      <xdr:rowOff>119743</xdr:rowOff>
    </xdr:from>
    <xdr:to>
      <xdr:col>46</xdr:col>
      <xdr:colOff>396784</xdr:colOff>
      <xdr:row>31</xdr:row>
      <xdr:rowOff>326573</xdr:rowOff>
    </xdr:to>
    <xdr:graphicFrame macro="">
      <xdr:nvGraphicFramePr>
        <xdr:cNvPr id="16" name="Chart 15">
          <a:extLst>
            <a:ext uri="{FF2B5EF4-FFF2-40B4-BE49-F238E27FC236}">
              <a16:creationId xmlns:a16="http://schemas.microsoft.com/office/drawing/2014/main" id="{0E39ED2B-6268-49A9-AA44-EF2E3788DD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185058</xdr:colOff>
      <xdr:row>15</xdr:row>
      <xdr:rowOff>185056</xdr:rowOff>
    </xdr:from>
    <xdr:to>
      <xdr:col>33</xdr:col>
      <xdr:colOff>462099</xdr:colOff>
      <xdr:row>26</xdr:row>
      <xdr:rowOff>43543</xdr:rowOff>
    </xdr:to>
    <xdr:graphicFrame macro="">
      <xdr:nvGraphicFramePr>
        <xdr:cNvPr id="17" name="Chart 16">
          <a:extLst>
            <a:ext uri="{FF2B5EF4-FFF2-40B4-BE49-F238E27FC236}">
              <a16:creationId xmlns:a16="http://schemas.microsoft.com/office/drawing/2014/main" id="{AE847233-40C6-450B-A286-E6FA43031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27214</xdr:colOff>
      <xdr:row>0</xdr:row>
      <xdr:rowOff>27214</xdr:rowOff>
    </xdr:from>
    <xdr:to>
      <xdr:col>5</xdr:col>
      <xdr:colOff>503910</xdr:colOff>
      <xdr:row>34</xdr:row>
      <xdr:rowOff>338941</xdr:rowOff>
    </xdr:to>
    <xdr:grpSp>
      <xdr:nvGrpSpPr>
        <xdr:cNvPr id="73" name="Group 72">
          <a:extLst>
            <a:ext uri="{FF2B5EF4-FFF2-40B4-BE49-F238E27FC236}">
              <a16:creationId xmlns:a16="http://schemas.microsoft.com/office/drawing/2014/main" id="{355819A1-9501-47D4-9B8E-7A53D8321421}"/>
            </a:ext>
          </a:extLst>
        </xdr:cNvPr>
        <xdr:cNvGrpSpPr>
          <a:grpSpLocks noChangeAspect="1"/>
        </xdr:cNvGrpSpPr>
      </xdr:nvGrpSpPr>
      <xdr:grpSpPr>
        <a:xfrm>
          <a:off x="27214" y="27214"/>
          <a:ext cx="3524696" cy="13265727"/>
          <a:chOff x="51954" y="51955"/>
          <a:chExt cx="3636819" cy="13265727"/>
        </a:xfrm>
      </xdr:grpSpPr>
      <xdr:sp macro="" textlink="">
        <xdr:nvSpPr>
          <xdr:cNvPr id="74" name="Rectangle: Rounded Corners 73">
            <a:extLst>
              <a:ext uri="{FF2B5EF4-FFF2-40B4-BE49-F238E27FC236}">
                <a16:creationId xmlns:a16="http://schemas.microsoft.com/office/drawing/2014/main" id="{24733F16-8BF0-ADEA-EC71-68797BEB5111}"/>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75" name="Group 74">
            <a:hlinkClick xmlns:r="http://schemas.openxmlformats.org/officeDocument/2006/relationships" r:id="rId3"/>
            <a:extLst>
              <a:ext uri="{FF2B5EF4-FFF2-40B4-BE49-F238E27FC236}">
                <a16:creationId xmlns:a16="http://schemas.microsoft.com/office/drawing/2014/main" id="{CF533CB5-BD8F-D63A-5ABF-6647E600B00A}"/>
              </a:ext>
            </a:extLst>
          </xdr:cNvPr>
          <xdr:cNvGrpSpPr/>
        </xdr:nvGrpSpPr>
        <xdr:grpSpPr>
          <a:xfrm>
            <a:off x="274692" y="253113"/>
            <a:ext cx="3175624" cy="902746"/>
            <a:chOff x="231396" y="131885"/>
            <a:chExt cx="3175624" cy="902746"/>
          </a:xfrm>
        </xdr:grpSpPr>
        <xdr:sp macro="" textlink="">
          <xdr:nvSpPr>
            <xdr:cNvPr id="112" name="Rectangle: Rounded Corners 111">
              <a:extLst>
                <a:ext uri="{FF2B5EF4-FFF2-40B4-BE49-F238E27FC236}">
                  <a16:creationId xmlns:a16="http://schemas.microsoft.com/office/drawing/2014/main" id="{B7D43887-28C2-0D62-D637-12CDC5C6FE5B}"/>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113" name="Graphic 112" descr="Home with solid fill">
              <a:hlinkClick xmlns:r="http://schemas.openxmlformats.org/officeDocument/2006/relationships" r:id="rId3"/>
              <a:extLst>
                <a:ext uri="{FF2B5EF4-FFF2-40B4-BE49-F238E27FC236}">
                  <a16:creationId xmlns:a16="http://schemas.microsoft.com/office/drawing/2014/main" id="{8C7AF4D1-18B6-A73B-3D8A-0471F635D5D6}"/>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465954" y="196627"/>
              <a:ext cx="775580" cy="775580"/>
            </a:xfrm>
            <a:prstGeom prst="rect">
              <a:avLst/>
            </a:prstGeom>
          </xdr:spPr>
        </xdr:pic>
      </xdr:grpSp>
      <xdr:grpSp>
        <xdr:nvGrpSpPr>
          <xdr:cNvPr id="76" name="Group 75">
            <a:extLst>
              <a:ext uri="{FF2B5EF4-FFF2-40B4-BE49-F238E27FC236}">
                <a16:creationId xmlns:a16="http://schemas.microsoft.com/office/drawing/2014/main" id="{B331A8CE-9CA2-8700-C42C-7BA33A19DF76}"/>
              </a:ext>
            </a:extLst>
          </xdr:cNvPr>
          <xdr:cNvGrpSpPr/>
        </xdr:nvGrpSpPr>
        <xdr:grpSpPr>
          <a:xfrm>
            <a:off x="274692" y="1258682"/>
            <a:ext cx="3175624" cy="902746"/>
            <a:chOff x="231396" y="1043648"/>
            <a:chExt cx="3175624" cy="902746"/>
          </a:xfrm>
        </xdr:grpSpPr>
        <xdr:sp macro="" textlink="">
          <xdr:nvSpPr>
            <xdr:cNvPr id="110" name="Rectangle: Rounded Corners 109">
              <a:hlinkClick xmlns:r="http://schemas.openxmlformats.org/officeDocument/2006/relationships" r:id="rId6"/>
              <a:extLst>
                <a:ext uri="{FF2B5EF4-FFF2-40B4-BE49-F238E27FC236}">
                  <a16:creationId xmlns:a16="http://schemas.microsoft.com/office/drawing/2014/main" id="{EBEB10CB-D580-586D-ACE3-D17D18C41183}"/>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111" name="Graphic 110" descr="Address Book with solid fill">
              <a:hlinkClick xmlns:r="http://schemas.openxmlformats.org/officeDocument/2006/relationships" r:id="rId6"/>
              <a:extLst>
                <a:ext uri="{FF2B5EF4-FFF2-40B4-BE49-F238E27FC236}">
                  <a16:creationId xmlns:a16="http://schemas.microsoft.com/office/drawing/2014/main" id="{56D51007-A576-25F4-230F-7F32DD08FB9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465954" y="1100991"/>
              <a:ext cx="765589" cy="775580"/>
            </a:xfrm>
            <a:prstGeom prst="rect">
              <a:avLst/>
            </a:prstGeom>
          </xdr:spPr>
        </xdr:pic>
      </xdr:grpSp>
      <xdr:grpSp>
        <xdr:nvGrpSpPr>
          <xdr:cNvPr id="77" name="Group 76">
            <a:extLst>
              <a:ext uri="{FF2B5EF4-FFF2-40B4-BE49-F238E27FC236}">
                <a16:creationId xmlns:a16="http://schemas.microsoft.com/office/drawing/2014/main" id="{1FBF5FCC-64CE-54AC-4BF4-D1AA56CA2324}"/>
              </a:ext>
            </a:extLst>
          </xdr:cNvPr>
          <xdr:cNvGrpSpPr/>
        </xdr:nvGrpSpPr>
        <xdr:grpSpPr>
          <a:xfrm>
            <a:off x="274692" y="2264251"/>
            <a:ext cx="3175624" cy="902744"/>
            <a:chOff x="231396" y="1955411"/>
            <a:chExt cx="3175624" cy="902744"/>
          </a:xfrm>
        </xdr:grpSpPr>
        <xdr:sp macro="" textlink="">
          <xdr:nvSpPr>
            <xdr:cNvPr id="108" name="Rectangle: Rounded Corners 107">
              <a:hlinkClick xmlns:r="http://schemas.openxmlformats.org/officeDocument/2006/relationships" r:id="rId9"/>
              <a:extLst>
                <a:ext uri="{FF2B5EF4-FFF2-40B4-BE49-F238E27FC236}">
                  <a16:creationId xmlns:a16="http://schemas.microsoft.com/office/drawing/2014/main" id="{D3777E93-E01E-C39A-A601-41F3EA7EC6E4}"/>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109" name="Graphic 108" descr="Closed book with solid fill">
              <a:hlinkClick xmlns:r="http://schemas.openxmlformats.org/officeDocument/2006/relationships" r:id="rId9"/>
              <a:extLst>
                <a:ext uri="{FF2B5EF4-FFF2-40B4-BE49-F238E27FC236}">
                  <a16:creationId xmlns:a16="http://schemas.microsoft.com/office/drawing/2014/main" id="{75A81DB5-884E-D3EA-A0FA-805304F440C5}"/>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65954" y="2005355"/>
              <a:ext cx="765589" cy="775580"/>
            </a:xfrm>
            <a:prstGeom prst="rect">
              <a:avLst/>
            </a:prstGeom>
          </xdr:spPr>
        </xdr:pic>
      </xdr:grpSp>
      <xdr:grpSp>
        <xdr:nvGrpSpPr>
          <xdr:cNvPr id="78" name="Group 77">
            <a:extLst>
              <a:ext uri="{FF2B5EF4-FFF2-40B4-BE49-F238E27FC236}">
                <a16:creationId xmlns:a16="http://schemas.microsoft.com/office/drawing/2014/main" id="{0E14B14D-058B-9FDB-2FF6-FA661457C381}"/>
              </a:ext>
            </a:extLst>
          </xdr:cNvPr>
          <xdr:cNvGrpSpPr/>
        </xdr:nvGrpSpPr>
        <xdr:grpSpPr>
          <a:xfrm>
            <a:off x="274692" y="11276710"/>
            <a:ext cx="3175624" cy="896469"/>
            <a:chOff x="231396" y="10123616"/>
            <a:chExt cx="3175624" cy="896469"/>
          </a:xfrm>
        </xdr:grpSpPr>
        <xdr:sp macro="" textlink="">
          <xdr:nvSpPr>
            <xdr:cNvPr id="106" name="Rectangle: Rounded Corners 105">
              <a:hlinkClick xmlns:r="http://schemas.openxmlformats.org/officeDocument/2006/relationships" r:id="rId12"/>
              <a:extLst>
                <a:ext uri="{FF2B5EF4-FFF2-40B4-BE49-F238E27FC236}">
                  <a16:creationId xmlns:a16="http://schemas.microsoft.com/office/drawing/2014/main" id="{D29119FF-C997-0491-0E78-39B36BECD9BA}"/>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107" name="Graphic 106" descr="Bar graph with downward trend with solid fill">
              <a:hlinkClick xmlns:r="http://schemas.openxmlformats.org/officeDocument/2006/relationships" r:id="rId12"/>
              <a:extLst>
                <a:ext uri="{FF2B5EF4-FFF2-40B4-BE49-F238E27FC236}">
                  <a16:creationId xmlns:a16="http://schemas.microsoft.com/office/drawing/2014/main" id="{7437AC23-0F46-7580-9E1C-DB4CD3E18E9D}"/>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465954" y="10144631"/>
              <a:ext cx="775580" cy="775580"/>
            </a:xfrm>
            <a:prstGeom prst="rect">
              <a:avLst/>
            </a:prstGeom>
          </xdr:spPr>
        </xdr:pic>
      </xdr:grpSp>
      <xdr:grpSp>
        <xdr:nvGrpSpPr>
          <xdr:cNvPr id="79" name="Group 78">
            <a:extLst>
              <a:ext uri="{FF2B5EF4-FFF2-40B4-BE49-F238E27FC236}">
                <a16:creationId xmlns:a16="http://schemas.microsoft.com/office/drawing/2014/main" id="{A7E14417-D752-372F-71D5-649D1A2477E6}"/>
              </a:ext>
            </a:extLst>
          </xdr:cNvPr>
          <xdr:cNvGrpSpPr/>
        </xdr:nvGrpSpPr>
        <xdr:grpSpPr>
          <a:xfrm>
            <a:off x="274692" y="10277418"/>
            <a:ext cx="3175624" cy="896469"/>
            <a:chOff x="231396" y="9218130"/>
            <a:chExt cx="3175624" cy="896469"/>
          </a:xfrm>
        </xdr:grpSpPr>
        <xdr:sp macro="" textlink="">
          <xdr:nvSpPr>
            <xdr:cNvPr id="104" name="Rectangle: Rounded Corners 103">
              <a:hlinkClick xmlns:r="http://schemas.openxmlformats.org/officeDocument/2006/relationships" r:id="rId15"/>
              <a:extLst>
                <a:ext uri="{FF2B5EF4-FFF2-40B4-BE49-F238E27FC236}">
                  <a16:creationId xmlns:a16="http://schemas.microsoft.com/office/drawing/2014/main" id="{C8ACAFE6-96BE-E39F-946B-CE7CD177F2F6}"/>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105" name="Graphic 104" descr="Bar graph with upward trend with solid fill">
              <a:hlinkClick xmlns:r="http://schemas.openxmlformats.org/officeDocument/2006/relationships" r:id="rId15"/>
              <a:extLst>
                <a:ext uri="{FF2B5EF4-FFF2-40B4-BE49-F238E27FC236}">
                  <a16:creationId xmlns:a16="http://schemas.microsoft.com/office/drawing/2014/main" id="{24719B29-EDA3-BA27-1F14-EF96FE0A3CB4}"/>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465954" y="9240267"/>
              <a:ext cx="775580" cy="775580"/>
            </a:xfrm>
            <a:prstGeom prst="rect">
              <a:avLst/>
            </a:prstGeom>
          </xdr:spPr>
        </xdr:pic>
      </xdr:grpSp>
      <xdr:grpSp>
        <xdr:nvGrpSpPr>
          <xdr:cNvPr id="80" name="Group 79">
            <a:extLst>
              <a:ext uri="{FF2B5EF4-FFF2-40B4-BE49-F238E27FC236}">
                <a16:creationId xmlns:a16="http://schemas.microsoft.com/office/drawing/2014/main" id="{C31CFF8B-AC6E-A9F1-1DCE-8C9C6B9ED846}"/>
              </a:ext>
            </a:extLst>
          </xdr:cNvPr>
          <xdr:cNvGrpSpPr/>
        </xdr:nvGrpSpPr>
        <xdr:grpSpPr>
          <a:xfrm>
            <a:off x="274692" y="8278833"/>
            <a:ext cx="3175624" cy="896470"/>
            <a:chOff x="231396" y="7407157"/>
            <a:chExt cx="3175624" cy="896470"/>
          </a:xfrm>
        </xdr:grpSpPr>
        <xdr:sp macro="" textlink="">
          <xdr:nvSpPr>
            <xdr:cNvPr id="102" name="Rectangle: Rounded Corners 101">
              <a:hlinkClick xmlns:r="http://schemas.openxmlformats.org/officeDocument/2006/relationships" r:id="rId18"/>
              <a:extLst>
                <a:ext uri="{FF2B5EF4-FFF2-40B4-BE49-F238E27FC236}">
                  <a16:creationId xmlns:a16="http://schemas.microsoft.com/office/drawing/2014/main" id="{84D5D319-687E-40D1-BEC0-4EFA2CA14D04}"/>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103" name="Graphic 102" descr="Books with solid fill">
              <a:hlinkClick xmlns:r="http://schemas.openxmlformats.org/officeDocument/2006/relationships" r:id="rId18"/>
              <a:extLst>
                <a:ext uri="{FF2B5EF4-FFF2-40B4-BE49-F238E27FC236}">
                  <a16:creationId xmlns:a16="http://schemas.microsoft.com/office/drawing/2014/main" id="{1042202C-05AD-9B64-9016-B1B564CE5AF8}"/>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465954" y="7431539"/>
              <a:ext cx="775580" cy="775580"/>
            </a:xfrm>
            <a:prstGeom prst="rect">
              <a:avLst/>
            </a:prstGeom>
          </xdr:spPr>
        </xdr:pic>
      </xdr:grpSp>
      <xdr:grpSp>
        <xdr:nvGrpSpPr>
          <xdr:cNvPr id="81" name="Group 80">
            <a:extLst>
              <a:ext uri="{FF2B5EF4-FFF2-40B4-BE49-F238E27FC236}">
                <a16:creationId xmlns:a16="http://schemas.microsoft.com/office/drawing/2014/main" id="{71388D71-EB86-CA5C-086B-4C01A34E5769}"/>
              </a:ext>
            </a:extLst>
          </xdr:cNvPr>
          <xdr:cNvGrpSpPr/>
        </xdr:nvGrpSpPr>
        <xdr:grpSpPr>
          <a:xfrm>
            <a:off x="274692" y="9278126"/>
            <a:ext cx="3175624" cy="896469"/>
            <a:chOff x="231396" y="8312644"/>
            <a:chExt cx="3175624" cy="896469"/>
          </a:xfrm>
        </xdr:grpSpPr>
        <xdr:sp macro="" textlink="">
          <xdr:nvSpPr>
            <xdr:cNvPr id="100" name="Rectangle: Rounded Corners 99">
              <a:hlinkClick xmlns:r="http://schemas.openxmlformats.org/officeDocument/2006/relationships" r:id="rId21"/>
              <a:extLst>
                <a:ext uri="{FF2B5EF4-FFF2-40B4-BE49-F238E27FC236}">
                  <a16:creationId xmlns:a16="http://schemas.microsoft.com/office/drawing/2014/main" id="{C655F9AF-D512-1E7F-FF09-F0B009E1D3A3}"/>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101" name="Graphic 100" descr="Books on shelf with solid fill">
              <a:hlinkClick xmlns:r="http://schemas.openxmlformats.org/officeDocument/2006/relationships" r:id="rId21"/>
              <a:extLst>
                <a:ext uri="{FF2B5EF4-FFF2-40B4-BE49-F238E27FC236}">
                  <a16:creationId xmlns:a16="http://schemas.microsoft.com/office/drawing/2014/main" id="{94D28915-9256-8187-F4A1-09381DBD3237}"/>
                </a:ext>
              </a:extLst>
            </xdr:cNvPr>
            <xdr:cNvPicPr>
              <a:picLocks noChangeAspect="1"/>
            </xdr:cNvPicPr>
          </xdr:nvPicPr>
          <xdr:blipFill>
            <a:blip xmlns:r="http://schemas.openxmlformats.org/officeDocument/2006/relationships" r:embed="rId22">
              <a:extLst>
                <a:ext uri="{96DAC541-7B7A-43D3-8B79-37D633B846F1}">
                  <asvg:svgBlip xmlns:asvg="http://schemas.microsoft.com/office/drawing/2016/SVG/main" r:embed="rId23"/>
                </a:ext>
              </a:extLst>
            </a:blip>
            <a:stretch>
              <a:fillRect/>
            </a:stretch>
          </xdr:blipFill>
          <xdr:spPr>
            <a:xfrm>
              <a:off x="465954" y="8335903"/>
              <a:ext cx="775580" cy="775580"/>
            </a:xfrm>
            <a:prstGeom prst="rect">
              <a:avLst/>
            </a:prstGeom>
          </xdr:spPr>
        </xdr:pic>
      </xdr:grpSp>
      <xdr:grpSp>
        <xdr:nvGrpSpPr>
          <xdr:cNvPr id="82" name="Group 81">
            <a:extLst>
              <a:ext uri="{FF2B5EF4-FFF2-40B4-BE49-F238E27FC236}">
                <a16:creationId xmlns:a16="http://schemas.microsoft.com/office/drawing/2014/main" id="{C6F8B750-DDFB-29F8-6753-E44CF884EB9E}"/>
              </a:ext>
            </a:extLst>
          </xdr:cNvPr>
          <xdr:cNvGrpSpPr/>
        </xdr:nvGrpSpPr>
        <xdr:grpSpPr>
          <a:xfrm>
            <a:off x="274692" y="12276007"/>
            <a:ext cx="3175624" cy="896469"/>
            <a:chOff x="231396" y="11029098"/>
            <a:chExt cx="3175624" cy="896469"/>
          </a:xfrm>
        </xdr:grpSpPr>
        <xdr:sp macro="" textlink="">
          <xdr:nvSpPr>
            <xdr:cNvPr id="98" name="Rectangle: Rounded Corners 97">
              <a:hlinkClick xmlns:r="http://schemas.openxmlformats.org/officeDocument/2006/relationships" r:id="rId24"/>
              <a:extLst>
                <a:ext uri="{FF2B5EF4-FFF2-40B4-BE49-F238E27FC236}">
                  <a16:creationId xmlns:a16="http://schemas.microsoft.com/office/drawing/2014/main" id="{3561058E-AD1B-1150-A504-179E01D03F24}"/>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99" name="Graphic 98" descr="Users with solid fill">
              <a:hlinkClick xmlns:r="http://schemas.openxmlformats.org/officeDocument/2006/relationships" r:id="rId24"/>
              <a:extLst>
                <a:ext uri="{FF2B5EF4-FFF2-40B4-BE49-F238E27FC236}">
                  <a16:creationId xmlns:a16="http://schemas.microsoft.com/office/drawing/2014/main" id="{C93D6D5A-1BAF-5824-B847-3D5977C91F5D}"/>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465954" y="11049000"/>
              <a:ext cx="775580" cy="775580"/>
            </a:xfrm>
            <a:prstGeom prst="rect">
              <a:avLst/>
            </a:prstGeom>
          </xdr:spPr>
        </xdr:pic>
      </xdr:grpSp>
      <xdr:grpSp>
        <xdr:nvGrpSpPr>
          <xdr:cNvPr id="83" name="Group 82">
            <a:extLst>
              <a:ext uri="{FF2B5EF4-FFF2-40B4-BE49-F238E27FC236}">
                <a16:creationId xmlns:a16="http://schemas.microsoft.com/office/drawing/2014/main" id="{ED00A828-841D-FF29-0186-E0385F814C03}"/>
              </a:ext>
            </a:extLst>
          </xdr:cNvPr>
          <xdr:cNvGrpSpPr/>
        </xdr:nvGrpSpPr>
        <xdr:grpSpPr>
          <a:xfrm>
            <a:off x="274692" y="5280956"/>
            <a:ext cx="3175624" cy="896469"/>
            <a:chOff x="231396" y="4690698"/>
            <a:chExt cx="3175624" cy="896469"/>
          </a:xfrm>
        </xdr:grpSpPr>
        <xdr:sp macro="" textlink="">
          <xdr:nvSpPr>
            <xdr:cNvPr id="96" name="Rectangle: Rounded Corners 95">
              <a:hlinkClick xmlns:r="http://schemas.openxmlformats.org/officeDocument/2006/relationships" r:id="rId27"/>
              <a:extLst>
                <a:ext uri="{FF2B5EF4-FFF2-40B4-BE49-F238E27FC236}">
                  <a16:creationId xmlns:a16="http://schemas.microsoft.com/office/drawing/2014/main" id="{4B46C5FD-C854-E96B-0447-80BCCCD5FC37}"/>
                </a:ext>
              </a:extLst>
            </xdr:cNvPr>
            <xdr:cNvSpPr/>
          </xdr:nvSpPr>
          <xdr:spPr>
            <a:xfrm>
              <a:off x="231396" y="4690698"/>
              <a:ext cx="3175624" cy="896469"/>
            </a:xfrm>
            <a:prstGeom prst="roundRect">
              <a:avLst/>
            </a:prstGeom>
            <a:solidFill>
              <a:schemeClr val="accent3"/>
            </a:solid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r"/>
              <a:r>
                <a:rPr lang="en-US" sz="1400" b="1">
                  <a:solidFill>
                    <a:sysClr val="windowText" lastClr="000000"/>
                  </a:solidFill>
                  <a:latin typeface="Georgia" panose="02040502050405020303" pitchFamily="18" charset="0"/>
                  <a:ea typeface="+mn-ea"/>
                  <a:cs typeface="+mn-cs"/>
                </a:rPr>
                <a:t>Summary </a:t>
              </a:r>
            </a:p>
            <a:p>
              <a:pPr algn="r"/>
              <a:r>
                <a:rPr lang="en-US" sz="1400" b="1">
                  <a:solidFill>
                    <a:sysClr val="windowText" lastClr="000000"/>
                  </a:solidFill>
                  <a:latin typeface="Georgia" panose="02040502050405020303" pitchFamily="18" charset="0"/>
                  <a:ea typeface="+mn-ea"/>
                  <a:cs typeface="+mn-cs"/>
                </a:rPr>
                <a:t>(by System)</a:t>
              </a:r>
            </a:p>
          </xdr:txBody>
        </xdr:sp>
        <xdr:pic>
          <xdr:nvPicPr>
            <xdr:cNvPr id="97" name="Graphic 96" descr="Hierarchy with solid fill">
              <a:extLst>
                <a:ext uri="{FF2B5EF4-FFF2-40B4-BE49-F238E27FC236}">
                  <a16:creationId xmlns:a16="http://schemas.microsoft.com/office/drawing/2014/main" id="{89ED6CEB-3421-DEBE-052E-4BFB743AB6A6}"/>
                </a:ext>
              </a:extLst>
            </xdr:cNvPr>
            <xdr:cNvPicPr>
              <a:picLocks noChangeAspect="1"/>
            </xdr:cNvPicPr>
          </xdr:nvPicPr>
          <xdr:blipFill>
            <a:blip xmlns:r="http://schemas.openxmlformats.org/officeDocument/2006/relationships" r:embed="rId28">
              <a:extLst>
                <a:ext uri="{96DAC541-7B7A-43D3-8B79-37D633B846F1}">
                  <asvg:svgBlip xmlns:asvg="http://schemas.microsoft.com/office/drawing/2016/SVG/main" r:embed="rId29"/>
                </a:ext>
              </a:extLst>
            </a:blip>
            <a:stretch>
              <a:fillRect/>
            </a:stretch>
          </xdr:blipFill>
          <xdr:spPr>
            <a:xfrm>
              <a:off x="465954" y="4718447"/>
              <a:ext cx="763355" cy="775580"/>
            </a:xfrm>
            <a:prstGeom prst="rect">
              <a:avLst/>
            </a:prstGeom>
          </xdr:spPr>
        </xdr:pic>
      </xdr:grpSp>
      <xdr:grpSp>
        <xdr:nvGrpSpPr>
          <xdr:cNvPr id="84" name="Group 83">
            <a:extLst>
              <a:ext uri="{FF2B5EF4-FFF2-40B4-BE49-F238E27FC236}">
                <a16:creationId xmlns:a16="http://schemas.microsoft.com/office/drawing/2014/main" id="{2DDCE139-0EC7-24FC-6178-3445177503CD}"/>
              </a:ext>
            </a:extLst>
          </xdr:cNvPr>
          <xdr:cNvGrpSpPr/>
        </xdr:nvGrpSpPr>
        <xdr:grpSpPr>
          <a:xfrm>
            <a:off x="274692" y="6280248"/>
            <a:ext cx="3175624" cy="896469"/>
            <a:chOff x="231396" y="5596184"/>
            <a:chExt cx="3175624" cy="896469"/>
          </a:xfrm>
        </xdr:grpSpPr>
        <xdr:sp macro="" textlink="">
          <xdr:nvSpPr>
            <xdr:cNvPr id="94" name="Rectangle: Rounded Corners 93">
              <a:hlinkClick xmlns:r="http://schemas.openxmlformats.org/officeDocument/2006/relationships" r:id="rId30"/>
              <a:extLst>
                <a:ext uri="{FF2B5EF4-FFF2-40B4-BE49-F238E27FC236}">
                  <a16:creationId xmlns:a16="http://schemas.microsoft.com/office/drawing/2014/main" id="{4D441808-9628-FC33-D825-677FF12D6224}"/>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95" name="Graphic 94" descr="Postit Notes with solid fill">
              <a:hlinkClick xmlns:r="http://schemas.openxmlformats.org/officeDocument/2006/relationships" r:id="rId30"/>
              <a:extLst>
                <a:ext uri="{FF2B5EF4-FFF2-40B4-BE49-F238E27FC236}">
                  <a16:creationId xmlns:a16="http://schemas.microsoft.com/office/drawing/2014/main" id="{BEB62403-FEB4-298E-C606-B3700EAA9741}"/>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465954" y="5622811"/>
              <a:ext cx="763355" cy="775580"/>
            </a:xfrm>
            <a:prstGeom prst="rect">
              <a:avLst/>
            </a:prstGeom>
          </xdr:spPr>
        </xdr:pic>
      </xdr:grpSp>
      <xdr:grpSp>
        <xdr:nvGrpSpPr>
          <xdr:cNvPr id="85" name="Group 84">
            <a:extLst>
              <a:ext uri="{FF2B5EF4-FFF2-40B4-BE49-F238E27FC236}">
                <a16:creationId xmlns:a16="http://schemas.microsoft.com/office/drawing/2014/main" id="{BD57952B-3B9B-97AD-6F0F-9328BD153619}"/>
              </a:ext>
            </a:extLst>
          </xdr:cNvPr>
          <xdr:cNvGrpSpPr/>
        </xdr:nvGrpSpPr>
        <xdr:grpSpPr>
          <a:xfrm>
            <a:off x="274692" y="7279540"/>
            <a:ext cx="3175624" cy="896470"/>
            <a:chOff x="231396" y="6501670"/>
            <a:chExt cx="3175624" cy="896470"/>
          </a:xfrm>
        </xdr:grpSpPr>
        <xdr:sp macro="" textlink="">
          <xdr:nvSpPr>
            <xdr:cNvPr id="92" name="Rectangle: Rounded Corners 91">
              <a:hlinkClick xmlns:r="http://schemas.openxmlformats.org/officeDocument/2006/relationships" r:id="rId33"/>
              <a:extLst>
                <a:ext uri="{FF2B5EF4-FFF2-40B4-BE49-F238E27FC236}">
                  <a16:creationId xmlns:a16="http://schemas.microsoft.com/office/drawing/2014/main" id="{F792A733-8992-AA27-1DD4-E0965FFABFBD}"/>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93" name="Graphic 92" descr="Signal with solid fill">
              <a:hlinkClick xmlns:r="http://schemas.openxmlformats.org/officeDocument/2006/relationships" r:id="rId33"/>
              <a:extLst>
                <a:ext uri="{FF2B5EF4-FFF2-40B4-BE49-F238E27FC236}">
                  <a16:creationId xmlns:a16="http://schemas.microsoft.com/office/drawing/2014/main" id="{2E376A9F-0DE9-9544-E75B-F6870495DE5A}"/>
                </a:ext>
              </a:extLst>
            </xdr:cNvPr>
            <xdr:cNvPicPr>
              <a:picLocks noChangeAspect="1"/>
            </xdr:cNvPicPr>
          </xdr:nvPicPr>
          <xdr:blipFill>
            <a:blip xmlns:r="http://schemas.openxmlformats.org/officeDocument/2006/relationships" r:embed="rId34">
              <a:extLst>
                <a:ext uri="{96DAC541-7B7A-43D3-8B79-37D633B846F1}">
                  <asvg:svgBlip xmlns:asvg="http://schemas.microsoft.com/office/drawing/2016/SVG/main" r:embed="rId35"/>
                </a:ext>
              </a:extLst>
            </a:blip>
            <a:stretch>
              <a:fillRect/>
            </a:stretch>
          </xdr:blipFill>
          <xdr:spPr>
            <a:xfrm>
              <a:off x="465954" y="6527175"/>
              <a:ext cx="775580" cy="775580"/>
            </a:xfrm>
            <a:prstGeom prst="rect">
              <a:avLst/>
            </a:prstGeom>
          </xdr:spPr>
        </xdr:pic>
      </xdr:grpSp>
      <xdr:grpSp>
        <xdr:nvGrpSpPr>
          <xdr:cNvPr id="86" name="Group 85">
            <a:extLst>
              <a:ext uri="{FF2B5EF4-FFF2-40B4-BE49-F238E27FC236}">
                <a16:creationId xmlns:a16="http://schemas.microsoft.com/office/drawing/2014/main" id="{561A2E31-08A7-06E8-3661-4C627DA4C522}"/>
              </a:ext>
            </a:extLst>
          </xdr:cNvPr>
          <xdr:cNvGrpSpPr/>
        </xdr:nvGrpSpPr>
        <xdr:grpSpPr>
          <a:xfrm>
            <a:off x="274692" y="4275387"/>
            <a:ext cx="3175624" cy="902746"/>
            <a:chOff x="231396" y="3778935"/>
            <a:chExt cx="3175624" cy="902746"/>
          </a:xfrm>
        </xdr:grpSpPr>
        <xdr:sp macro="" textlink="">
          <xdr:nvSpPr>
            <xdr:cNvPr id="90" name="Rectangle: Rounded Corners 89">
              <a:hlinkClick xmlns:r="http://schemas.openxmlformats.org/officeDocument/2006/relationships" r:id="rId36"/>
              <a:extLst>
                <a:ext uri="{FF2B5EF4-FFF2-40B4-BE49-F238E27FC236}">
                  <a16:creationId xmlns:a16="http://schemas.microsoft.com/office/drawing/2014/main" id="{2D30C475-BEF0-D0E0-1B0F-C8A9D04397F0}"/>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91" name="Graphic 90" descr="Document with solid fill">
              <a:hlinkClick xmlns:r="http://schemas.openxmlformats.org/officeDocument/2006/relationships" r:id="rId36"/>
              <a:extLst>
                <a:ext uri="{FF2B5EF4-FFF2-40B4-BE49-F238E27FC236}">
                  <a16:creationId xmlns:a16="http://schemas.microsoft.com/office/drawing/2014/main" id="{65B71C98-B5B3-6F45-521A-1E8E257A0790}"/>
                </a:ext>
              </a:extLst>
            </xdr:cNvPr>
            <xdr:cNvPicPr>
              <a:picLocks noChangeAspect="1"/>
            </xdr:cNvPicPr>
          </xdr:nvPicPr>
          <xdr:blipFill>
            <a:blip xmlns:r="http://schemas.openxmlformats.org/officeDocument/2006/relationships" r:embed="rId37">
              <a:extLst>
                <a:ext uri="{96DAC541-7B7A-43D3-8B79-37D633B846F1}">
                  <asvg:svgBlip xmlns:asvg="http://schemas.microsoft.com/office/drawing/2016/SVG/main" r:embed="rId38"/>
                </a:ext>
              </a:extLst>
            </a:blip>
            <a:stretch>
              <a:fillRect/>
            </a:stretch>
          </xdr:blipFill>
          <xdr:spPr>
            <a:xfrm>
              <a:off x="465954" y="3814083"/>
              <a:ext cx="769468" cy="775580"/>
            </a:xfrm>
            <a:prstGeom prst="rect">
              <a:avLst/>
            </a:prstGeom>
          </xdr:spPr>
        </xdr:pic>
      </xdr:grpSp>
      <xdr:grpSp>
        <xdr:nvGrpSpPr>
          <xdr:cNvPr id="87" name="Group 86">
            <a:extLst>
              <a:ext uri="{FF2B5EF4-FFF2-40B4-BE49-F238E27FC236}">
                <a16:creationId xmlns:a16="http://schemas.microsoft.com/office/drawing/2014/main" id="{192163C4-5D58-58D4-98D6-C38708A614F3}"/>
              </a:ext>
            </a:extLst>
          </xdr:cNvPr>
          <xdr:cNvGrpSpPr/>
        </xdr:nvGrpSpPr>
        <xdr:grpSpPr>
          <a:xfrm>
            <a:off x="274692" y="3269818"/>
            <a:ext cx="3175624" cy="902746"/>
            <a:chOff x="231396" y="2867172"/>
            <a:chExt cx="3175624" cy="902746"/>
          </a:xfrm>
        </xdr:grpSpPr>
        <xdr:sp macro="" textlink="">
          <xdr:nvSpPr>
            <xdr:cNvPr id="88" name="Rectangle: Rounded Corners 87">
              <a:hlinkClick xmlns:r="http://schemas.openxmlformats.org/officeDocument/2006/relationships" r:id="rId39"/>
              <a:extLst>
                <a:ext uri="{FF2B5EF4-FFF2-40B4-BE49-F238E27FC236}">
                  <a16:creationId xmlns:a16="http://schemas.microsoft.com/office/drawing/2014/main" id="{1E67723B-FBBB-9534-2E7B-05434824EB8D}"/>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89" name="Graphic 88" descr="Soundwave with solid fill">
              <a:hlinkClick xmlns:r="http://schemas.openxmlformats.org/officeDocument/2006/relationships" r:id="rId39"/>
              <a:extLst>
                <a:ext uri="{FF2B5EF4-FFF2-40B4-BE49-F238E27FC236}">
                  <a16:creationId xmlns:a16="http://schemas.microsoft.com/office/drawing/2014/main" id="{079F9237-32DE-CE08-7D7A-9544B7A679DC}"/>
                </a:ext>
              </a:extLst>
            </xdr:cNvPr>
            <xdr:cNvPicPr>
              <a:picLocks noChangeAspect="1"/>
            </xdr:cNvPicPr>
          </xdr:nvPicPr>
          <xdr:blipFill>
            <a:blip xmlns:r="http://schemas.openxmlformats.org/officeDocument/2006/relationships" r:embed="rId40">
              <a:extLst>
                <a:ext uri="{96DAC541-7B7A-43D3-8B79-37D633B846F1}">
                  <asvg:svgBlip xmlns:asvg="http://schemas.microsoft.com/office/drawing/2016/SVG/main" r:embed="rId41"/>
                </a:ext>
              </a:extLst>
            </a:blip>
            <a:stretch>
              <a:fillRect/>
            </a:stretch>
          </xdr:blipFill>
          <xdr:spPr>
            <a:xfrm>
              <a:off x="465954" y="2909719"/>
              <a:ext cx="769468" cy="775580"/>
            </a:xfrm>
            <a:prstGeom prst="rect">
              <a:avLst/>
            </a:prstGeom>
          </xdr:spPr>
        </xdr:pic>
      </xdr:grpSp>
    </xdr:grp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72066</xdr:colOff>
      <xdr:row>9</xdr:row>
      <xdr:rowOff>68470</xdr:rowOff>
    </xdr:from>
    <xdr:to>
      <xdr:col>23</xdr:col>
      <xdr:colOff>262566</xdr:colOff>
      <xdr:row>9</xdr:row>
      <xdr:rowOff>257065</xdr:rowOff>
    </xdr:to>
    <xdr:sp macro="" textlink="">
      <xdr:nvSpPr>
        <xdr:cNvPr id="2" name="Rectangle 1">
          <a:extLst>
            <a:ext uri="{FF2B5EF4-FFF2-40B4-BE49-F238E27FC236}">
              <a16:creationId xmlns:a16="http://schemas.microsoft.com/office/drawing/2014/main" id="{4A7980F9-8FC3-489C-8A46-C4A783C7344C}"/>
            </a:ext>
          </a:extLst>
        </xdr:cNvPr>
        <xdr:cNvSpPr/>
      </xdr:nvSpPr>
      <xdr:spPr>
        <a:xfrm>
          <a:off x="12309786" y="3329830"/>
          <a:ext cx="190500" cy="188595"/>
        </a:xfrm>
        <a:prstGeom prst="rect">
          <a:avLst/>
        </a:prstGeom>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68256</xdr:colOff>
      <xdr:row>10</xdr:row>
      <xdr:rowOff>72518</xdr:rowOff>
    </xdr:from>
    <xdr:to>
      <xdr:col>23</xdr:col>
      <xdr:colOff>258756</xdr:colOff>
      <xdr:row>10</xdr:row>
      <xdr:rowOff>261113</xdr:rowOff>
    </xdr:to>
    <xdr:sp macro="" textlink="">
      <xdr:nvSpPr>
        <xdr:cNvPr id="3" name="Rectangle 2">
          <a:extLst>
            <a:ext uri="{FF2B5EF4-FFF2-40B4-BE49-F238E27FC236}">
              <a16:creationId xmlns:a16="http://schemas.microsoft.com/office/drawing/2014/main" id="{BF0CD519-5CF0-4AE9-9D9A-B31BDD9D54C0}"/>
            </a:ext>
          </a:extLst>
        </xdr:cNvPr>
        <xdr:cNvSpPr/>
      </xdr:nvSpPr>
      <xdr:spPr>
        <a:xfrm>
          <a:off x="12305976" y="3676778"/>
          <a:ext cx="190500" cy="188595"/>
        </a:xfrm>
        <a:prstGeom prst="rect">
          <a:avLst/>
        </a:prstGeom>
        <a:solidFill>
          <a:schemeClr val="accent2"/>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72378</xdr:colOff>
      <xdr:row>11</xdr:row>
      <xdr:rowOff>57645</xdr:rowOff>
    </xdr:from>
    <xdr:to>
      <xdr:col>23</xdr:col>
      <xdr:colOff>262878</xdr:colOff>
      <xdr:row>11</xdr:row>
      <xdr:rowOff>244335</xdr:rowOff>
    </xdr:to>
    <xdr:sp macro="" textlink="">
      <xdr:nvSpPr>
        <xdr:cNvPr id="4" name="Rectangle 3">
          <a:extLst>
            <a:ext uri="{FF2B5EF4-FFF2-40B4-BE49-F238E27FC236}">
              <a16:creationId xmlns:a16="http://schemas.microsoft.com/office/drawing/2014/main" id="{9D3F07A7-D8EC-4CD4-82BB-EA5515E54958}"/>
            </a:ext>
          </a:extLst>
        </xdr:cNvPr>
        <xdr:cNvSpPr/>
      </xdr:nvSpPr>
      <xdr:spPr>
        <a:xfrm>
          <a:off x="12310098" y="4004805"/>
          <a:ext cx="190500" cy="186690"/>
        </a:xfrm>
        <a:prstGeom prst="rect">
          <a:avLst/>
        </a:prstGeom>
        <a:solidFill>
          <a:schemeClr val="accent3"/>
        </a:solidFill>
        <a:ln>
          <a:noFill/>
        </a:ln>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61241</xdr:colOff>
      <xdr:row>12</xdr:row>
      <xdr:rowOff>58595</xdr:rowOff>
    </xdr:from>
    <xdr:to>
      <xdr:col>23</xdr:col>
      <xdr:colOff>251741</xdr:colOff>
      <xdr:row>12</xdr:row>
      <xdr:rowOff>254810</xdr:rowOff>
    </xdr:to>
    <xdr:sp macro="" textlink="">
      <xdr:nvSpPr>
        <xdr:cNvPr id="5" name="Rectangle 4">
          <a:extLst>
            <a:ext uri="{FF2B5EF4-FFF2-40B4-BE49-F238E27FC236}">
              <a16:creationId xmlns:a16="http://schemas.microsoft.com/office/drawing/2014/main" id="{F7CBC795-10DA-4B25-B83A-E7EDA79B1109}"/>
            </a:ext>
          </a:extLst>
        </xdr:cNvPr>
        <xdr:cNvSpPr/>
      </xdr:nvSpPr>
      <xdr:spPr>
        <a:xfrm>
          <a:off x="12298961" y="4348655"/>
          <a:ext cx="190500" cy="196215"/>
        </a:xfrm>
        <a:prstGeom prst="rect">
          <a:avLst/>
        </a:prstGeom>
        <a:solidFill>
          <a:schemeClr val="accent4"/>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xdr:from>
      <xdr:col>37</xdr:col>
      <xdr:colOff>0</xdr:colOff>
      <xdr:row>6</xdr:row>
      <xdr:rowOff>119743</xdr:rowOff>
    </xdr:from>
    <xdr:to>
      <xdr:col>46</xdr:col>
      <xdr:colOff>396784</xdr:colOff>
      <xdr:row>31</xdr:row>
      <xdr:rowOff>326573</xdr:rowOff>
    </xdr:to>
    <xdr:graphicFrame macro="">
      <xdr:nvGraphicFramePr>
        <xdr:cNvPr id="16" name="Chart 15">
          <a:extLst>
            <a:ext uri="{FF2B5EF4-FFF2-40B4-BE49-F238E27FC236}">
              <a16:creationId xmlns:a16="http://schemas.microsoft.com/office/drawing/2014/main" id="{B4569A22-EDBB-4493-97E6-409A62B64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185058</xdr:colOff>
      <xdr:row>15</xdr:row>
      <xdr:rowOff>185056</xdr:rowOff>
    </xdr:from>
    <xdr:to>
      <xdr:col>33</xdr:col>
      <xdr:colOff>462099</xdr:colOff>
      <xdr:row>26</xdr:row>
      <xdr:rowOff>43543</xdr:rowOff>
    </xdr:to>
    <xdr:graphicFrame macro="">
      <xdr:nvGraphicFramePr>
        <xdr:cNvPr id="17" name="Chart 16">
          <a:extLst>
            <a:ext uri="{FF2B5EF4-FFF2-40B4-BE49-F238E27FC236}">
              <a16:creationId xmlns:a16="http://schemas.microsoft.com/office/drawing/2014/main" id="{6CF8E667-E64C-483A-B160-4A4380355E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0</xdr:col>
      <xdr:colOff>27214</xdr:colOff>
      <xdr:row>0</xdr:row>
      <xdr:rowOff>27214</xdr:rowOff>
    </xdr:from>
    <xdr:to>
      <xdr:col>5</xdr:col>
      <xdr:colOff>503910</xdr:colOff>
      <xdr:row>34</xdr:row>
      <xdr:rowOff>338941</xdr:rowOff>
    </xdr:to>
    <xdr:grpSp>
      <xdr:nvGrpSpPr>
        <xdr:cNvPr id="73" name="Group 72">
          <a:extLst>
            <a:ext uri="{FF2B5EF4-FFF2-40B4-BE49-F238E27FC236}">
              <a16:creationId xmlns:a16="http://schemas.microsoft.com/office/drawing/2014/main" id="{E3C67B60-CE00-44AD-8AEF-DBFDC3084D47}"/>
            </a:ext>
          </a:extLst>
        </xdr:cNvPr>
        <xdr:cNvGrpSpPr>
          <a:grpSpLocks noChangeAspect="1"/>
        </xdr:cNvGrpSpPr>
      </xdr:nvGrpSpPr>
      <xdr:grpSpPr>
        <a:xfrm>
          <a:off x="27214" y="27214"/>
          <a:ext cx="3524696" cy="13265727"/>
          <a:chOff x="51954" y="51955"/>
          <a:chExt cx="3636819" cy="13265727"/>
        </a:xfrm>
      </xdr:grpSpPr>
      <xdr:sp macro="" textlink="">
        <xdr:nvSpPr>
          <xdr:cNvPr id="74" name="Rectangle: Rounded Corners 73">
            <a:extLst>
              <a:ext uri="{FF2B5EF4-FFF2-40B4-BE49-F238E27FC236}">
                <a16:creationId xmlns:a16="http://schemas.microsoft.com/office/drawing/2014/main" id="{03496A89-C957-27FF-DFC6-E80D787FFC38}"/>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75" name="Group 74">
            <a:hlinkClick xmlns:r="http://schemas.openxmlformats.org/officeDocument/2006/relationships" r:id="rId3"/>
            <a:extLst>
              <a:ext uri="{FF2B5EF4-FFF2-40B4-BE49-F238E27FC236}">
                <a16:creationId xmlns:a16="http://schemas.microsoft.com/office/drawing/2014/main" id="{E3A1E228-22B4-4860-3A94-651FF2ED3451}"/>
              </a:ext>
            </a:extLst>
          </xdr:cNvPr>
          <xdr:cNvGrpSpPr/>
        </xdr:nvGrpSpPr>
        <xdr:grpSpPr>
          <a:xfrm>
            <a:off x="274692" y="253113"/>
            <a:ext cx="3175624" cy="902746"/>
            <a:chOff x="231396" y="131885"/>
            <a:chExt cx="3175624" cy="902746"/>
          </a:xfrm>
        </xdr:grpSpPr>
        <xdr:sp macro="" textlink="">
          <xdr:nvSpPr>
            <xdr:cNvPr id="112" name="Rectangle: Rounded Corners 111">
              <a:extLst>
                <a:ext uri="{FF2B5EF4-FFF2-40B4-BE49-F238E27FC236}">
                  <a16:creationId xmlns:a16="http://schemas.microsoft.com/office/drawing/2014/main" id="{97741881-8426-2E46-B02E-8E590FC6BCFC}"/>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113" name="Graphic 112" descr="Home with solid fill">
              <a:hlinkClick xmlns:r="http://schemas.openxmlformats.org/officeDocument/2006/relationships" r:id="rId3"/>
              <a:extLst>
                <a:ext uri="{FF2B5EF4-FFF2-40B4-BE49-F238E27FC236}">
                  <a16:creationId xmlns:a16="http://schemas.microsoft.com/office/drawing/2014/main" id="{32532E09-106B-7639-3D10-AEDDF6F5E367}"/>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465954" y="196627"/>
              <a:ext cx="775580" cy="775580"/>
            </a:xfrm>
            <a:prstGeom prst="rect">
              <a:avLst/>
            </a:prstGeom>
          </xdr:spPr>
        </xdr:pic>
      </xdr:grpSp>
      <xdr:grpSp>
        <xdr:nvGrpSpPr>
          <xdr:cNvPr id="76" name="Group 75">
            <a:extLst>
              <a:ext uri="{FF2B5EF4-FFF2-40B4-BE49-F238E27FC236}">
                <a16:creationId xmlns:a16="http://schemas.microsoft.com/office/drawing/2014/main" id="{5F820A6D-9B3C-D498-BD45-5068FD1C79CE}"/>
              </a:ext>
            </a:extLst>
          </xdr:cNvPr>
          <xdr:cNvGrpSpPr/>
        </xdr:nvGrpSpPr>
        <xdr:grpSpPr>
          <a:xfrm>
            <a:off x="274692" y="1258682"/>
            <a:ext cx="3175624" cy="902746"/>
            <a:chOff x="231396" y="1043648"/>
            <a:chExt cx="3175624" cy="902746"/>
          </a:xfrm>
        </xdr:grpSpPr>
        <xdr:sp macro="" textlink="">
          <xdr:nvSpPr>
            <xdr:cNvPr id="110" name="Rectangle: Rounded Corners 109">
              <a:hlinkClick xmlns:r="http://schemas.openxmlformats.org/officeDocument/2006/relationships" r:id="rId6"/>
              <a:extLst>
                <a:ext uri="{FF2B5EF4-FFF2-40B4-BE49-F238E27FC236}">
                  <a16:creationId xmlns:a16="http://schemas.microsoft.com/office/drawing/2014/main" id="{99C63F19-3D79-5ED9-5AB2-B969AC3D5978}"/>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111" name="Graphic 110" descr="Address Book with solid fill">
              <a:hlinkClick xmlns:r="http://schemas.openxmlformats.org/officeDocument/2006/relationships" r:id="rId6"/>
              <a:extLst>
                <a:ext uri="{FF2B5EF4-FFF2-40B4-BE49-F238E27FC236}">
                  <a16:creationId xmlns:a16="http://schemas.microsoft.com/office/drawing/2014/main" id="{29ED3B34-2F6B-6F40-B917-93B31A6202D9}"/>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465954" y="1100991"/>
              <a:ext cx="765589" cy="775580"/>
            </a:xfrm>
            <a:prstGeom prst="rect">
              <a:avLst/>
            </a:prstGeom>
          </xdr:spPr>
        </xdr:pic>
      </xdr:grpSp>
      <xdr:grpSp>
        <xdr:nvGrpSpPr>
          <xdr:cNvPr id="77" name="Group 76">
            <a:extLst>
              <a:ext uri="{FF2B5EF4-FFF2-40B4-BE49-F238E27FC236}">
                <a16:creationId xmlns:a16="http://schemas.microsoft.com/office/drawing/2014/main" id="{506F9872-56A5-C80D-1B49-54DE0CF92097}"/>
              </a:ext>
            </a:extLst>
          </xdr:cNvPr>
          <xdr:cNvGrpSpPr/>
        </xdr:nvGrpSpPr>
        <xdr:grpSpPr>
          <a:xfrm>
            <a:off x="274692" y="2264251"/>
            <a:ext cx="3175624" cy="902744"/>
            <a:chOff x="231396" y="1955411"/>
            <a:chExt cx="3175624" cy="902744"/>
          </a:xfrm>
        </xdr:grpSpPr>
        <xdr:sp macro="" textlink="">
          <xdr:nvSpPr>
            <xdr:cNvPr id="108" name="Rectangle: Rounded Corners 107">
              <a:hlinkClick xmlns:r="http://schemas.openxmlformats.org/officeDocument/2006/relationships" r:id="rId9"/>
              <a:extLst>
                <a:ext uri="{FF2B5EF4-FFF2-40B4-BE49-F238E27FC236}">
                  <a16:creationId xmlns:a16="http://schemas.microsoft.com/office/drawing/2014/main" id="{B02D93A7-B5C1-6626-A0E7-55E88D64E399}"/>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109" name="Graphic 108" descr="Closed book with solid fill">
              <a:hlinkClick xmlns:r="http://schemas.openxmlformats.org/officeDocument/2006/relationships" r:id="rId9"/>
              <a:extLst>
                <a:ext uri="{FF2B5EF4-FFF2-40B4-BE49-F238E27FC236}">
                  <a16:creationId xmlns:a16="http://schemas.microsoft.com/office/drawing/2014/main" id="{10BFF7E1-E3D0-2726-8547-75A45372A269}"/>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465954" y="2005355"/>
              <a:ext cx="765589" cy="775580"/>
            </a:xfrm>
            <a:prstGeom prst="rect">
              <a:avLst/>
            </a:prstGeom>
          </xdr:spPr>
        </xdr:pic>
      </xdr:grpSp>
      <xdr:grpSp>
        <xdr:nvGrpSpPr>
          <xdr:cNvPr id="78" name="Group 77">
            <a:extLst>
              <a:ext uri="{FF2B5EF4-FFF2-40B4-BE49-F238E27FC236}">
                <a16:creationId xmlns:a16="http://schemas.microsoft.com/office/drawing/2014/main" id="{BE313759-3685-77CB-AEC1-10DD5C36CFE4}"/>
              </a:ext>
            </a:extLst>
          </xdr:cNvPr>
          <xdr:cNvGrpSpPr/>
        </xdr:nvGrpSpPr>
        <xdr:grpSpPr>
          <a:xfrm>
            <a:off x="274692" y="11276710"/>
            <a:ext cx="3175624" cy="896469"/>
            <a:chOff x="231396" y="10123616"/>
            <a:chExt cx="3175624" cy="896469"/>
          </a:xfrm>
        </xdr:grpSpPr>
        <xdr:sp macro="" textlink="">
          <xdr:nvSpPr>
            <xdr:cNvPr id="106" name="Rectangle: Rounded Corners 105">
              <a:hlinkClick xmlns:r="http://schemas.openxmlformats.org/officeDocument/2006/relationships" r:id="rId12"/>
              <a:extLst>
                <a:ext uri="{FF2B5EF4-FFF2-40B4-BE49-F238E27FC236}">
                  <a16:creationId xmlns:a16="http://schemas.microsoft.com/office/drawing/2014/main" id="{F209215B-7559-6F85-D707-C714AAA0660C}"/>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107" name="Graphic 106" descr="Bar graph with downward trend with solid fill">
              <a:hlinkClick xmlns:r="http://schemas.openxmlformats.org/officeDocument/2006/relationships" r:id="rId12"/>
              <a:extLst>
                <a:ext uri="{FF2B5EF4-FFF2-40B4-BE49-F238E27FC236}">
                  <a16:creationId xmlns:a16="http://schemas.microsoft.com/office/drawing/2014/main" id="{B351E52A-0A79-A9FA-EEE8-56089BDB02D7}"/>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465954" y="10144631"/>
              <a:ext cx="775580" cy="775580"/>
            </a:xfrm>
            <a:prstGeom prst="rect">
              <a:avLst/>
            </a:prstGeom>
          </xdr:spPr>
        </xdr:pic>
      </xdr:grpSp>
      <xdr:grpSp>
        <xdr:nvGrpSpPr>
          <xdr:cNvPr id="79" name="Group 78">
            <a:extLst>
              <a:ext uri="{FF2B5EF4-FFF2-40B4-BE49-F238E27FC236}">
                <a16:creationId xmlns:a16="http://schemas.microsoft.com/office/drawing/2014/main" id="{7405975A-8A40-0C58-4777-C0D0542D673A}"/>
              </a:ext>
            </a:extLst>
          </xdr:cNvPr>
          <xdr:cNvGrpSpPr/>
        </xdr:nvGrpSpPr>
        <xdr:grpSpPr>
          <a:xfrm>
            <a:off x="274692" y="10277418"/>
            <a:ext cx="3175624" cy="896469"/>
            <a:chOff x="231396" y="9218130"/>
            <a:chExt cx="3175624" cy="896469"/>
          </a:xfrm>
        </xdr:grpSpPr>
        <xdr:sp macro="" textlink="">
          <xdr:nvSpPr>
            <xdr:cNvPr id="104" name="Rectangle: Rounded Corners 103">
              <a:hlinkClick xmlns:r="http://schemas.openxmlformats.org/officeDocument/2006/relationships" r:id="rId15"/>
              <a:extLst>
                <a:ext uri="{FF2B5EF4-FFF2-40B4-BE49-F238E27FC236}">
                  <a16:creationId xmlns:a16="http://schemas.microsoft.com/office/drawing/2014/main" id="{C7C0C071-055A-3865-41D4-73BD0E0D2486}"/>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105" name="Graphic 104" descr="Bar graph with upward trend with solid fill">
              <a:hlinkClick xmlns:r="http://schemas.openxmlformats.org/officeDocument/2006/relationships" r:id="rId15"/>
              <a:extLst>
                <a:ext uri="{FF2B5EF4-FFF2-40B4-BE49-F238E27FC236}">
                  <a16:creationId xmlns:a16="http://schemas.microsoft.com/office/drawing/2014/main" id="{24A937BC-AFB1-B654-C0CF-5E712B5581BF}"/>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465954" y="9240267"/>
              <a:ext cx="775580" cy="775580"/>
            </a:xfrm>
            <a:prstGeom prst="rect">
              <a:avLst/>
            </a:prstGeom>
          </xdr:spPr>
        </xdr:pic>
      </xdr:grpSp>
      <xdr:grpSp>
        <xdr:nvGrpSpPr>
          <xdr:cNvPr id="80" name="Group 79">
            <a:extLst>
              <a:ext uri="{FF2B5EF4-FFF2-40B4-BE49-F238E27FC236}">
                <a16:creationId xmlns:a16="http://schemas.microsoft.com/office/drawing/2014/main" id="{AB9344FA-C87A-343A-E0FE-BA111B34C33B}"/>
              </a:ext>
            </a:extLst>
          </xdr:cNvPr>
          <xdr:cNvGrpSpPr/>
        </xdr:nvGrpSpPr>
        <xdr:grpSpPr>
          <a:xfrm>
            <a:off x="274692" y="8278833"/>
            <a:ext cx="3175624" cy="896470"/>
            <a:chOff x="231396" y="7407157"/>
            <a:chExt cx="3175624" cy="896470"/>
          </a:xfrm>
        </xdr:grpSpPr>
        <xdr:sp macro="" textlink="">
          <xdr:nvSpPr>
            <xdr:cNvPr id="102" name="Rectangle: Rounded Corners 101">
              <a:hlinkClick xmlns:r="http://schemas.openxmlformats.org/officeDocument/2006/relationships" r:id="rId18"/>
              <a:extLst>
                <a:ext uri="{FF2B5EF4-FFF2-40B4-BE49-F238E27FC236}">
                  <a16:creationId xmlns:a16="http://schemas.microsoft.com/office/drawing/2014/main" id="{91D4D10F-5EF7-CA87-A481-3BC2B4E569BA}"/>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103" name="Graphic 102" descr="Books with solid fill">
              <a:hlinkClick xmlns:r="http://schemas.openxmlformats.org/officeDocument/2006/relationships" r:id="rId18"/>
              <a:extLst>
                <a:ext uri="{FF2B5EF4-FFF2-40B4-BE49-F238E27FC236}">
                  <a16:creationId xmlns:a16="http://schemas.microsoft.com/office/drawing/2014/main" id="{02B90821-03A2-F4C6-D766-52F09A2293BF}"/>
                </a:ext>
              </a:extLst>
            </xdr:cNvPr>
            <xdr:cNvPicPr>
              <a:picLocks noChangeAspect="1"/>
            </xdr:cNvPicPr>
          </xdr:nvPicPr>
          <xdr:blipFill>
            <a:blip xmlns:r="http://schemas.openxmlformats.org/officeDocument/2006/relationships" r:embed="rId19">
              <a:extLst>
                <a:ext uri="{96DAC541-7B7A-43D3-8B79-37D633B846F1}">
                  <asvg:svgBlip xmlns:asvg="http://schemas.microsoft.com/office/drawing/2016/SVG/main" r:embed="rId20"/>
                </a:ext>
              </a:extLst>
            </a:blip>
            <a:stretch>
              <a:fillRect/>
            </a:stretch>
          </xdr:blipFill>
          <xdr:spPr>
            <a:xfrm>
              <a:off x="465954" y="7431539"/>
              <a:ext cx="775580" cy="775580"/>
            </a:xfrm>
            <a:prstGeom prst="rect">
              <a:avLst/>
            </a:prstGeom>
          </xdr:spPr>
        </xdr:pic>
      </xdr:grpSp>
      <xdr:grpSp>
        <xdr:nvGrpSpPr>
          <xdr:cNvPr id="81" name="Group 80">
            <a:extLst>
              <a:ext uri="{FF2B5EF4-FFF2-40B4-BE49-F238E27FC236}">
                <a16:creationId xmlns:a16="http://schemas.microsoft.com/office/drawing/2014/main" id="{C7A4DF1D-1EF3-0E57-21B2-E0421D58C6F1}"/>
              </a:ext>
            </a:extLst>
          </xdr:cNvPr>
          <xdr:cNvGrpSpPr/>
        </xdr:nvGrpSpPr>
        <xdr:grpSpPr>
          <a:xfrm>
            <a:off x="274692" y="9278126"/>
            <a:ext cx="3175624" cy="896469"/>
            <a:chOff x="231396" y="8312644"/>
            <a:chExt cx="3175624" cy="896469"/>
          </a:xfrm>
        </xdr:grpSpPr>
        <xdr:sp macro="" textlink="">
          <xdr:nvSpPr>
            <xdr:cNvPr id="100" name="Rectangle: Rounded Corners 99">
              <a:hlinkClick xmlns:r="http://schemas.openxmlformats.org/officeDocument/2006/relationships" r:id="rId21"/>
              <a:extLst>
                <a:ext uri="{FF2B5EF4-FFF2-40B4-BE49-F238E27FC236}">
                  <a16:creationId xmlns:a16="http://schemas.microsoft.com/office/drawing/2014/main" id="{27C9E4AB-34E0-5E0A-4AFD-B93C6A23757E}"/>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101" name="Graphic 100" descr="Books on shelf with solid fill">
              <a:hlinkClick xmlns:r="http://schemas.openxmlformats.org/officeDocument/2006/relationships" r:id="rId21"/>
              <a:extLst>
                <a:ext uri="{FF2B5EF4-FFF2-40B4-BE49-F238E27FC236}">
                  <a16:creationId xmlns:a16="http://schemas.microsoft.com/office/drawing/2014/main" id="{726CBFF0-39B9-ED12-14CE-FC67D55DE9AE}"/>
                </a:ext>
              </a:extLst>
            </xdr:cNvPr>
            <xdr:cNvPicPr>
              <a:picLocks noChangeAspect="1"/>
            </xdr:cNvPicPr>
          </xdr:nvPicPr>
          <xdr:blipFill>
            <a:blip xmlns:r="http://schemas.openxmlformats.org/officeDocument/2006/relationships" r:embed="rId22">
              <a:extLst>
                <a:ext uri="{96DAC541-7B7A-43D3-8B79-37D633B846F1}">
                  <asvg:svgBlip xmlns:asvg="http://schemas.microsoft.com/office/drawing/2016/SVG/main" r:embed="rId23"/>
                </a:ext>
              </a:extLst>
            </a:blip>
            <a:stretch>
              <a:fillRect/>
            </a:stretch>
          </xdr:blipFill>
          <xdr:spPr>
            <a:xfrm>
              <a:off x="465954" y="8335903"/>
              <a:ext cx="775580" cy="775580"/>
            </a:xfrm>
            <a:prstGeom prst="rect">
              <a:avLst/>
            </a:prstGeom>
          </xdr:spPr>
        </xdr:pic>
      </xdr:grpSp>
      <xdr:grpSp>
        <xdr:nvGrpSpPr>
          <xdr:cNvPr id="82" name="Group 81">
            <a:extLst>
              <a:ext uri="{FF2B5EF4-FFF2-40B4-BE49-F238E27FC236}">
                <a16:creationId xmlns:a16="http://schemas.microsoft.com/office/drawing/2014/main" id="{34D2DF2E-BF16-CC76-C435-AA43EDD9981A}"/>
              </a:ext>
            </a:extLst>
          </xdr:cNvPr>
          <xdr:cNvGrpSpPr/>
        </xdr:nvGrpSpPr>
        <xdr:grpSpPr>
          <a:xfrm>
            <a:off x="274692" y="12276007"/>
            <a:ext cx="3175624" cy="896469"/>
            <a:chOff x="231396" y="11029098"/>
            <a:chExt cx="3175624" cy="896469"/>
          </a:xfrm>
        </xdr:grpSpPr>
        <xdr:sp macro="" textlink="">
          <xdr:nvSpPr>
            <xdr:cNvPr id="98" name="Rectangle: Rounded Corners 97">
              <a:hlinkClick xmlns:r="http://schemas.openxmlformats.org/officeDocument/2006/relationships" r:id="rId24"/>
              <a:extLst>
                <a:ext uri="{FF2B5EF4-FFF2-40B4-BE49-F238E27FC236}">
                  <a16:creationId xmlns:a16="http://schemas.microsoft.com/office/drawing/2014/main" id="{5F4DB997-6BE2-307F-5677-2160DCE3B5EB}"/>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99" name="Graphic 98" descr="Users with solid fill">
              <a:hlinkClick xmlns:r="http://schemas.openxmlformats.org/officeDocument/2006/relationships" r:id="rId24"/>
              <a:extLst>
                <a:ext uri="{FF2B5EF4-FFF2-40B4-BE49-F238E27FC236}">
                  <a16:creationId xmlns:a16="http://schemas.microsoft.com/office/drawing/2014/main" id="{D6387EDD-CE14-E956-6D9B-7563123F8765}"/>
                </a:ext>
              </a:extLst>
            </xdr:cNvPr>
            <xdr:cNvPicPr>
              <a:picLocks noChangeAspect="1"/>
            </xdr:cNvPicPr>
          </xdr:nvPicPr>
          <xdr:blipFill>
            <a:blip xmlns:r="http://schemas.openxmlformats.org/officeDocument/2006/relationships" r:embed="rId25">
              <a:extLst>
                <a:ext uri="{96DAC541-7B7A-43D3-8B79-37D633B846F1}">
                  <asvg:svgBlip xmlns:asvg="http://schemas.microsoft.com/office/drawing/2016/SVG/main" r:embed="rId26"/>
                </a:ext>
              </a:extLst>
            </a:blip>
            <a:stretch>
              <a:fillRect/>
            </a:stretch>
          </xdr:blipFill>
          <xdr:spPr>
            <a:xfrm>
              <a:off x="465954" y="11049000"/>
              <a:ext cx="775580" cy="775580"/>
            </a:xfrm>
            <a:prstGeom prst="rect">
              <a:avLst/>
            </a:prstGeom>
          </xdr:spPr>
        </xdr:pic>
      </xdr:grpSp>
      <xdr:grpSp>
        <xdr:nvGrpSpPr>
          <xdr:cNvPr id="83" name="Group 82">
            <a:extLst>
              <a:ext uri="{FF2B5EF4-FFF2-40B4-BE49-F238E27FC236}">
                <a16:creationId xmlns:a16="http://schemas.microsoft.com/office/drawing/2014/main" id="{7783D5B5-B7CD-B4ED-C21F-BF37CFF8411A}"/>
              </a:ext>
            </a:extLst>
          </xdr:cNvPr>
          <xdr:cNvGrpSpPr/>
        </xdr:nvGrpSpPr>
        <xdr:grpSpPr>
          <a:xfrm>
            <a:off x="274692" y="5280956"/>
            <a:ext cx="3175624" cy="896469"/>
            <a:chOff x="231396" y="4690698"/>
            <a:chExt cx="3175624" cy="896469"/>
          </a:xfrm>
        </xdr:grpSpPr>
        <xdr:sp macro="" textlink="">
          <xdr:nvSpPr>
            <xdr:cNvPr id="96" name="Rectangle: Rounded Corners 95">
              <a:hlinkClick xmlns:r="http://schemas.openxmlformats.org/officeDocument/2006/relationships" r:id="rId27"/>
              <a:extLst>
                <a:ext uri="{FF2B5EF4-FFF2-40B4-BE49-F238E27FC236}">
                  <a16:creationId xmlns:a16="http://schemas.microsoft.com/office/drawing/2014/main" id="{BA96F624-3947-C782-C8C4-E037D190AD3C}"/>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97" name="Graphic 96" descr="Hierarchy with solid fill">
              <a:extLst>
                <a:ext uri="{FF2B5EF4-FFF2-40B4-BE49-F238E27FC236}">
                  <a16:creationId xmlns:a16="http://schemas.microsoft.com/office/drawing/2014/main" id="{F4963140-0EE7-62D6-1A67-A1031E715E0D}"/>
                </a:ext>
              </a:extLst>
            </xdr:cNvPr>
            <xdr:cNvPicPr>
              <a:picLocks noChangeAspect="1"/>
            </xdr:cNvPicPr>
          </xdr:nvPicPr>
          <xdr:blipFill>
            <a:blip xmlns:r="http://schemas.openxmlformats.org/officeDocument/2006/relationships" r:embed="rId28">
              <a:extLst>
                <a:ext uri="{96DAC541-7B7A-43D3-8B79-37D633B846F1}">
                  <asvg:svgBlip xmlns:asvg="http://schemas.microsoft.com/office/drawing/2016/SVG/main" r:embed="rId29"/>
                </a:ext>
              </a:extLst>
            </a:blip>
            <a:stretch>
              <a:fillRect/>
            </a:stretch>
          </xdr:blipFill>
          <xdr:spPr>
            <a:xfrm>
              <a:off x="465954" y="4718447"/>
              <a:ext cx="763355" cy="775580"/>
            </a:xfrm>
            <a:prstGeom prst="rect">
              <a:avLst/>
            </a:prstGeom>
          </xdr:spPr>
        </xdr:pic>
      </xdr:grpSp>
      <xdr:grpSp>
        <xdr:nvGrpSpPr>
          <xdr:cNvPr id="84" name="Group 83">
            <a:extLst>
              <a:ext uri="{FF2B5EF4-FFF2-40B4-BE49-F238E27FC236}">
                <a16:creationId xmlns:a16="http://schemas.microsoft.com/office/drawing/2014/main" id="{E796562F-F511-F446-325A-FB41C3C81110}"/>
              </a:ext>
            </a:extLst>
          </xdr:cNvPr>
          <xdr:cNvGrpSpPr/>
        </xdr:nvGrpSpPr>
        <xdr:grpSpPr>
          <a:xfrm>
            <a:off x="274692" y="6280248"/>
            <a:ext cx="3175624" cy="896469"/>
            <a:chOff x="231396" y="5596184"/>
            <a:chExt cx="3175624" cy="896469"/>
          </a:xfrm>
        </xdr:grpSpPr>
        <xdr:sp macro="" textlink="">
          <xdr:nvSpPr>
            <xdr:cNvPr id="94" name="Rectangle: Rounded Corners 93">
              <a:hlinkClick xmlns:r="http://schemas.openxmlformats.org/officeDocument/2006/relationships" r:id="rId30"/>
              <a:extLst>
                <a:ext uri="{FF2B5EF4-FFF2-40B4-BE49-F238E27FC236}">
                  <a16:creationId xmlns:a16="http://schemas.microsoft.com/office/drawing/2014/main" id="{58C68F65-2057-ACA8-5508-3686293ACDA4}"/>
                </a:ext>
              </a:extLst>
            </xdr:cNvPr>
            <xdr:cNvSpPr/>
          </xdr:nvSpPr>
          <xdr:spPr>
            <a:xfrm>
              <a:off x="231396" y="5596184"/>
              <a:ext cx="3175624" cy="896469"/>
            </a:xfrm>
            <a:prstGeom prst="roundRect">
              <a:avLst/>
            </a:prstGeom>
            <a:solidFill>
              <a:schemeClr val="accent3"/>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ysClr val="windowText" lastClr="000000"/>
                  </a:solidFill>
                  <a:latin typeface="Georgia" panose="02040502050405020303" pitchFamily="18" charset="0"/>
                  <a:ea typeface="+mn-ea"/>
                  <a:cs typeface="+mn-cs"/>
                </a:rPr>
                <a:t>Summary </a:t>
              </a:r>
            </a:p>
            <a:p>
              <a:pPr algn="r"/>
              <a:r>
                <a:rPr lang="en-US" sz="1400" b="1">
                  <a:solidFill>
                    <a:sysClr val="windowText" lastClr="000000"/>
                  </a:solidFill>
                  <a:latin typeface="Georgia" panose="02040502050405020303" pitchFamily="18" charset="0"/>
                  <a:ea typeface="+mn-ea"/>
                  <a:cs typeface="+mn-cs"/>
                </a:rPr>
                <a:t>(by Institution</a:t>
              </a:r>
              <a:r>
                <a:rPr lang="en-US" sz="1400" b="1" baseline="0">
                  <a:solidFill>
                    <a:sysClr val="windowText" lastClr="000000"/>
                  </a:solidFill>
                  <a:latin typeface="Georgia" panose="02040502050405020303" pitchFamily="18" charset="0"/>
                  <a:ea typeface="+mn-ea"/>
                  <a:cs typeface="+mn-cs"/>
                </a:rPr>
                <a:t> Type</a:t>
              </a:r>
              <a:r>
                <a:rPr lang="en-US" sz="1400" b="1">
                  <a:solidFill>
                    <a:sysClr val="windowText" lastClr="000000"/>
                  </a:solidFill>
                  <a:latin typeface="Georgia" panose="02040502050405020303" pitchFamily="18" charset="0"/>
                  <a:ea typeface="+mn-ea"/>
                  <a:cs typeface="+mn-cs"/>
                </a:rPr>
                <a:t>)</a:t>
              </a:r>
            </a:p>
          </xdr:txBody>
        </xdr:sp>
        <xdr:pic>
          <xdr:nvPicPr>
            <xdr:cNvPr id="95" name="Graphic 94" descr="Postit Notes with solid fill">
              <a:hlinkClick xmlns:r="http://schemas.openxmlformats.org/officeDocument/2006/relationships" r:id="rId30"/>
              <a:extLst>
                <a:ext uri="{FF2B5EF4-FFF2-40B4-BE49-F238E27FC236}">
                  <a16:creationId xmlns:a16="http://schemas.microsoft.com/office/drawing/2014/main" id="{B7D2C14D-5019-976A-E46B-28902345FC03}"/>
                </a:ext>
              </a:extLst>
            </xdr:cNvPr>
            <xdr:cNvPicPr>
              <a:picLocks noChangeAspect="1"/>
            </xdr:cNvPicPr>
          </xdr:nvPicPr>
          <xdr:blipFill>
            <a:blip xmlns:r="http://schemas.openxmlformats.org/officeDocument/2006/relationships" r:embed="rId31">
              <a:extLst>
                <a:ext uri="{96DAC541-7B7A-43D3-8B79-37D633B846F1}">
                  <asvg:svgBlip xmlns:asvg="http://schemas.microsoft.com/office/drawing/2016/SVG/main" r:embed="rId32"/>
                </a:ext>
              </a:extLst>
            </a:blip>
            <a:stretch>
              <a:fillRect/>
            </a:stretch>
          </xdr:blipFill>
          <xdr:spPr>
            <a:xfrm>
              <a:off x="465954" y="5622811"/>
              <a:ext cx="763355" cy="775580"/>
            </a:xfrm>
            <a:prstGeom prst="rect">
              <a:avLst/>
            </a:prstGeom>
          </xdr:spPr>
        </xdr:pic>
      </xdr:grpSp>
      <xdr:grpSp>
        <xdr:nvGrpSpPr>
          <xdr:cNvPr id="85" name="Group 84">
            <a:extLst>
              <a:ext uri="{FF2B5EF4-FFF2-40B4-BE49-F238E27FC236}">
                <a16:creationId xmlns:a16="http://schemas.microsoft.com/office/drawing/2014/main" id="{9FECE8E1-52AE-A25C-6231-D672F9CD91F7}"/>
              </a:ext>
            </a:extLst>
          </xdr:cNvPr>
          <xdr:cNvGrpSpPr/>
        </xdr:nvGrpSpPr>
        <xdr:grpSpPr>
          <a:xfrm>
            <a:off x="274692" y="7279540"/>
            <a:ext cx="3175624" cy="896470"/>
            <a:chOff x="231396" y="6501670"/>
            <a:chExt cx="3175624" cy="896470"/>
          </a:xfrm>
        </xdr:grpSpPr>
        <xdr:sp macro="" textlink="">
          <xdr:nvSpPr>
            <xdr:cNvPr id="92" name="Rectangle: Rounded Corners 91">
              <a:hlinkClick xmlns:r="http://schemas.openxmlformats.org/officeDocument/2006/relationships" r:id="rId33"/>
              <a:extLst>
                <a:ext uri="{FF2B5EF4-FFF2-40B4-BE49-F238E27FC236}">
                  <a16:creationId xmlns:a16="http://schemas.microsoft.com/office/drawing/2014/main" id="{948CA7D7-189F-D60B-92C4-4173B8252F26}"/>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93" name="Graphic 92" descr="Signal with solid fill">
              <a:hlinkClick xmlns:r="http://schemas.openxmlformats.org/officeDocument/2006/relationships" r:id="rId33"/>
              <a:extLst>
                <a:ext uri="{FF2B5EF4-FFF2-40B4-BE49-F238E27FC236}">
                  <a16:creationId xmlns:a16="http://schemas.microsoft.com/office/drawing/2014/main" id="{F37F4F60-A963-340E-D5F3-7871190C085D}"/>
                </a:ext>
              </a:extLst>
            </xdr:cNvPr>
            <xdr:cNvPicPr>
              <a:picLocks noChangeAspect="1"/>
            </xdr:cNvPicPr>
          </xdr:nvPicPr>
          <xdr:blipFill>
            <a:blip xmlns:r="http://schemas.openxmlformats.org/officeDocument/2006/relationships" r:embed="rId34">
              <a:extLst>
                <a:ext uri="{96DAC541-7B7A-43D3-8B79-37D633B846F1}">
                  <asvg:svgBlip xmlns:asvg="http://schemas.microsoft.com/office/drawing/2016/SVG/main" r:embed="rId35"/>
                </a:ext>
              </a:extLst>
            </a:blip>
            <a:stretch>
              <a:fillRect/>
            </a:stretch>
          </xdr:blipFill>
          <xdr:spPr>
            <a:xfrm>
              <a:off x="465954" y="6527175"/>
              <a:ext cx="775580" cy="775580"/>
            </a:xfrm>
            <a:prstGeom prst="rect">
              <a:avLst/>
            </a:prstGeom>
          </xdr:spPr>
        </xdr:pic>
      </xdr:grpSp>
      <xdr:grpSp>
        <xdr:nvGrpSpPr>
          <xdr:cNvPr id="86" name="Group 85">
            <a:extLst>
              <a:ext uri="{FF2B5EF4-FFF2-40B4-BE49-F238E27FC236}">
                <a16:creationId xmlns:a16="http://schemas.microsoft.com/office/drawing/2014/main" id="{70AC677B-20E5-2BCC-8FF2-A5FC28034FC1}"/>
              </a:ext>
            </a:extLst>
          </xdr:cNvPr>
          <xdr:cNvGrpSpPr/>
        </xdr:nvGrpSpPr>
        <xdr:grpSpPr>
          <a:xfrm>
            <a:off x="274692" y="4275387"/>
            <a:ext cx="3175624" cy="902746"/>
            <a:chOff x="231396" y="3778935"/>
            <a:chExt cx="3175624" cy="902746"/>
          </a:xfrm>
        </xdr:grpSpPr>
        <xdr:sp macro="" textlink="">
          <xdr:nvSpPr>
            <xdr:cNvPr id="90" name="Rectangle: Rounded Corners 89">
              <a:hlinkClick xmlns:r="http://schemas.openxmlformats.org/officeDocument/2006/relationships" r:id="rId36"/>
              <a:extLst>
                <a:ext uri="{FF2B5EF4-FFF2-40B4-BE49-F238E27FC236}">
                  <a16:creationId xmlns:a16="http://schemas.microsoft.com/office/drawing/2014/main" id="{15D71C6E-C70A-C66A-94E2-F5EE924D256B}"/>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91" name="Graphic 90" descr="Document with solid fill">
              <a:hlinkClick xmlns:r="http://schemas.openxmlformats.org/officeDocument/2006/relationships" r:id="rId36"/>
              <a:extLst>
                <a:ext uri="{FF2B5EF4-FFF2-40B4-BE49-F238E27FC236}">
                  <a16:creationId xmlns:a16="http://schemas.microsoft.com/office/drawing/2014/main" id="{A1A38918-12F8-BE65-FCD8-395D10D65636}"/>
                </a:ext>
              </a:extLst>
            </xdr:cNvPr>
            <xdr:cNvPicPr>
              <a:picLocks noChangeAspect="1"/>
            </xdr:cNvPicPr>
          </xdr:nvPicPr>
          <xdr:blipFill>
            <a:blip xmlns:r="http://schemas.openxmlformats.org/officeDocument/2006/relationships" r:embed="rId37">
              <a:extLst>
                <a:ext uri="{96DAC541-7B7A-43D3-8B79-37D633B846F1}">
                  <asvg:svgBlip xmlns:asvg="http://schemas.microsoft.com/office/drawing/2016/SVG/main" r:embed="rId38"/>
                </a:ext>
              </a:extLst>
            </a:blip>
            <a:stretch>
              <a:fillRect/>
            </a:stretch>
          </xdr:blipFill>
          <xdr:spPr>
            <a:xfrm>
              <a:off x="465954" y="3814083"/>
              <a:ext cx="769468" cy="775580"/>
            </a:xfrm>
            <a:prstGeom prst="rect">
              <a:avLst/>
            </a:prstGeom>
          </xdr:spPr>
        </xdr:pic>
      </xdr:grpSp>
      <xdr:grpSp>
        <xdr:nvGrpSpPr>
          <xdr:cNvPr id="87" name="Group 86">
            <a:extLst>
              <a:ext uri="{FF2B5EF4-FFF2-40B4-BE49-F238E27FC236}">
                <a16:creationId xmlns:a16="http://schemas.microsoft.com/office/drawing/2014/main" id="{BCFF382D-5A45-CD0C-784D-BB99A207BCD3}"/>
              </a:ext>
            </a:extLst>
          </xdr:cNvPr>
          <xdr:cNvGrpSpPr/>
        </xdr:nvGrpSpPr>
        <xdr:grpSpPr>
          <a:xfrm>
            <a:off x="274692" y="3269818"/>
            <a:ext cx="3175624" cy="902746"/>
            <a:chOff x="231396" y="2867172"/>
            <a:chExt cx="3175624" cy="902746"/>
          </a:xfrm>
        </xdr:grpSpPr>
        <xdr:sp macro="" textlink="">
          <xdr:nvSpPr>
            <xdr:cNvPr id="88" name="Rectangle: Rounded Corners 87">
              <a:hlinkClick xmlns:r="http://schemas.openxmlformats.org/officeDocument/2006/relationships" r:id="rId39"/>
              <a:extLst>
                <a:ext uri="{FF2B5EF4-FFF2-40B4-BE49-F238E27FC236}">
                  <a16:creationId xmlns:a16="http://schemas.microsoft.com/office/drawing/2014/main" id="{20583CD6-4A59-A787-5365-DA72EACA7228}"/>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89" name="Graphic 88" descr="Soundwave with solid fill">
              <a:hlinkClick xmlns:r="http://schemas.openxmlformats.org/officeDocument/2006/relationships" r:id="rId39"/>
              <a:extLst>
                <a:ext uri="{FF2B5EF4-FFF2-40B4-BE49-F238E27FC236}">
                  <a16:creationId xmlns:a16="http://schemas.microsoft.com/office/drawing/2014/main" id="{B56DC2DF-BE1C-DD4F-C8CF-75BF94A548DD}"/>
                </a:ext>
              </a:extLst>
            </xdr:cNvPr>
            <xdr:cNvPicPr>
              <a:picLocks noChangeAspect="1"/>
            </xdr:cNvPicPr>
          </xdr:nvPicPr>
          <xdr:blipFill>
            <a:blip xmlns:r="http://schemas.openxmlformats.org/officeDocument/2006/relationships" r:embed="rId40">
              <a:extLst>
                <a:ext uri="{96DAC541-7B7A-43D3-8B79-37D633B846F1}">
                  <asvg:svgBlip xmlns:asvg="http://schemas.microsoft.com/office/drawing/2016/SVG/main" r:embed="rId41"/>
                </a:ext>
              </a:extLst>
            </a:blip>
            <a:stretch>
              <a:fillRect/>
            </a:stretch>
          </xdr:blipFill>
          <xdr:spPr>
            <a:xfrm>
              <a:off x="465954" y="2909719"/>
              <a:ext cx="769468" cy="775580"/>
            </a:xfrm>
            <a:prstGeom prst="rect">
              <a:avLst/>
            </a:prstGeom>
          </xdr:spPr>
        </xdr:pic>
      </xdr:grp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338941</xdr:rowOff>
    </xdr:to>
    <xdr:grpSp>
      <xdr:nvGrpSpPr>
        <xdr:cNvPr id="2" name="Group 1">
          <a:extLst>
            <a:ext uri="{FF2B5EF4-FFF2-40B4-BE49-F238E27FC236}">
              <a16:creationId xmlns:a16="http://schemas.microsoft.com/office/drawing/2014/main" id="{C42CEE1B-EDF9-4A5F-8FC1-720E763DA49F}"/>
            </a:ext>
          </a:extLst>
        </xdr:cNvPr>
        <xdr:cNvGrpSpPr>
          <a:grpSpLocks noChangeAspect="1"/>
        </xdr:cNvGrpSpPr>
      </xdr:nvGrpSpPr>
      <xdr:grpSpPr>
        <a:xfrm>
          <a:off x="27214" y="27214"/>
          <a:ext cx="3524696" cy="13265727"/>
          <a:chOff x="51954" y="51955"/>
          <a:chExt cx="3636819" cy="13265727"/>
        </a:xfrm>
      </xdr:grpSpPr>
      <xdr:sp macro="" textlink="">
        <xdr:nvSpPr>
          <xdr:cNvPr id="3" name="Rectangle: Rounded Corners 2">
            <a:extLst>
              <a:ext uri="{FF2B5EF4-FFF2-40B4-BE49-F238E27FC236}">
                <a16:creationId xmlns:a16="http://schemas.microsoft.com/office/drawing/2014/main" id="{1A8CE18F-C67A-13E6-292A-4725B0AA8914}"/>
              </a:ext>
            </a:extLst>
          </xdr:cNvPr>
          <xdr:cNvSpPr>
            <a:spLocks noChangeAspect="1"/>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4" name="Group 3">
            <a:hlinkClick xmlns:r="http://schemas.openxmlformats.org/officeDocument/2006/relationships" r:id="rId1"/>
            <a:extLst>
              <a:ext uri="{FF2B5EF4-FFF2-40B4-BE49-F238E27FC236}">
                <a16:creationId xmlns:a16="http://schemas.microsoft.com/office/drawing/2014/main" id="{5CE2D777-7A5A-1096-1381-A885BD17BB98}"/>
              </a:ext>
            </a:extLst>
          </xdr:cNvPr>
          <xdr:cNvGrpSpPr/>
        </xdr:nvGrpSpPr>
        <xdr:grpSpPr>
          <a:xfrm>
            <a:off x="274692" y="253113"/>
            <a:ext cx="3175624" cy="902746"/>
            <a:chOff x="231396" y="131885"/>
            <a:chExt cx="3175624" cy="902746"/>
          </a:xfrm>
        </xdr:grpSpPr>
        <xdr:sp macro="" textlink="">
          <xdr:nvSpPr>
            <xdr:cNvPr id="55" name="Rectangle: Rounded Corners 54">
              <a:extLst>
                <a:ext uri="{FF2B5EF4-FFF2-40B4-BE49-F238E27FC236}">
                  <a16:creationId xmlns:a16="http://schemas.microsoft.com/office/drawing/2014/main" id="{6B2AA42D-7D04-6F38-ADF1-30AD5D810F7E}"/>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56" name="Graphic 55" descr="Home with solid fill">
              <a:hlinkClick xmlns:r="http://schemas.openxmlformats.org/officeDocument/2006/relationships" r:id="rId1"/>
              <a:extLst>
                <a:ext uri="{FF2B5EF4-FFF2-40B4-BE49-F238E27FC236}">
                  <a16:creationId xmlns:a16="http://schemas.microsoft.com/office/drawing/2014/main" id="{B125D528-D573-F85F-0790-0AD93427FC7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5" name="Group 4">
            <a:extLst>
              <a:ext uri="{FF2B5EF4-FFF2-40B4-BE49-F238E27FC236}">
                <a16:creationId xmlns:a16="http://schemas.microsoft.com/office/drawing/2014/main" id="{4170640C-46A8-BC8E-B706-F37ED7572112}"/>
              </a:ext>
            </a:extLst>
          </xdr:cNvPr>
          <xdr:cNvGrpSpPr/>
        </xdr:nvGrpSpPr>
        <xdr:grpSpPr>
          <a:xfrm>
            <a:off x="274692" y="1258682"/>
            <a:ext cx="3175624" cy="902746"/>
            <a:chOff x="231396" y="1043648"/>
            <a:chExt cx="3175624" cy="902746"/>
          </a:xfrm>
        </xdr:grpSpPr>
        <xdr:sp macro="" textlink="">
          <xdr:nvSpPr>
            <xdr:cNvPr id="53" name="Rectangle: Rounded Corners 52">
              <a:hlinkClick xmlns:r="http://schemas.openxmlformats.org/officeDocument/2006/relationships" r:id="rId4"/>
              <a:extLst>
                <a:ext uri="{FF2B5EF4-FFF2-40B4-BE49-F238E27FC236}">
                  <a16:creationId xmlns:a16="http://schemas.microsoft.com/office/drawing/2014/main" id="{5D4A9A41-51F4-901A-460C-B542CD3FCC0F}"/>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54" name="Graphic 53" descr="Address Book with solid fill">
              <a:hlinkClick xmlns:r="http://schemas.openxmlformats.org/officeDocument/2006/relationships" r:id="rId4"/>
              <a:extLst>
                <a:ext uri="{FF2B5EF4-FFF2-40B4-BE49-F238E27FC236}">
                  <a16:creationId xmlns:a16="http://schemas.microsoft.com/office/drawing/2014/main" id="{C059B450-FC6E-8089-4B6C-EDB59E8F6516}"/>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6" name="Group 5">
            <a:extLst>
              <a:ext uri="{FF2B5EF4-FFF2-40B4-BE49-F238E27FC236}">
                <a16:creationId xmlns:a16="http://schemas.microsoft.com/office/drawing/2014/main" id="{7E4E2FF3-401F-70B2-9EE0-1C936DE912E8}"/>
              </a:ext>
            </a:extLst>
          </xdr:cNvPr>
          <xdr:cNvGrpSpPr/>
        </xdr:nvGrpSpPr>
        <xdr:grpSpPr>
          <a:xfrm>
            <a:off x="274692" y="2264251"/>
            <a:ext cx="3175624" cy="902744"/>
            <a:chOff x="231396" y="1955411"/>
            <a:chExt cx="3175624" cy="902744"/>
          </a:xfrm>
        </xdr:grpSpPr>
        <xdr:sp macro="" textlink="">
          <xdr:nvSpPr>
            <xdr:cNvPr id="51" name="Rectangle: Rounded Corners 50">
              <a:hlinkClick xmlns:r="http://schemas.openxmlformats.org/officeDocument/2006/relationships" r:id="rId7"/>
              <a:extLst>
                <a:ext uri="{FF2B5EF4-FFF2-40B4-BE49-F238E27FC236}">
                  <a16:creationId xmlns:a16="http://schemas.microsoft.com/office/drawing/2014/main" id="{8D330F36-62A8-7ABA-C420-FE8678CAAB69}"/>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52" name="Graphic 51" descr="Closed book with solid fill">
              <a:hlinkClick xmlns:r="http://schemas.openxmlformats.org/officeDocument/2006/relationships" r:id="rId7"/>
              <a:extLst>
                <a:ext uri="{FF2B5EF4-FFF2-40B4-BE49-F238E27FC236}">
                  <a16:creationId xmlns:a16="http://schemas.microsoft.com/office/drawing/2014/main" id="{9AE273D4-67A6-2987-A331-6B31814539C3}"/>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7" name="Group 6">
            <a:extLst>
              <a:ext uri="{FF2B5EF4-FFF2-40B4-BE49-F238E27FC236}">
                <a16:creationId xmlns:a16="http://schemas.microsoft.com/office/drawing/2014/main" id="{FDC25400-E606-9D0C-8310-699B251F41DD}"/>
              </a:ext>
            </a:extLst>
          </xdr:cNvPr>
          <xdr:cNvGrpSpPr/>
        </xdr:nvGrpSpPr>
        <xdr:grpSpPr>
          <a:xfrm>
            <a:off x="274692" y="11276710"/>
            <a:ext cx="3175624" cy="896469"/>
            <a:chOff x="231396" y="10123616"/>
            <a:chExt cx="3175624" cy="896469"/>
          </a:xfrm>
        </xdr:grpSpPr>
        <xdr:sp macro="" textlink="">
          <xdr:nvSpPr>
            <xdr:cNvPr id="49" name="Rectangle: Rounded Corners 48">
              <a:hlinkClick xmlns:r="http://schemas.openxmlformats.org/officeDocument/2006/relationships" r:id="rId10"/>
              <a:extLst>
                <a:ext uri="{FF2B5EF4-FFF2-40B4-BE49-F238E27FC236}">
                  <a16:creationId xmlns:a16="http://schemas.microsoft.com/office/drawing/2014/main" id="{1DA0B1BE-6FE4-BCF3-22ED-A8429E9D7C54}"/>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50" name="Graphic 49" descr="Bar graph with downward trend with solid fill">
              <a:hlinkClick xmlns:r="http://schemas.openxmlformats.org/officeDocument/2006/relationships" r:id="rId10"/>
              <a:extLst>
                <a:ext uri="{FF2B5EF4-FFF2-40B4-BE49-F238E27FC236}">
                  <a16:creationId xmlns:a16="http://schemas.microsoft.com/office/drawing/2014/main" id="{9D886184-85F9-2BC6-2EC0-A11E5B14D62F}"/>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8" name="Group 7">
            <a:extLst>
              <a:ext uri="{FF2B5EF4-FFF2-40B4-BE49-F238E27FC236}">
                <a16:creationId xmlns:a16="http://schemas.microsoft.com/office/drawing/2014/main" id="{B4141F7D-50EE-0BDC-BC37-A1B1DDF60DDC}"/>
              </a:ext>
            </a:extLst>
          </xdr:cNvPr>
          <xdr:cNvGrpSpPr/>
        </xdr:nvGrpSpPr>
        <xdr:grpSpPr>
          <a:xfrm>
            <a:off x="274692" y="10277418"/>
            <a:ext cx="3175624" cy="896469"/>
            <a:chOff x="231396" y="9218130"/>
            <a:chExt cx="3175624" cy="896469"/>
          </a:xfrm>
        </xdr:grpSpPr>
        <xdr:sp macro="" textlink="">
          <xdr:nvSpPr>
            <xdr:cNvPr id="47" name="Rectangle: Rounded Corners 46">
              <a:hlinkClick xmlns:r="http://schemas.openxmlformats.org/officeDocument/2006/relationships" r:id="rId13"/>
              <a:extLst>
                <a:ext uri="{FF2B5EF4-FFF2-40B4-BE49-F238E27FC236}">
                  <a16:creationId xmlns:a16="http://schemas.microsoft.com/office/drawing/2014/main" id="{161A30B4-57FB-1A1D-5B08-0BABC1926D10}"/>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48" name="Graphic 47" descr="Bar graph with upward trend with solid fill">
              <a:hlinkClick xmlns:r="http://schemas.openxmlformats.org/officeDocument/2006/relationships" r:id="rId13"/>
              <a:extLst>
                <a:ext uri="{FF2B5EF4-FFF2-40B4-BE49-F238E27FC236}">
                  <a16:creationId xmlns:a16="http://schemas.microsoft.com/office/drawing/2014/main" id="{A64B42E0-8A9F-3679-403A-06E2196086D0}"/>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9" name="Group 8">
            <a:extLst>
              <a:ext uri="{FF2B5EF4-FFF2-40B4-BE49-F238E27FC236}">
                <a16:creationId xmlns:a16="http://schemas.microsoft.com/office/drawing/2014/main" id="{BE0B0EE5-BF50-88B9-C533-16D6497B038A}"/>
              </a:ext>
            </a:extLst>
          </xdr:cNvPr>
          <xdr:cNvGrpSpPr/>
        </xdr:nvGrpSpPr>
        <xdr:grpSpPr>
          <a:xfrm>
            <a:off x="274692" y="8278833"/>
            <a:ext cx="3175624" cy="896470"/>
            <a:chOff x="231396" y="7407157"/>
            <a:chExt cx="3175624" cy="896470"/>
          </a:xfrm>
        </xdr:grpSpPr>
        <xdr:sp macro="" textlink="">
          <xdr:nvSpPr>
            <xdr:cNvPr id="45" name="Rectangle: Rounded Corners 44">
              <a:hlinkClick xmlns:r="http://schemas.openxmlformats.org/officeDocument/2006/relationships" r:id="rId16"/>
              <a:extLst>
                <a:ext uri="{FF2B5EF4-FFF2-40B4-BE49-F238E27FC236}">
                  <a16:creationId xmlns:a16="http://schemas.microsoft.com/office/drawing/2014/main" id="{54032A02-ADE8-E687-0BD4-A638CD15499D}"/>
                </a:ext>
              </a:extLst>
            </xdr:cNvPr>
            <xdr:cNvSpPr/>
          </xdr:nvSpPr>
          <xdr:spPr>
            <a:xfrm>
              <a:off x="231396" y="7407157"/>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Sources (Revenue)</a:t>
              </a:r>
            </a:p>
          </xdr:txBody>
        </xdr:sp>
        <xdr:pic>
          <xdr:nvPicPr>
            <xdr:cNvPr id="46" name="Graphic 45" descr="Books with solid fill">
              <a:hlinkClick xmlns:r="http://schemas.openxmlformats.org/officeDocument/2006/relationships" r:id="rId16"/>
              <a:extLst>
                <a:ext uri="{FF2B5EF4-FFF2-40B4-BE49-F238E27FC236}">
                  <a16:creationId xmlns:a16="http://schemas.microsoft.com/office/drawing/2014/main" id="{F8298B95-ED15-F0A9-F8DD-062EABEC6A18}"/>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10" name="Group 9">
            <a:extLst>
              <a:ext uri="{FF2B5EF4-FFF2-40B4-BE49-F238E27FC236}">
                <a16:creationId xmlns:a16="http://schemas.microsoft.com/office/drawing/2014/main" id="{7F6A4727-55F3-E2E5-DBF4-DDA16B9C5604}"/>
              </a:ext>
            </a:extLst>
          </xdr:cNvPr>
          <xdr:cNvGrpSpPr/>
        </xdr:nvGrpSpPr>
        <xdr:grpSpPr>
          <a:xfrm>
            <a:off x="274692" y="9278126"/>
            <a:ext cx="3175624" cy="896469"/>
            <a:chOff x="231396" y="8312644"/>
            <a:chExt cx="3175624" cy="896469"/>
          </a:xfrm>
        </xdr:grpSpPr>
        <xdr:sp macro="" textlink="">
          <xdr:nvSpPr>
            <xdr:cNvPr id="43" name="Rectangle: Rounded Corners 42">
              <a:hlinkClick xmlns:r="http://schemas.openxmlformats.org/officeDocument/2006/relationships" r:id="rId19"/>
              <a:extLst>
                <a:ext uri="{FF2B5EF4-FFF2-40B4-BE49-F238E27FC236}">
                  <a16:creationId xmlns:a16="http://schemas.microsoft.com/office/drawing/2014/main" id="{E6435CB6-F7AF-5543-0473-E7F1966A3AFF}"/>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44" name="Graphic 43" descr="Books on shelf with solid fill">
              <a:hlinkClick xmlns:r="http://schemas.openxmlformats.org/officeDocument/2006/relationships" r:id="rId19"/>
              <a:extLst>
                <a:ext uri="{FF2B5EF4-FFF2-40B4-BE49-F238E27FC236}">
                  <a16:creationId xmlns:a16="http://schemas.microsoft.com/office/drawing/2014/main" id="{D1FADACE-1A5F-7274-7268-FB691C1F548A}"/>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11" name="Group 10">
            <a:extLst>
              <a:ext uri="{FF2B5EF4-FFF2-40B4-BE49-F238E27FC236}">
                <a16:creationId xmlns:a16="http://schemas.microsoft.com/office/drawing/2014/main" id="{419C4DA0-EC5A-9C09-D8D7-A87A901B1757}"/>
              </a:ext>
            </a:extLst>
          </xdr:cNvPr>
          <xdr:cNvGrpSpPr/>
        </xdr:nvGrpSpPr>
        <xdr:grpSpPr>
          <a:xfrm>
            <a:off x="274692" y="12276007"/>
            <a:ext cx="3175624" cy="896469"/>
            <a:chOff x="231396" y="11029098"/>
            <a:chExt cx="3175624" cy="896469"/>
          </a:xfrm>
        </xdr:grpSpPr>
        <xdr:sp macro="" textlink="">
          <xdr:nvSpPr>
            <xdr:cNvPr id="41" name="Rectangle: Rounded Corners 40">
              <a:hlinkClick xmlns:r="http://schemas.openxmlformats.org/officeDocument/2006/relationships" r:id="rId22"/>
              <a:extLst>
                <a:ext uri="{FF2B5EF4-FFF2-40B4-BE49-F238E27FC236}">
                  <a16:creationId xmlns:a16="http://schemas.microsoft.com/office/drawing/2014/main" id="{E7053423-7776-74C9-C455-6C8D31C1FBEB}"/>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42" name="Graphic 41" descr="Users with solid fill">
              <a:hlinkClick xmlns:r="http://schemas.openxmlformats.org/officeDocument/2006/relationships" r:id="rId22"/>
              <a:extLst>
                <a:ext uri="{FF2B5EF4-FFF2-40B4-BE49-F238E27FC236}">
                  <a16:creationId xmlns:a16="http://schemas.microsoft.com/office/drawing/2014/main" id="{F0278097-B48A-0FDF-9319-C11925A06F29}"/>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12" name="Group 11">
            <a:extLst>
              <a:ext uri="{FF2B5EF4-FFF2-40B4-BE49-F238E27FC236}">
                <a16:creationId xmlns:a16="http://schemas.microsoft.com/office/drawing/2014/main" id="{C410F398-4536-E9A3-B317-BA1645B578B4}"/>
              </a:ext>
            </a:extLst>
          </xdr:cNvPr>
          <xdr:cNvGrpSpPr/>
        </xdr:nvGrpSpPr>
        <xdr:grpSpPr>
          <a:xfrm>
            <a:off x="274692" y="5280956"/>
            <a:ext cx="3175624" cy="896469"/>
            <a:chOff x="231396" y="4690698"/>
            <a:chExt cx="3175624" cy="896469"/>
          </a:xfrm>
        </xdr:grpSpPr>
        <xdr:sp macro="" textlink="">
          <xdr:nvSpPr>
            <xdr:cNvPr id="39" name="Rectangle: Rounded Corners 38">
              <a:hlinkClick xmlns:r="http://schemas.openxmlformats.org/officeDocument/2006/relationships" r:id="rId25"/>
              <a:extLst>
                <a:ext uri="{FF2B5EF4-FFF2-40B4-BE49-F238E27FC236}">
                  <a16:creationId xmlns:a16="http://schemas.microsoft.com/office/drawing/2014/main" id="{4BA28909-C655-CE2B-2024-9C791A54C1C0}"/>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40" name="Graphic 39" descr="Hierarchy with solid fill">
              <a:extLst>
                <a:ext uri="{FF2B5EF4-FFF2-40B4-BE49-F238E27FC236}">
                  <a16:creationId xmlns:a16="http://schemas.microsoft.com/office/drawing/2014/main" id="{E7CD56CC-B289-DA43-00A6-55B82BE64CF7}"/>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13" name="Group 12">
            <a:extLst>
              <a:ext uri="{FF2B5EF4-FFF2-40B4-BE49-F238E27FC236}">
                <a16:creationId xmlns:a16="http://schemas.microsoft.com/office/drawing/2014/main" id="{2A16022C-8939-F843-D77C-753EABCA0D17}"/>
              </a:ext>
            </a:extLst>
          </xdr:cNvPr>
          <xdr:cNvGrpSpPr/>
        </xdr:nvGrpSpPr>
        <xdr:grpSpPr>
          <a:xfrm>
            <a:off x="274692" y="6280248"/>
            <a:ext cx="3175624" cy="896469"/>
            <a:chOff x="231396" y="5596184"/>
            <a:chExt cx="3175624" cy="896469"/>
          </a:xfrm>
        </xdr:grpSpPr>
        <xdr:sp macro="" textlink="">
          <xdr:nvSpPr>
            <xdr:cNvPr id="37" name="Rectangle: Rounded Corners 36">
              <a:hlinkClick xmlns:r="http://schemas.openxmlformats.org/officeDocument/2006/relationships" r:id="rId28"/>
              <a:extLst>
                <a:ext uri="{FF2B5EF4-FFF2-40B4-BE49-F238E27FC236}">
                  <a16:creationId xmlns:a16="http://schemas.microsoft.com/office/drawing/2014/main" id="{D55401BE-FB4D-9B9C-C8A7-612C8DB0FF4F}"/>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38" name="Graphic 37" descr="Postit Notes with solid fill">
              <a:hlinkClick xmlns:r="http://schemas.openxmlformats.org/officeDocument/2006/relationships" r:id="rId28"/>
              <a:extLst>
                <a:ext uri="{FF2B5EF4-FFF2-40B4-BE49-F238E27FC236}">
                  <a16:creationId xmlns:a16="http://schemas.microsoft.com/office/drawing/2014/main" id="{EFB64BFD-BEE4-5972-7C7A-D01240293110}"/>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14" name="Group 13">
            <a:extLst>
              <a:ext uri="{FF2B5EF4-FFF2-40B4-BE49-F238E27FC236}">
                <a16:creationId xmlns:a16="http://schemas.microsoft.com/office/drawing/2014/main" id="{9AAFF943-A80A-FF9B-2D6E-3C7350F5DDC2}"/>
              </a:ext>
            </a:extLst>
          </xdr:cNvPr>
          <xdr:cNvGrpSpPr/>
        </xdr:nvGrpSpPr>
        <xdr:grpSpPr>
          <a:xfrm>
            <a:off x="274692" y="7279540"/>
            <a:ext cx="3175624" cy="896470"/>
            <a:chOff x="231396" y="6501670"/>
            <a:chExt cx="3175624" cy="896470"/>
          </a:xfrm>
        </xdr:grpSpPr>
        <xdr:sp macro="" textlink="">
          <xdr:nvSpPr>
            <xdr:cNvPr id="35" name="Rectangle: Rounded Corners 34">
              <a:hlinkClick xmlns:r="http://schemas.openxmlformats.org/officeDocument/2006/relationships" r:id="rId31"/>
              <a:extLst>
                <a:ext uri="{FF2B5EF4-FFF2-40B4-BE49-F238E27FC236}">
                  <a16:creationId xmlns:a16="http://schemas.microsoft.com/office/drawing/2014/main" id="{C6A661B9-DAE0-9E0F-86AD-79DF9D580873}"/>
                </a:ext>
              </a:extLst>
            </xdr:cNvPr>
            <xdr:cNvSpPr/>
          </xdr:nvSpPr>
          <xdr:spPr>
            <a:xfrm>
              <a:off x="231396" y="6501670"/>
              <a:ext cx="3175624" cy="896470"/>
            </a:xfrm>
            <a:prstGeom prst="roundRect">
              <a:avLst/>
            </a:prstGeom>
            <a:solidFill>
              <a:schemeClr val="accent3"/>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tx1"/>
                  </a:solidFill>
                  <a:latin typeface="Georgia" panose="02040502050405020303" pitchFamily="18" charset="0"/>
                  <a:ea typeface="+mn-ea"/>
                  <a:cs typeface="+mn-cs"/>
                </a:rPr>
                <a:t>Comparison</a:t>
              </a:r>
            </a:p>
            <a:p>
              <a:pPr algn="r"/>
              <a:r>
                <a:rPr lang="en-US" sz="1400" b="1">
                  <a:solidFill>
                    <a:schemeClr val="tx1"/>
                  </a:solidFill>
                  <a:latin typeface="Georgia" panose="02040502050405020303" pitchFamily="18" charset="0"/>
                  <a:ea typeface="+mn-ea"/>
                  <a:cs typeface="+mn-cs"/>
                </a:rPr>
                <a:t>(by Institution)</a:t>
              </a:r>
            </a:p>
          </xdr:txBody>
        </xdr:sp>
        <xdr:pic>
          <xdr:nvPicPr>
            <xdr:cNvPr id="36" name="Graphic 35" descr="Signal with solid fill">
              <a:hlinkClick xmlns:r="http://schemas.openxmlformats.org/officeDocument/2006/relationships" r:id="rId31"/>
              <a:extLst>
                <a:ext uri="{FF2B5EF4-FFF2-40B4-BE49-F238E27FC236}">
                  <a16:creationId xmlns:a16="http://schemas.microsoft.com/office/drawing/2014/main" id="{9F5077EF-13AE-620D-678D-6FB5B768F989}"/>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15" name="Group 14">
            <a:extLst>
              <a:ext uri="{FF2B5EF4-FFF2-40B4-BE49-F238E27FC236}">
                <a16:creationId xmlns:a16="http://schemas.microsoft.com/office/drawing/2014/main" id="{1EB292A6-51B3-1F85-490A-1796D8F0B7C1}"/>
              </a:ext>
            </a:extLst>
          </xdr:cNvPr>
          <xdr:cNvGrpSpPr/>
        </xdr:nvGrpSpPr>
        <xdr:grpSpPr>
          <a:xfrm>
            <a:off x="274692" y="4275387"/>
            <a:ext cx="3175624" cy="902746"/>
            <a:chOff x="231396" y="3778935"/>
            <a:chExt cx="3175624" cy="902746"/>
          </a:xfrm>
        </xdr:grpSpPr>
        <xdr:sp macro="" textlink="">
          <xdr:nvSpPr>
            <xdr:cNvPr id="33" name="Rectangle: Rounded Corners 32">
              <a:hlinkClick xmlns:r="http://schemas.openxmlformats.org/officeDocument/2006/relationships" r:id="rId34"/>
              <a:extLst>
                <a:ext uri="{FF2B5EF4-FFF2-40B4-BE49-F238E27FC236}">
                  <a16:creationId xmlns:a16="http://schemas.microsoft.com/office/drawing/2014/main" id="{4FBCC801-5BFC-8773-22A0-9CE384057486}"/>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34" name="Graphic 33" descr="Document with solid fill">
              <a:hlinkClick xmlns:r="http://schemas.openxmlformats.org/officeDocument/2006/relationships" r:id="rId34"/>
              <a:extLst>
                <a:ext uri="{FF2B5EF4-FFF2-40B4-BE49-F238E27FC236}">
                  <a16:creationId xmlns:a16="http://schemas.microsoft.com/office/drawing/2014/main" id="{6AC11288-647E-3F2E-509A-27F60B1849F4}"/>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16" name="Group 15">
            <a:extLst>
              <a:ext uri="{FF2B5EF4-FFF2-40B4-BE49-F238E27FC236}">
                <a16:creationId xmlns:a16="http://schemas.microsoft.com/office/drawing/2014/main" id="{5DE61971-96AB-D661-30D1-FF0901B2B2B7}"/>
              </a:ext>
            </a:extLst>
          </xdr:cNvPr>
          <xdr:cNvGrpSpPr/>
        </xdr:nvGrpSpPr>
        <xdr:grpSpPr>
          <a:xfrm>
            <a:off x="274692" y="3269818"/>
            <a:ext cx="3175624" cy="902746"/>
            <a:chOff x="231396" y="2867172"/>
            <a:chExt cx="3175624" cy="902746"/>
          </a:xfrm>
        </xdr:grpSpPr>
        <xdr:sp macro="" textlink="">
          <xdr:nvSpPr>
            <xdr:cNvPr id="31" name="Rectangle: Rounded Corners 30">
              <a:hlinkClick xmlns:r="http://schemas.openxmlformats.org/officeDocument/2006/relationships" r:id="rId37"/>
              <a:extLst>
                <a:ext uri="{FF2B5EF4-FFF2-40B4-BE49-F238E27FC236}">
                  <a16:creationId xmlns:a16="http://schemas.microsoft.com/office/drawing/2014/main" id="{166C7042-32C7-FE9D-8B78-67D5EC91AA92}"/>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32" name="Graphic 31" descr="Soundwave with solid fill">
              <a:hlinkClick xmlns:r="http://schemas.openxmlformats.org/officeDocument/2006/relationships" r:id="rId37"/>
              <a:extLst>
                <a:ext uri="{FF2B5EF4-FFF2-40B4-BE49-F238E27FC236}">
                  <a16:creationId xmlns:a16="http://schemas.microsoft.com/office/drawing/2014/main" id="{1D7D50D9-925B-2948-6F09-9130458B2460}"/>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27214</xdr:colOff>
      <xdr:row>0</xdr:row>
      <xdr:rowOff>27214</xdr:rowOff>
    </xdr:from>
    <xdr:to>
      <xdr:col>5</xdr:col>
      <xdr:colOff>503910</xdr:colOff>
      <xdr:row>34</xdr:row>
      <xdr:rowOff>338941</xdr:rowOff>
    </xdr:to>
    <xdr:grpSp>
      <xdr:nvGrpSpPr>
        <xdr:cNvPr id="45" name="Group 44">
          <a:extLst>
            <a:ext uri="{FF2B5EF4-FFF2-40B4-BE49-F238E27FC236}">
              <a16:creationId xmlns:a16="http://schemas.microsoft.com/office/drawing/2014/main" id="{9A8D3619-CFB7-4A31-BD7F-B3241F3EB751}"/>
            </a:ext>
          </a:extLst>
        </xdr:cNvPr>
        <xdr:cNvGrpSpPr>
          <a:grpSpLocks noChangeAspect="1"/>
        </xdr:cNvGrpSpPr>
      </xdr:nvGrpSpPr>
      <xdr:grpSpPr>
        <a:xfrm>
          <a:off x="27214" y="27214"/>
          <a:ext cx="3524696" cy="13265727"/>
          <a:chOff x="51954" y="51955"/>
          <a:chExt cx="3636819" cy="13265727"/>
        </a:xfrm>
      </xdr:grpSpPr>
      <xdr:sp macro="" textlink="">
        <xdr:nvSpPr>
          <xdr:cNvPr id="46" name="Rectangle: Rounded Corners 45">
            <a:extLst>
              <a:ext uri="{FF2B5EF4-FFF2-40B4-BE49-F238E27FC236}">
                <a16:creationId xmlns:a16="http://schemas.microsoft.com/office/drawing/2014/main" id="{B5DCC1D8-E4EA-CEB4-0F47-2F5B33BE38CE}"/>
              </a:ext>
            </a:extLst>
          </xdr:cNvPr>
          <xdr:cNvSpPr/>
        </xdr:nvSpPr>
        <xdr:spPr>
          <a:xfrm>
            <a:off x="51954" y="51955"/>
            <a:ext cx="3636819" cy="13265727"/>
          </a:xfrm>
          <a:prstGeom prst="roundRect">
            <a:avLst>
              <a:gd name="adj" fmla="val 9048"/>
            </a:avLst>
          </a:prstGeom>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n-US" sz="1100"/>
          </a:p>
        </xdr:txBody>
      </xdr:sp>
      <xdr:grpSp>
        <xdr:nvGrpSpPr>
          <xdr:cNvPr id="47" name="Group 46">
            <a:hlinkClick xmlns:r="http://schemas.openxmlformats.org/officeDocument/2006/relationships" r:id="rId1"/>
            <a:extLst>
              <a:ext uri="{FF2B5EF4-FFF2-40B4-BE49-F238E27FC236}">
                <a16:creationId xmlns:a16="http://schemas.microsoft.com/office/drawing/2014/main" id="{AE57C59F-1AE8-719E-D541-CBC0D80D0495}"/>
              </a:ext>
            </a:extLst>
          </xdr:cNvPr>
          <xdr:cNvGrpSpPr/>
        </xdr:nvGrpSpPr>
        <xdr:grpSpPr>
          <a:xfrm>
            <a:off x="274692" y="253113"/>
            <a:ext cx="3175624" cy="902746"/>
            <a:chOff x="231396" y="131885"/>
            <a:chExt cx="3175624" cy="902746"/>
          </a:xfrm>
        </xdr:grpSpPr>
        <xdr:sp macro="" textlink="">
          <xdr:nvSpPr>
            <xdr:cNvPr id="84" name="Rectangle: Rounded Corners 83">
              <a:extLst>
                <a:ext uri="{FF2B5EF4-FFF2-40B4-BE49-F238E27FC236}">
                  <a16:creationId xmlns:a16="http://schemas.microsoft.com/office/drawing/2014/main" id="{825EBD10-3BB1-A1CA-D911-C6D48FC4FD30}"/>
                </a:ext>
              </a:extLst>
            </xdr:cNvPr>
            <xdr:cNvSpPr/>
          </xdr:nvSpPr>
          <xdr:spPr>
            <a:xfrm>
              <a:off x="231396" y="13188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lvl="0" algn="r"/>
              <a:r>
                <a:rPr lang="en-US" sz="1400" b="1">
                  <a:solidFill>
                    <a:schemeClr val="bg1"/>
                  </a:solidFill>
                  <a:latin typeface="Georgia" panose="02040502050405020303" pitchFamily="18" charset="0"/>
                </a:rPr>
                <a:t>Table</a:t>
              </a:r>
              <a:r>
                <a:rPr lang="en-US" sz="1400" b="1" baseline="0">
                  <a:solidFill>
                    <a:schemeClr val="bg1"/>
                  </a:solidFill>
                  <a:latin typeface="Georgia" panose="02040502050405020303" pitchFamily="18" charset="0"/>
                </a:rPr>
                <a:t> of Contents</a:t>
              </a:r>
              <a:endParaRPr lang="en-US" sz="1400" b="1">
                <a:solidFill>
                  <a:schemeClr val="bg1"/>
                </a:solidFill>
                <a:latin typeface="Georgia" panose="02040502050405020303" pitchFamily="18" charset="0"/>
              </a:endParaRPr>
            </a:p>
          </xdr:txBody>
        </xdr:sp>
        <xdr:pic>
          <xdr:nvPicPr>
            <xdr:cNvPr id="85" name="Graphic 84" descr="Home with solid fill">
              <a:hlinkClick xmlns:r="http://schemas.openxmlformats.org/officeDocument/2006/relationships" r:id="rId1"/>
              <a:extLst>
                <a:ext uri="{FF2B5EF4-FFF2-40B4-BE49-F238E27FC236}">
                  <a16:creationId xmlns:a16="http://schemas.microsoft.com/office/drawing/2014/main" id="{3AAEA8AE-3E5F-3F41-5ECA-F823A09BB04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65954" y="196627"/>
              <a:ext cx="775580" cy="775580"/>
            </a:xfrm>
            <a:prstGeom prst="rect">
              <a:avLst/>
            </a:prstGeom>
          </xdr:spPr>
        </xdr:pic>
      </xdr:grpSp>
      <xdr:grpSp>
        <xdr:nvGrpSpPr>
          <xdr:cNvPr id="48" name="Group 47">
            <a:extLst>
              <a:ext uri="{FF2B5EF4-FFF2-40B4-BE49-F238E27FC236}">
                <a16:creationId xmlns:a16="http://schemas.microsoft.com/office/drawing/2014/main" id="{7A012E1D-72B2-54C1-C706-A624CB17ACFD}"/>
              </a:ext>
            </a:extLst>
          </xdr:cNvPr>
          <xdr:cNvGrpSpPr/>
        </xdr:nvGrpSpPr>
        <xdr:grpSpPr>
          <a:xfrm>
            <a:off x="274692" y="1258682"/>
            <a:ext cx="3175624" cy="902746"/>
            <a:chOff x="231396" y="1043648"/>
            <a:chExt cx="3175624" cy="902746"/>
          </a:xfrm>
        </xdr:grpSpPr>
        <xdr:sp macro="" textlink="">
          <xdr:nvSpPr>
            <xdr:cNvPr id="82" name="Rectangle: Rounded Corners 81">
              <a:hlinkClick xmlns:r="http://schemas.openxmlformats.org/officeDocument/2006/relationships" r:id="rId4"/>
              <a:extLst>
                <a:ext uri="{FF2B5EF4-FFF2-40B4-BE49-F238E27FC236}">
                  <a16:creationId xmlns:a16="http://schemas.microsoft.com/office/drawing/2014/main" id="{72AB64ED-0EED-364E-4C44-8F3AD3C4633C}"/>
                </a:ext>
              </a:extLst>
            </xdr:cNvPr>
            <xdr:cNvSpPr/>
          </xdr:nvSpPr>
          <xdr:spPr>
            <a:xfrm>
              <a:off x="231396" y="1043648"/>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Contact Information</a:t>
              </a:r>
            </a:p>
          </xdr:txBody>
        </xdr:sp>
        <xdr:pic>
          <xdr:nvPicPr>
            <xdr:cNvPr id="83" name="Graphic 82" descr="Address Book with solid fill">
              <a:hlinkClick xmlns:r="http://schemas.openxmlformats.org/officeDocument/2006/relationships" r:id="rId4"/>
              <a:extLst>
                <a:ext uri="{FF2B5EF4-FFF2-40B4-BE49-F238E27FC236}">
                  <a16:creationId xmlns:a16="http://schemas.microsoft.com/office/drawing/2014/main" id="{D46B127B-0E5C-D893-11B5-F0E185345524}"/>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65954" y="1100991"/>
              <a:ext cx="765589" cy="775580"/>
            </a:xfrm>
            <a:prstGeom prst="rect">
              <a:avLst/>
            </a:prstGeom>
          </xdr:spPr>
        </xdr:pic>
      </xdr:grpSp>
      <xdr:grpSp>
        <xdr:nvGrpSpPr>
          <xdr:cNvPr id="49" name="Group 48">
            <a:extLst>
              <a:ext uri="{FF2B5EF4-FFF2-40B4-BE49-F238E27FC236}">
                <a16:creationId xmlns:a16="http://schemas.microsoft.com/office/drawing/2014/main" id="{417A8D51-18D4-F347-731A-E61AA94B0008}"/>
              </a:ext>
            </a:extLst>
          </xdr:cNvPr>
          <xdr:cNvGrpSpPr/>
        </xdr:nvGrpSpPr>
        <xdr:grpSpPr>
          <a:xfrm>
            <a:off x="274692" y="2264251"/>
            <a:ext cx="3175624" cy="902744"/>
            <a:chOff x="231396" y="1955411"/>
            <a:chExt cx="3175624" cy="902744"/>
          </a:xfrm>
        </xdr:grpSpPr>
        <xdr:sp macro="" textlink="">
          <xdr:nvSpPr>
            <xdr:cNvPr id="80" name="Rectangle: Rounded Corners 79">
              <a:hlinkClick xmlns:r="http://schemas.openxmlformats.org/officeDocument/2006/relationships" r:id="rId7"/>
              <a:extLst>
                <a:ext uri="{FF2B5EF4-FFF2-40B4-BE49-F238E27FC236}">
                  <a16:creationId xmlns:a16="http://schemas.microsoft.com/office/drawing/2014/main" id="{102E1A01-DD96-6957-7B71-063A7296C8F2}"/>
                </a:ext>
              </a:extLst>
            </xdr:cNvPr>
            <xdr:cNvSpPr/>
          </xdr:nvSpPr>
          <xdr:spPr>
            <a:xfrm>
              <a:off x="231396" y="1955411"/>
              <a:ext cx="3175624" cy="902744"/>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Definitions</a:t>
              </a:r>
            </a:p>
          </xdr:txBody>
        </xdr:sp>
        <xdr:pic>
          <xdr:nvPicPr>
            <xdr:cNvPr id="81" name="Graphic 80" descr="Closed book with solid fill">
              <a:hlinkClick xmlns:r="http://schemas.openxmlformats.org/officeDocument/2006/relationships" r:id="rId7"/>
              <a:extLst>
                <a:ext uri="{FF2B5EF4-FFF2-40B4-BE49-F238E27FC236}">
                  <a16:creationId xmlns:a16="http://schemas.microsoft.com/office/drawing/2014/main" id="{0B7081CA-A3E3-1B93-E353-B60D9BF3BC4A}"/>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465954" y="2005355"/>
              <a:ext cx="765589" cy="775580"/>
            </a:xfrm>
            <a:prstGeom prst="rect">
              <a:avLst/>
            </a:prstGeom>
          </xdr:spPr>
        </xdr:pic>
      </xdr:grpSp>
      <xdr:grpSp>
        <xdr:nvGrpSpPr>
          <xdr:cNvPr id="50" name="Group 49">
            <a:extLst>
              <a:ext uri="{FF2B5EF4-FFF2-40B4-BE49-F238E27FC236}">
                <a16:creationId xmlns:a16="http://schemas.microsoft.com/office/drawing/2014/main" id="{C2FF60A4-83C8-B01E-574C-77773F6E0BAB}"/>
              </a:ext>
            </a:extLst>
          </xdr:cNvPr>
          <xdr:cNvGrpSpPr/>
        </xdr:nvGrpSpPr>
        <xdr:grpSpPr>
          <a:xfrm>
            <a:off x="274692" y="11276710"/>
            <a:ext cx="3175624" cy="896469"/>
            <a:chOff x="231396" y="10123616"/>
            <a:chExt cx="3175624" cy="896469"/>
          </a:xfrm>
        </xdr:grpSpPr>
        <xdr:sp macro="" textlink="">
          <xdr:nvSpPr>
            <xdr:cNvPr id="78" name="Rectangle: Rounded Corners 77">
              <a:hlinkClick xmlns:r="http://schemas.openxmlformats.org/officeDocument/2006/relationships" r:id="rId10"/>
              <a:extLst>
                <a:ext uri="{FF2B5EF4-FFF2-40B4-BE49-F238E27FC236}">
                  <a16:creationId xmlns:a16="http://schemas.microsoft.com/office/drawing/2014/main" id="{3AB45379-0A9E-1706-A95F-2F328AC797C5}"/>
                </a:ext>
              </a:extLst>
            </xdr:cNvPr>
            <xdr:cNvSpPr/>
          </xdr:nvSpPr>
          <xdr:spPr>
            <a:xfrm>
              <a:off x="231396" y="10123616"/>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Tuition &amp; Fees</a:t>
              </a:r>
            </a:p>
          </xdr:txBody>
        </xdr:sp>
        <xdr:pic>
          <xdr:nvPicPr>
            <xdr:cNvPr id="79" name="Graphic 78" descr="Bar graph with downward trend with solid fill">
              <a:hlinkClick xmlns:r="http://schemas.openxmlformats.org/officeDocument/2006/relationships" r:id="rId10"/>
              <a:extLst>
                <a:ext uri="{FF2B5EF4-FFF2-40B4-BE49-F238E27FC236}">
                  <a16:creationId xmlns:a16="http://schemas.microsoft.com/office/drawing/2014/main" id="{CA24141B-1655-2AD7-45BF-6B6762F72680}"/>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465954" y="10144631"/>
              <a:ext cx="775580" cy="775580"/>
            </a:xfrm>
            <a:prstGeom prst="rect">
              <a:avLst/>
            </a:prstGeom>
          </xdr:spPr>
        </xdr:pic>
      </xdr:grpSp>
      <xdr:grpSp>
        <xdr:nvGrpSpPr>
          <xdr:cNvPr id="51" name="Group 50">
            <a:extLst>
              <a:ext uri="{FF2B5EF4-FFF2-40B4-BE49-F238E27FC236}">
                <a16:creationId xmlns:a16="http://schemas.microsoft.com/office/drawing/2014/main" id="{EA6A4348-870C-FCF3-2FD0-D5417FC69F9E}"/>
              </a:ext>
            </a:extLst>
          </xdr:cNvPr>
          <xdr:cNvGrpSpPr/>
        </xdr:nvGrpSpPr>
        <xdr:grpSpPr>
          <a:xfrm>
            <a:off x="274692" y="10277418"/>
            <a:ext cx="3175624" cy="896469"/>
            <a:chOff x="231396" y="9218130"/>
            <a:chExt cx="3175624" cy="896469"/>
          </a:xfrm>
        </xdr:grpSpPr>
        <xdr:sp macro="" textlink="">
          <xdr:nvSpPr>
            <xdr:cNvPr id="76" name="Rectangle: Rounded Corners 75">
              <a:hlinkClick xmlns:r="http://schemas.openxmlformats.org/officeDocument/2006/relationships" r:id="rId13"/>
              <a:extLst>
                <a:ext uri="{FF2B5EF4-FFF2-40B4-BE49-F238E27FC236}">
                  <a16:creationId xmlns:a16="http://schemas.microsoft.com/office/drawing/2014/main" id="{DEA4E7E5-4164-BFC3-F2E7-DEBD955A7766}"/>
                </a:ext>
              </a:extLst>
            </xdr:cNvPr>
            <xdr:cNvSpPr/>
          </xdr:nvSpPr>
          <xdr:spPr>
            <a:xfrm>
              <a:off x="231396" y="9218130"/>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Academic Cost Study</a:t>
              </a:r>
            </a:p>
          </xdr:txBody>
        </xdr:sp>
        <xdr:pic>
          <xdr:nvPicPr>
            <xdr:cNvPr id="77" name="Graphic 76" descr="Bar graph with upward trend with solid fill">
              <a:hlinkClick xmlns:r="http://schemas.openxmlformats.org/officeDocument/2006/relationships" r:id="rId13"/>
              <a:extLst>
                <a:ext uri="{FF2B5EF4-FFF2-40B4-BE49-F238E27FC236}">
                  <a16:creationId xmlns:a16="http://schemas.microsoft.com/office/drawing/2014/main" id="{621AD499-BC66-FA5B-F18E-8BDE8B2EE609}"/>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465954" y="9240267"/>
              <a:ext cx="775580" cy="775580"/>
            </a:xfrm>
            <a:prstGeom prst="rect">
              <a:avLst/>
            </a:prstGeom>
          </xdr:spPr>
        </xdr:pic>
      </xdr:grpSp>
      <xdr:grpSp>
        <xdr:nvGrpSpPr>
          <xdr:cNvPr id="52" name="Group 51">
            <a:extLst>
              <a:ext uri="{FF2B5EF4-FFF2-40B4-BE49-F238E27FC236}">
                <a16:creationId xmlns:a16="http://schemas.microsoft.com/office/drawing/2014/main" id="{A49B37C6-9C1B-FF13-28BF-E0059ADD5712}"/>
              </a:ext>
            </a:extLst>
          </xdr:cNvPr>
          <xdr:cNvGrpSpPr/>
        </xdr:nvGrpSpPr>
        <xdr:grpSpPr>
          <a:xfrm>
            <a:off x="274692" y="8278833"/>
            <a:ext cx="3175624" cy="896470"/>
            <a:chOff x="231396" y="7407157"/>
            <a:chExt cx="3175624" cy="896470"/>
          </a:xfrm>
        </xdr:grpSpPr>
        <xdr:sp macro="" textlink="">
          <xdr:nvSpPr>
            <xdr:cNvPr id="74" name="Rectangle: Rounded Corners 73">
              <a:hlinkClick xmlns:r="http://schemas.openxmlformats.org/officeDocument/2006/relationships" r:id="rId16"/>
              <a:extLst>
                <a:ext uri="{FF2B5EF4-FFF2-40B4-BE49-F238E27FC236}">
                  <a16:creationId xmlns:a16="http://schemas.microsoft.com/office/drawing/2014/main" id="{B8383017-3E05-AE2A-7622-C158E3D10390}"/>
                </a:ext>
              </a:extLst>
            </xdr:cNvPr>
            <xdr:cNvSpPr/>
          </xdr:nvSpPr>
          <xdr:spPr>
            <a:xfrm>
              <a:off x="231396" y="7407157"/>
              <a:ext cx="3175624" cy="896470"/>
            </a:xfrm>
            <a:prstGeom prst="roundRect">
              <a:avLst/>
            </a:prstGeom>
            <a:solidFill>
              <a:schemeClr val="accent3"/>
            </a:solidFill>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tx1"/>
                  </a:solidFill>
                  <a:latin typeface="Georgia" panose="02040502050405020303" pitchFamily="18" charset="0"/>
                  <a:ea typeface="+mn-ea"/>
                  <a:cs typeface="+mn-cs"/>
                </a:rPr>
                <a:t>Sources (Revenue)</a:t>
              </a:r>
            </a:p>
          </xdr:txBody>
        </xdr:sp>
        <xdr:pic>
          <xdr:nvPicPr>
            <xdr:cNvPr id="75" name="Graphic 74" descr="Books with solid fill">
              <a:hlinkClick xmlns:r="http://schemas.openxmlformats.org/officeDocument/2006/relationships" r:id="rId16"/>
              <a:extLst>
                <a:ext uri="{FF2B5EF4-FFF2-40B4-BE49-F238E27FC236}">
                  <a16:creationId xmlns:a16="http://schemas.microsoft.com/office/drawing/2014/main" id="{ABD3755F-ACAE-2008-C875-93FC7685C560}"/>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465954" y="7431539"/>
              <a:ext cx="775580" cy="775580"/>
            </a:xfrm>
            <a:prstGeom prst="rect">
              <a:avLst/>
            </a:prstGeom>
          </xdr:spPr>
        </xdr:pic>
      </xdr:grpSp>
      <xdr:grpSp>
        <xdr:nvGrpSpPr>
          <xdr:cNvPr id="53" name="Group 52">
            <a:extLst>
              <a:ext uri="{FF2B5EF4-FFF2-40B4-BE49-F238E27FC236}">
                <a16:creationId xmlns:a16="http://schemas.microsoft.com/office/drawing/2014/main" id="{43FA1A96-05E1-D811-97E3-E14BEDC84DA6}"/>
              </a:ext>
            </a:extLst>
          </xdr:cNvPr>
          <xdr:cNvGrpSpPr/>
        </xdr:nvGrpSpPr>
        <xdr:grpSpPr>
          <a:xfrm>
            <a:off x="274692" y="9278126"/>
            <a:ext cx="3175624" cy="896469"/>
            <a:chOff x="231396" y="8312644"/>
            <a:chExt cx="3175624" cy="896469"/>
          </a:xfrm>
        </xdr:grpSpPr>
        <xdr:sp macro="" textlink="">
          <xdr:nvSpPr>
            <xdr:cNvPr id="72" name="Rectangle: Rounded Corners 71">
              <a:hlinkClick xmlns:r="http://schemas.openxmlformats.org/officeDocument/2006/relationships" r:id="rId19"/>
              <a:extLst>
                <a:ext uri="{FF2B5EF4-FFF2-40B4-BE49-F238E27FC236}">
                  <a16:creationId xmlns:a16="http://schemas.microsoft.com/office/drawing/2014/main" id="{DC50E2AD-860F-D048-9C32-00FD9D368972}"/>
                </a:ext>
              </a:extLst>
            </xdr:cNvPr>
            <xdr:cNvSpPr/>
          </xdr:nvSpPr>
          <xdr:spPr>
            <a:xfrm>
              <a:off x="231396" y="831264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Uses (Expenditures)</a:t>
              </a:r>
            </a:p>
          </xdr:txBody>
        </xdr:sp>
        <xdr:pic>
          <xdr:nvPicPr>
            <xdr:cNvPr id="73" name="Graphic 72" descr="Books on shelf with solid fill">
              <a:hlinkClick xmlns:r="http://schemas.openxmlformats.org/officeDocument/2006/relationships" r:id="rId19"/>
              <a:extLst>
                <a:ext uri="{FF2B5EF4-FFF2-40B4-BE49-F238E27FC236}">
                  <a16:creationId xmlns:a16="http://schemas.microsoft.com/office/drawing/2014/main" id="{08C71BF7-F227-4F58-EFC7-11C80D9191BA}"/>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465954" y="8335903"/>
              <a:ext cx="775580" cy="775580"/>
            </a:xfrm>
            <a:prstGeom prst="rect">
              <a:avLst/>
            </a:prstGeom>
          </xdr:spPr>
        </xdr:pic>
      </xdr:grpSp>
      <xdr:grpSp>
        <xdr:nvGrpSpPr>
          <xdr:cNvPr id="54" name="Group 53">
            <a:extLst>
              <a:ext uri="{FF2B5EF4-FFF2-40B4-BE49-F238E27FC236}">
                <a16:creationId xmlns:a16="http://schemas.microsoft.com/office/drawing/2014/main" id="{9EEA68E1-2D0C-1D28-9AAE-899595B96CB2}"/>
              </a:ext>
            </a:extLst>
          </xdr:cNvPr>
          <xdr:cNvGrpSpPr/>
        </xdr:nvGrpSpPr>
        <xdr:grpSpPr>
          <a:xfrm>
            <a:off x="274692" y="12276007"/>
            <a:ext cx="3175624" cy="896469"/>
            <a:chOff x="231396" y="11029098"/>
            <a:chExt cx="3175624" cy="896469"/>
          </a:xfrm>
        </xdr:grpSpPr>
        <xdr:sp macro="" textlink="">
          <xdr:nvSpPr>
            <xdr:cNvPr id="70" name="Rectangle: Rounded Corners 69">
              <a:hlinkClick xmlns:r="http://schemas.openxmlformats.org/officeDocument/2006/relationships" r:id="rId22"/>
              <a:extLst>
                <a:ext uri="{FF2B5EF4-FFF2-40B4-BE49-F238E27FC236}">
                  <a16:creationId xmlns:a16="http://schemas.microsoft.com/office/drawing/2014/main" id="{AE0D6EFA-4DC0-05BD-22EA-4727951CA7E5}"/>
                </a:ext>
              </a:extLst>
            </xdr:cNvPr>
            <xdr:cNvSpPr/>
          </xdr:nvSpPr>
          <xdr:spPr>
            <a:xfrm>
              <a:off x="231396" y="110290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FTSE | FTFE</a:t>
              </a:r>
            </a:p>
          </xdr:txBody>
        </xdr:sp>
        <xdr:pic>
          <xdr:nvPicPr>
            <xdr:cNvPr id="71" name="Graphic 70" descr="Users with solid fill">
              <a:hlinkClick xmlns:r="http://schemas.openxmlformats.org/officeDocument/2006/relationships" r:id="rId22"/>
              <a:extLst>
                <a:ext uri="{FF2B5EF4-FFF2-40B4-BE49-F238E27FC236}">
                  <a16:creationId xmlns:a16="http://schemas.microsoft.com/office/drawing/2014/main" id="{AF93EC66-5819-090F-7E67-6404AB80CA67}"/>
                </a:ext>
              </a:extLst>
            </xdr:cNvPr>
            <xdr:cNvPicPr>
              <a:picLocks noChangeAspect="1"/>
            </xdr:cNvPicPr>
          </xdr:nvPicPr>
          <xdr:blipFill>
            <a:blip xmlns:r="http://schemas.openxmlformats.org/officeDocument/2006/relationships" r:embed="rId23">
              <a:extLst>
                <a:ext uri="{96DAC541-7B7A-43D3-8B79-37D633B846F1}">
                  <asvg:svgBlip xmlns:asvg="http://schemas.microsoft.com/office/drawing/2016/SVG/main" r:embed="rId24"/>
                </a:ext>
              </a:extLst>
            </a:blip>
            <a:stretch>
              <a:fillRect/>
            </a:stretch>
          </xdr:blipFill>
          <xdr:spPr>
            <a:xfrm>
              <a:off x="465954" y="11049000"/>
              <a:ext cx="775580" cy="775580"/>
            </a:xfrm>
            <a:prstGeom prst="rect">
              <a:avLst/>
            </a:prstGeom>
          </xdr:spPr>
        </xdr:pic>
      </xdr:grpSp>
      <xdr:grpSp>
        <xdr:nvGrpSpPr>
          <xdr:cNvPr id="55" name="Group 54">
            <a:extLst>
              <a:ext uri="{FF2B5EF4-FFF2-40B4-BE49-F238E27FC236}">
                <a16:creationId xmlns:a16="http://schemas.microsoft.com/office/drawing/2014/main" id="{27EADBD7-3B80-24F1-7F7A-EA3261D48ACC}"/>
              </a:ext>
            </a:extLst>
          </xdr:cNvPr>
          <xdr:cNvGrpSpPr/>
        </xdr:nvGrpSpPr>
        <xdr:grpSpPr>
          <a:xfrm>
            <a:off x="274692" y="5280956"/>
            <a:ext cx="3175624" cy="896469"/>
            <a:chOff x="231396" y="4690698"/>
            <a:chExt cx="3175624" cy="896469"/>
          </a:xfrm>
        </xdr:grpSpPr>
        <xdr:sp macro="" textlink="">
          <xdr:nvSpPr>
            <xdr:cNvPr id="68" name="Rectangle: Rounded Corners 67">
              <a:hlinkClick xmlns:r="http://schemas.openxmlformats.org/officeDocument/2006/relationships" r:id="rId25"/>
              <a:extLst>
                <a:ext uri="{FF2B5EF4-FFF2-40B4-BE49-F238E27FC236}">
                  <a16:creationId xmlns:a16="http://schemas.microsoft.com/office/drawing/2014/main" id="{C2B91470-DC3F-FE64-7800-4EC89559F4CA}"/>
                </a:ext>
              </a:extLst>
            </xdr:cNvPr>
            <xdr:cNvSpPr/>
          </xdr:nvSpPr>
          <xdr:spPr>
            <a:xfrm>
              <a:off x="231396" y="4690698"/>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System)</a:t>
              </a:r>
            </a:p>
          </xdr:txBody>
        </xdr:sp>
        <xdr:pic>
          <xdr:nvPicPr>
            <xdr:cNvPr id="69" name="Graphic 68" descr="Hierarchy with solid fill">
              <a:extLst>
                <a:ext uri="{FF2B5EF4-FFF2-40B4-BE49-F238E27FC236}">
                  <a16:creationId xmlns:a16="http://schemas.microsoft.com/office/drawing/2014/main" id="{4297A5BE-9251-A2AB-F0D4-5B91A7F3BA2D}"/>
                </a:ext>
              </a:extLst>
            </xdr:cNvPr>
            <xdr:cNvPicPr>
              <a:picLocks noChangeAspect="1"/>
            </xdr:cNvPicPr>
          </xdr:nvPicPr>
          <xdr:blipFill>
            <a:blip xmlns:r="http://schemas.openxmlformats.org/officeDocument/2006/relationships" r:embed="rId26">
              <a:extLst>
                <a:ext uri="{96DAC541-7B7A-43D3-8B79-37D633B846F1}">
                  <asvg:svgBlip xmlns:asvg="http://schemas.microsoft.com/office/drawing/2016/SVG/main" r:embed="rId27"/>
                </a:ext>
              </a:extLst>
            </a:blip>
            <a:stretch>
              <a:fillRect/>
            </a:stretch>
          </xdr:blipFill>
          <xdr:spPr>
            <a:xfrm>
              <a:off x="465954" y="4718447"/>
              <a:ext cx="763355" cy="775580"/>
            </a:xfrm>
            <a:prstGeom prst="rect">
              <a:avLst/>
            </a:prstGeom>
          </xdr:spPr>
        </xdr:pic>
      </xdr:grpSp>
      <xdr:grpSp>
        <xdr:nvGrpSpPr>
          <xdr:cNvPr id="56" name="Group 55">
            <a:extLst>
              <a:ext uri="{FF2B5EF4-FFF2-40B4-BE49-F238E27FC236}">
                <a16:creationId xmlns:a16="http://schemas.microsoft.com/office/drawing/2014/main" id="{69B952AC-C8E0-B6C3-8578-6734E2C348B7}"/>
              </a:ext>
            </a:extLst>
          </xdr:cNvPr>
          <xdr:cNvGrpSpPr/>
        </xdr:nvGrpSpPr>
        <xdr:grpSpPr>
          <a:xfrm>
            <a:off x="274692" y="6280248"/>
            <a:ext cx="3175624" cy="896469"/>
            <a:chOff x="231396" y="5596184"/>
            <a:chExt cx="3175624" cy="896469"/>
          </a:xfrm>
        </xdr:grpSpPr>
        <xdr:sp macro="" textlink="">
          <xdr:nvSpPr>
            <xdr:cNvPr id="66" name="Rectangle: Rounded Corners 65">
              <a:hlinkClick xmlns:r="http://schemas.openxmlformats.org/officeDocument/2006/relationships" r:id="rId28"/>
              <a:extLst>
                <a:ext uri="{FF2B5EF4-FFF2-40B4-BE49-F238E27FC236}">
                  <a16:creationId xmlns:a16="http://schemas.microsoft.com/office/drawing/2014/main" id="{42E613F8-E364-EF21-4FEC-329263D2472E}"/>
                </a:ext>
              </a:extLst>
            </xdr:cNvPr>
            <xdr:cNvSpPr/>
          </xdr:nvSpPr>
          <xdr:spPr>
            <a:xfrm>
              <a:off x="231396" y="5596184"/>
              <a:ext cx="3175624" cy="896469"/>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r>
                <a:rPr lang="en-US" sz="1400" b="1" baseline="0">
                  <a:solidFill>
                    <a:schemeClr val="bg1"/>
                  </a:solidFill>
                  <a:latin typeface="Georgia" panose="02040502050405020303" pitchFamily="18" charset="0"/>
                  <a:ea typeface="+mn-ea"/>
                  <a:cs typeface="+mn-cs"/>
                </a:rPr>
                <a:t> Type</a:t>
              </a:r>
              <a:r>
                <a:rPr lang="en-US" sz="1400" b="1">
                  <a:solidFill>
                    <a:schemeClr val="bg1"/>
                  </a:solidFill>
                  <a:latin typeface="Georgia" panose="02040502050405020303" pitchFamily="18" charset="0"/>
                  <a:ea typeface="+mn-ea"/>
                  <a:cs typeface="+mn-cs"/>
                </a:rPr>
                <a:t>)</a:t>
              </a:r>
            </a:p>
          </xdr:txBody>
        </xdr:sp>
        <xdr:pic>
          <xdr:nvPicPr>
            <xdr:cNvPr id="67" name="Graphic 66" descr="Postit Notes with solid fill">
              <a:hlinkClick xmlns:r="http://schemas.openxmlformats.org/officeDocument/2006/relationships" r:id="rId28"/>
              <a:extLst>
                <a:ext uri="{FF2B5EF4-FFF2-40B4-BE49-F238E27FC236}">
                  <a16:creationId xmlns:a16="http://schemas.microsoft.com/office/drawing/2014/main" id="{00AE5711-8E32-5A5C-6147-1714057F02AA}"/>
                </a:ext>
              </a:extLst>
            </xdr:cNvPr>
            <xdr:cNvPicPr>
              <a:picLocks noChangeAspect="1"/>
            </xdr:cNvPicPr>
          </xdr:nvPicPr>
          <xdr:blipFill>
            <a:blip xmlns:r="http://schemas.openxmlformats.org/officeDocument/2006/relationships" r:embed="rId29">
              <a:extLst>
                <a:ext uri="{96DAC541-7B7A-43D3-8B79-37D633B846F1}">
                  <asvg:svgBlip xmlns:asvg="http://schemas.microsoft.com/office/drawing/2016/SVG/main" r:embed="rId30"/>
                </a:ext>
              </a:extLst>
            </a:blip>
            <a:stretch>
              <a:fillRect/>
            </a:stretch>
          </xdr:blipFill>
          <xdr:spPr>
            <a:xfrm>
              <a:off x="465954" y="5622811"/>
              <a:ext cx="763355" cy="775580"/>
            </a:xfrm>
            <a:prstGeom prst="rect">
              <a:avLst/>
            </a:prstGeom>
          </xdr:spPr>
        </xdr:pic>
      </xdr:grpSp>
      <xdr:grpSp>
        <xdr:nvGrpSpPr>
          <xdr:cNvPr id="57" name="Group 56">
            <a:extLst>
              <a:ext uri="{FF2B5EF4-FFF2-40B4-BE49-F238E27FC236}">
                <a16:creationId xmlns:a16="http://schemas.microsoft.com/office/drawing/2014/main" id="{659A3D99-D19E-D820-215F-273DEF444FAA}"/>
              </a:ext>
            </a:extLst>
          </xdr:cNvPr>
          <xdr:cNvGrpSpPr/>
        </xdr:nvGrpSpPr>
        <xdr:grpSpPr>
          <a:xfrm>
            <a:off x="274692" y="7279540"/>
            <a:ext cx="3175624" cy="896470"/>
            <a:chOff x="231396" y="6501670"/>
            <a:chExt cx="3175624" cy="896470"/>
          </a:xfrm>
        </xdr:grpSpPr>
        <xdr:sp macro="" textlink="">
          <xdr:nvSpPr>
            <xdr:cNvPr id="64" name="Rectangle: Rounded Corners 63">
              <a:hlinkClick xmlns:r="http://schemas.openxmlformats.org/officeDocument/2006/relationships" r:id="rId31"/>
              <a:extLst>
                <a:ext uri="{FF2B5EF4-FFF2-40B4-BE49-F238E27FC236}">
                  <a16:creationId xmlns:a16="http://schemas.microsoft.com/office/drawing/2014/main" id="{52CE4B26-78DF-DB80-C981-0CC413404D3A}"/>
                </a:ext>
              </a:extLst>
            </xdr:cNvPr>
            <xdr:cNvSpPr/>
          </xdr:nvSpPr>
          <xdr:spPr>
            <a:xfrm>
              <a:off x="231396" y="6501670"/>
              <a:ext cx="3175624" cy="896470"/>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Comparison</a:t>
              </a:r>
            </a:p>
            <a:p>
              <a:pPr algn="r"/>
              <a:r>
                <a:rPr lang="en-US" sz="1400" b="1">
                  <a:solidFill>
                    <a:schemeClr val="bg1"/>
                  </a:solidFill>
                  <a:latin typeface="Georgia" panose="02040502050405020303" pitchFamily="18" charset="0"/>
                  <a:ea typeface="+mn-ea"/>
                  <a:cs typeface="+mn-cs"/>
                </a:rPr>
                <a:t>(by Institution)</a:t>
              </a:r>
            </a:p>
          </xdr:txBody>
        </xdr:sp>
        <xdr:pic>
          <xdr:nvPicPr>
            <xdr:cNvPr id="65" name="Graphic 64" descr="Signal with solid fill">
              <a:hlinkClick xmlns:r="http://schemas.openxmlformats.org/officeDocument/2006/relationships" r:id="rId31"/>
              <a:extLst>
                <a:ext uri="{FF2B5EF4-FFF2-40B4-BE49-F238E27FC236}">
                  <a16:creationId xmlns:a16="http://schemas.microsoft.com/office/drawing/2014/main" id="{EBF52236-9EA4-B82D-E056-76735DD7CA9E}"/>
                </a:ext>
              </a:extLst>
            </xdr:cNvPr>
            <xdr:cNvPicPr>
              <a:picLocks noChangeAspect="1"/>
            </xdr:cNvPicPr>
          </xdr:nvPicPr>
          <xdr:blipFill>
            <a:blip xmlns:r="http://schemas.openxmlformats.org/officeDocument/2006/relationships" r:embed="rId32">
              <a:extLst>
                <a:ext uri="{96DAC541-7B7A-43D3-8B79-37D633B846F1}">
                  <asvg:svgBlip xmlns:asvg="http://schemas.microsoft.com/office/drawing/2016/SVG/main" r:embed="rId33"/>
                </a:ext>
              </a:extLst>
            </a:blip>
            <a:stretch>
              <a:fillRect/>
            </a:stretch>
          </xdr:blipFill>
          <xdr:spPr>
            <a:xfrm>
              <a:off x="465954" y="6527175"/>
              <a:ext cx="775580" cy="775580"/>
            </a:xfrm>
            <a:prstGeom prst="rect">
              <a:avLst/>
            </a:prstGeom>
          </xdr:spPr>
        </xdr:pic>
      </xdr:grpSp>
      <xdr:grpSp>
        <xdr:nvGrpSpPr>
          <xdr:cNvPr id="58" name="Group 57">
            <a:extLst>
              <a:ext uri="{FF2B5EF4-FFF2-40B4-BE49-F238E27FC236}">
                <a16:creationId xmlns:a16="http://schemas.microsoft.com/office/drawing/2014/main" id="{8BC37713-CCDE-D0E2-7790-172E8C445B67}"/>
              </a:ext>
            </a:extLst>
          </xdr:cNvPr>
          <xdr:cNvGrpSpPr/>
        </xdr:nvGrpSpPr>
        <xdr:grpSpPr>
          <a:xfrm>
            <a:off x="274692" y="4275387"/>
            <a:ext cx="3175624" cy="902746"/>
            <a:chOff x="231396" y="3778935"/>
            <a:chExt cx="3175624" cy="902746"/>
          </a:xfrm>
        </xdr:grpSpPr>
        <xdr:sp macro="" textlink="">
          <xdr:nvSpPr>
            <xdr:cNvPr id="62" name="Rectangle: Rounded Corners 61">
              <a:hlinkClick xmlns:r="http://schemas.openxmlformats.org/officeDocument/2006/relationships" r:id="rId34"/>
              <a:extLst>
                <a:ext uri="{FF2B5EF4-FFF2-40B4-BE49-F238E27FC236}">
                  <a16:creationId xmlns:a16="http://schemas.microsoft.com/office/drawing/2014/main" id="{FA560DBB-2D26-A505-2B94-D81E778A0DA4}"/>
                </a:ext>
              </a:extLst>
            </xdr:cNvPr>
            <xdr:cNvSpPr/>
          </xdr:nvSpPr>
          <xdr:spPr>
            <a:xfrm>
              <a:off x="231396" y="3778935"/>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algn="r"/>
              <a:r>
                <a:rPr lang="en-US" sz="1400" b="1">
                  <a:solidFill>
                    <a:schemeClr val="bg1"/>
                  </a:solidFill>
                  <a:latin typeface="Georgia" panose="02040502050405020303" pitchFamily="18" charset="0"/>
                  <a:ea typeface="+mn-ea"/>
                  <a:cs typeface="+mn-cs"/>
                </a:rPr>
                <a:t>Summary </a:t>
              </a:r>
            </a:p>
            <a:p>
              <a:pPr algn="r"/>
              <a:r>
                <a:rPr lang="en-US" sz="1400" b="1">
                  <a:solidFill>
                    <a:schemeClr val="bg1"/>
                  </a:solidFill>
                  <a:latin typeface="Georgia" panose="02040502050405020303" pitchFamily="18" charset="0"/>
                  <a:ea typeface="+mn-ea"/>
                  <a:cs typeface="+mn-cs"/>
                </a:rPr>
                <a:t>(by Institution)</a:t>
              </a:r>
            </a:p>
          </xdr:txBody>
        </xdr:sp>
        <xdr:pic>
          <xdr:nvPicPr>
            <xdr:cNvPr id="63" name="Graphic 62" descr="Document with solid fill">
              <a:hlinkClick xmlns:r="http://schemas.openxmlformats.org/officeDocument/2006/relationships" r:id="rId34"/>
              <a:extLst>
                <a:ext uri="{FF2B5EF4-FFF2-40B4-BE49-F238E27FC236}">
                  <a16:creationId xmlns:a16="http://schemas.microsoft.com/office/drawing/2014/main" id="{1E583D32-B3EC-8C5D-F7E9-3021C9E6D7ED}"/>
                </a:ext>
              </a:extLst>
            </xdr:cNvPr>
            <xdr:cNvPicPr>
              <a:picLocks noChangeAspect="1"/>
            </xdr:cNvPicPr>
          </xdr:nvPicPr>
          <xdr:blipFill>
            <a:blip xmlns:r="http://schemas.openxmlformats.org/officeDocument/2006/relationships" r:embed="rId35">
              <a:extLst>
                <a:ext uri="{96DAC541-7B7A-43D3-8B79-37D633B846F1}">
                  <asvg:svgBlip xmlns:asvg="http://schemas.microsoft.com/office/drawing/2016/SVG/main" r:embed="rId36"/>
                </a:ext>
              </a:extLst>
            </a:blip>
            <a:stretch>
              <a:fillRect/>
            </a:stretch>
          </xdr:blipFill>
          <xdr:spPr>
            <a:xfrm>
              <a:off x="465954" y="3814083"/>
              <a:ext cx="769468" cy="775580"/>
            </a:xfrm>
            <a:prstGeom prst="rect">
              <a:avLst/>
            </a:prstGeom>
          </xdr:spPr>
        </xdr:pic>
      </xdr:grpSp>
      <xdr:grpSp>
        <xdr:nvGrpSpPr>
          <xdr:cNvPr id="59" name="Group 58">
            <a:extLst>
              <a:ext uri="{FF2B5EF4-FFF2-40B4-BE49-F238E27FC236}">
                <a16:creationId xmlns:a16="http://schemas.microsoft.com/office/drawing/2014/main" id="{A130C158-3736-6F01-42D5-6B8273BBD106}"/>
              </a:ext>
            </a:extLst>
          </xdr:cNvPr>
          <xdr:cNvGrpSpPr/>
        </xdr:nvGrpSpPr>
        <xdr:grpSpPr>
          <a:xfrm>
            <a:off x="274692" y="3269818"/>
            <a:ext cx="3175624" cy="902746"/>
            <a:chOff x="231396" y="2867172"/>
            <a:chExt cx="3175624" cy="902746"/>
          </a:xfrm>
        </xdr:grpSpPr>
        <xdr:sp macro="" textlink="">
          <xdr:nvSpPr>
            <xdr:cNvPr id="60" name="Rectangle: Rounded Corners 59">
              <a:hlinkClick xmlns:r="http://schemas.openxmlformats.org/officeDocument/2006/relationships" r:id="rId37"/>
              <a:extLst>
                <a:ext uri="{FF2B5EF4-FFF2-40B4-BE49-F238E27FC236}">
                  <a16:creationId xmlns:a16="http://schemas.microsoft.com/office/drawing/2014/main" id="{919E3243-B014-5918-2890-C91EA6D7B8A3}"/>
                </a:ext>
              </a:extLst>
            </xdr:cNvPr>
            <xdr:cNvSpPr/>
          </xdr:nvSpPr>
          <xdr:spPr>
            <a:xfrm>
              <a:off x="231396" y="2867172"/>
              <a:ext cx="3175624" cy="902746"/>
            </a:xfrm>
            <a:prstGeom prst="roundRect">
              <a:avLst/>
            </a:prstGeom>
            <a:solidFill>
              <a:schemeClr val="accent1"/>
            </a:solidFill>
            <a:ln w="9525">
              <a:solidFill>
                <a:schemeClr val="bg1"/>
              </a:solidFill>
            </a:ln>
          </xdr:spPr>
          <xdr:style>
            <a:lnRef idx="1">
              <a:schemeClr val="accent5"/>
            </a:lnRef>
            <a:fillRef idx="2">
              <a:schemeClr val="accent5"/>
            </a:fillRef>
            <a:effectRef idx="1">
              <a:schemeClr val="accent5"/>
            </a:effectRef>
            <a:fontRef idx="minor">
              <a:schemeClr val="dk1"/>
            </a:fontRef>
          </xdr:style>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lang="en-US" sz="1400" b="1">
                  <a:solidFill>
                    <a:schemeClr val="bg1"/>
                  </a:solidFill>
                  <a:latin typeface="Georgia" panose="02040502050405020303" pitchFamily="18" charset="0"/>
                  <a:ea typeface="+mn-ea"/>
                  <a:cs typeface="+mn-cs"/>
                </a:rPr>
                <a:t>Fund Group Detail</a:t>
              </a:r>
            </a:p>
          </xdr:txBody>
        </xdr:sp>
        <xdr:pic>
          <xdr:nvPicPr>
            <xdr:cNvPr id="61" name="Graphic 60" descr="Soundwave with solid fill">
              <a:hlinkClick xmlns:r="http://schemas.openxmlformats.org/officeDocument/2006/relationships" r:id="rId37"/>
              <a:extLst>
                <a:ext uri="{FF2B5EF4-FFF2-40B4-BE49-F238E27FC236}">
                  <a16:creationId xmlns:a16="http://schemas.microsoft.com/office/drawing/2014/main" id="{397A1987-5BF1-2A99-81A8-539B61C852DE}"/>
                </a:ext>
              </a:extLst>
            </xdr:cNvPr>
            <xdr:cNvPicPr>
              <a:picLocks noChangeAspect="1"/>
            </xdr:cNvPicPr>
          </xdr:nvPicPr>
          <xdr:blipFill>
            <a:blip xmlns:r="http://schemas.openxmlformats.org/officeDocument/2006/relationships" r:embed="rId38">
              <a:extLst>
                <a:ext uri="{96DAC541-7B7A-43D3-8B79-37D633B846F1}">
                  <asvg:svgBlip xmlns:asvg="http://schemas.microsoft.com/office/drawing/2016/SVG/main" r:embed="rId39"/>
                </a:ext>
              </a:extLst>
            </a:blip>
            <a:stretch>
              <a:fillRect/>
            </a:stretch>
          </xdr:blipFill>
          <xdr:spPr>
            <a:xfrm>
              <a:off x="465954" y="2909719"/>
              <a:ext cx="769468" cy="775580"/>
            </a:xfrm>
            <a:prstGeom prst="rect">
              <a:avLst/>
            </a:prstGeom>
          </xdr:spPr>
        </xdr:pic>
      </xdr:grp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C30035-290B-4A36-9A70-00E20B0E1D7C}" name="FTSEHRI" displayName="FTSEHRI" ref="H7:Q78" totalsRowCount="1" headerRowDxfId="1273" dataDxfId="1271" totalsRowDxfId="1269" headerRowBorderDxfId="1272" tableBorderDxfId="1270" totalsRowBorderDxfId="1268">
  <tableColumns count="10">
    <tableColumn id="1" xr3:uid="{9A8BDD15-1774-4EAA-98D3-2D1D271E8F72}" name="Academic Institutions" dataDxfId="1267" totalsRowDxfId="1266"/>
    <tableColumn id="2" xr3:uid="{330FB3E6-F4CB-499B-A7B9-FD7620164B14}" name="FICE" dataDxfId="1265" totalsRowDxfId="1264"/>
    <tableColumn id="5" xr3:uid="{D960A9A9-75A5-43A2-BDCB-F0E92BAE54DC}" name="Undergraduate" totalsRowFunction="custom" dataDxfId="1263" totalsRowDxfId="1262">
      <totalsRowFormula>SUM(J8,J13,J19,J29,J39,J40,J44,J53,J60,J67,J72,J75,J76,J77)</totalsRowFormula>
    </tableColumn>
    <tableColumn id="6" xr3:uid="{06DF275B-3F21-43C1-AE0F-8B6D043B7A98}" name="Master's¹" totalsRowFunction="custom" dataDxfId="1261" totalsRowDxfId="1260">
      <totalsRowFormula>SUM(K8,K13,K19,K29,K39,K40,K44,K53,K60,K67,K72,K75,K76,K77)</totalsRowFormula>
    </tableColumn>
    <tableColumn id="7" xr3:uid="{A18CA5CE-E6DF-4B45-9AD5-C885989DA730}" name="Doctoral" totalsRowFunction="custom" dataDxfId="1259" totalsRowDxfId="1258">
      <totalsRowFormula>SUM(L8,L13,L19,L29,L39,L40,L44,L53,L60,L67,L72,L75,L76,L77)</totalsRowFormula>
    </tableColumn>
    <tableColumn id="8" xr3:uid="{6ED46FE2-3ABB-4936-9779-8FB9524B4B4C}" name="Total" totalsRowFunction="custom" dataDxfId="1257" totalsRowDxfId="1256">
      <totalsRowFormula>SUM(M8,M13,M19,M29,M39,M40,M44,M53,M60,M67,M72,M75,M76,M77)</totalsRowFormula>
    </tableColumn>
    <tableColumn id="9" xr3:uid="{44898CBA-8A82-443D-83CD-0B81EE526A1D}" name="Prof &amp; Special-Prof Headcount" totalsRowFunction="custom" dataDxfId="1255" totalsRowDxfId="1254">
      <totalsRowFormula>SUM(N8,N13,N19,N29,N39,N40,N44,N53,N60,N67,N72,N75,N76,N77)</totalsRowFormula>
    </tableColumn>
    <tableColumn id="11" xr3:uid="{684484BB-B52A-4E6B-AB34-E66C8C5BCE50}" name="Full-Time Student_x000a_Equivalents²" totalsRowFunction="custom" dataDxfId="1253" totalsRowDxfId="1252">
      <calculatedColumnFormula>ROUND(SUM(FTSEHRI[[#This Row],[Undergraduate]]/30,FTSEHRI[[#This Row],[Master''s¹]]/24,FTSEHRI[[#This Row],[Doctoral]]/18),0)</calculatedColumnFormula>
      <totalsRowFormula>SUM(O8,O13,O19,O29,O39,O40,O44,O53,O60,O67,O72,O75,O76,O77)</totalsRowFormula>
    </tableColumn>
    <tableColumn id="3" xr3:uid="{B8ED61DA-2A75-4C1E-9A4D-82E04470BC4A}" name="State Funded _x000a_FTSE³" totalsRowFunction="custom" dataDxfId="1251" totalsRowDxfId="1250">
      <totalsRowFormula>SUM(P8,P13,P19,P29,P39,P40,P44,P53,P60,P67,P72,P75,P76,P77)</totalsRowFormula>
    </tableColumn>
    <tableColumn id="4" xr3:uid="{62435489-C9B9-4B28-8B22-A05CFB3060D8}" name="T/TT Fall_x000a_Faculty FTE⁴" totalsRowFunction="custom" dataDxfId="1249" totalsRowDxfId="1248">
      <totalsRowFormula>SUM(Q8,Q13,Q19,Q29,Q39,Q40,Q44,Q53,Q60,Q67,Q72,Q75,Q76,Q77)</totalsRowFormula>
    </tableColumn>
  </tableColumns>
  <tableStyleInfo name="Standar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04C7259-5A5C-4293-91C1-114F64A64D01}" name="FTSETSTC" displayName="FTSETSTC" ref="H87:P97" totalsRowCount="1" headerRowDxfId="1247" dataDxfId="1245" totalsRowDxfId="1244" headerRowBorderDxfId="1246" totalsRowBorderDxfId="1243">
  <autoFilter ref="H87:P96" xr:uid="{804C7259-5A5C-4293-91C1-114F64A64D01}"/>
  <sortState xmlns:xlrd2="http://schemas.microsoft.com/office/spreadsheetml/2017/richdata2" ref="H88:P96">
    <sortCondition ref="H84:H93"/>
  </sortState>
  <tableColumns count="9">
    <tableColumn id="1" xr3:uid="{190A2C90-9810-4207-93A2-B861E06F78D1}" name="Academic Institutions" dataDxfId="1242" totalsRowDxfId="1241"/>
    <tableColumn id="2" xr3:uid="{8776920A-3EB3-4550-94DC-DCEB613FFF04}" name="FICE" dataDxfId="1240" totalsRowDxfId="1239" dataCellStyle="FICE"/>
    <tableColumn id="3" xr3:uid="{18B207C1-14DD-492C-BC2A-907CA5B3F981}" name="Academic_x000a_ SCH" totalsRowFunction="sum" dataDxfId="1238" totalsRowDxfId="1237"/>
    <tableColumn id="4" xr3:uid="{7D1D34A2-B7A3-4C52-B0E3-0A097EC5630B}" name="Technical_x000a_ SCH" totalsRowFunction="sum" dataDxfId="1236" totalsRowDxfId="1235"/>
    <tableColumn id="5" xr3:uid="{37DE253B-93E3-41D9-85E1-CA30BB1E1F14}" name="BAT SCH" totalsRowFunction="sum" dataDxfId="1234" totalsRowDxfId="1233"/>
    <tableColumn id="6" xr3:uid="{7A398916-ED36-48F4-8724-43711770C898}" name="Continuing Ed. SCH" totalsRowFunction="sum" dataDxfId="1232" totalsRowDxfId="1231"/>
    <tableColumn id="11" xr3:uid="{BCC08B68-E67C-4154-8BC6-71B4D4DB2E7F}" name="Full-Time Student_x000a_Equivalents1" totalsRowFunction="sum" dataDxfId="1230" totalsRowDxfId="1229"/>
    <tableColumn id="7" xr3:uid="{A7AF0D0E-73A2-4123-851F-12C04E2EA3C2}" name="State Funded _x000a_FTSE²" totalsRowLabel="16,522.21" dataDxfId="1228" totalsRowDxfId="1227"/>
    <tableColumn id="8" xr3:uid="{EC5FADF2-9F02-46A9-AB9E-27037CA4F169}" name="Fall _x000a_Faculty FTE" totalsRowFunction="sum" dataDxfId="1226" totalsRowDxfId="1225"/>
  </tableColumns>
  <tableStyleInfo name="Standard"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B094412-737E-4A14-B4F4-3622FDE7119C}" name="FTSEUNIV" displayName="FTSEUNIV" ref="H103:Q140" totalsRowCount="1" headerRowDxfId="1224" dataDxfId="1222" totalsRowDxfId="1220" headerRowBorderDxfId="1223" tableBorderDxfId="1221" totalsRowBorderDxfId="1219">
  <autoFilter ref="H103:Q139" xr:uid="{4B094412-737E-4A14-B4F4-3622FDE7119C}"/>
  <tableColumns count="10">
    <tableColumn id="1" xr3:uid="{9665F775-4804-4E62-9B07-5E587D2EEADC}" name="Academic Institutions" dataDxfId="1218" totalsRowDxfId="1217"/>
    <tableColumn id="3" xr3:uid="{1F1FEB44-B6F2-4F0B-B615-FFCF6F4511CF}" name="FICE" dataDxfId="1216" totalsRowDxfId="1215" dataCellStyle="FICE"/>
    <tableColumn id="4" xr3:uid="{0C7C9C3B-C011-41DE-80B6-5B2DBE0E202B}" name="Undergraduate" totalsRowFunction="sum" dataDxfId="1214" totalsRowDxfId="1213"/>
    <tableColumn id="5" xr3:uid="{B9852217-DC7F-4483-9C7B-390166727FCE}" name="Master's" totalsRowFunction="sum" dataDxfId="1212" totalsRowDxfId="1211"/>
    <tableColumn id="6" xr3:uid="{6E2F9CEE-33A6-46B2-BACB-5AAA77A2F110}" name="Doctoral" totalsRowFunction="sum" dataDxfId="1210" totalsRowDxfId="1209"/>
    <tableColumn id="7" xr3:uid="{4E3DB217-D3EC-4E16-8C2A-9461A5D8AC11}" name="Professional &amp; Special-Prof" totalsRowFunction="sum" dataDxfId="1208" totalsRowDxfId="1207"/>
    <tableColumn id="8" xr3:uid="{E55E61F4-3F50-4C1E-BFFE-36484C31875E}" name="Optometry" totalsRowFunction="sum" dataDxfId="1206" totalsRowDxfId="1205"/>
    <tableColumn id="9" xr3:uid="{04BF2A5E-FCC5-4D59-BD00-BFEC19EB6A59}" name="Full-Time Student_x000a_Equivalents¹" totalsRowFunction="sum" dataDxfId="1204" totalsRowDxfId="1203"/>
    <tableColumn id="10" xr3:uid="{5FAA0AB5-11BE-441E-AC7B-3C8571D6CCBD}" name="State Funded _x000a_FTSE²" totalsRowFunction="sum" dataDxfId="1202" totalsRowDxfId="1201"/>
    <tableColumn id="11" xr3:uid="{96A9C79F-6B39-4C79-BE60-04E66C09B90A}" name="T/TT Fall_x000a_Faculty FTE³" totalsRowFunction="sum" dataDxfId="1200" totalsRowDxfId="1199"/>
  </tableColumns>
  <tableStyleInfo name="Standard"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3ADCC0-ECDA-4182-A99D-998E6ECECED6}" name="Input" displayName="Input" ref="A1:VP80" totalsRowShown="0" headerRowDxfId="1198" dataDxfId="1197" headerRowCellStyle="Normal" dataCellStyle="Normal">
  <tableColumns count="588">
    <tableColumn id="1" xr3:uid="{B03F75C4-93E4-463B-9542-6F30278706C8}" name="Institution Name" dataDxfId="1196" totalsRowDxfId="1195" dataCellStyle="Normal"/>
    <tableColumn id="587" xr3:uid="{B1853FE3-0F0C-4202-8754-D4455275E5F8}" name="System" dataDxfId="1194" totalsRowDxfId="1193" dataCellStyle="Normal"/>
    <tableColumn id="588" xr3:uid="{4E36D8C5-1B72-4F3F-8727-259A455BB7DA}" name="Type" dataDxfId="1192" totalsRowDxfId="1191" dataCellStyle="Normal"/>
    <tableColumn id="589" xr3:uid="{4A529835-D997-4601-A12A-1A2E27772F54}" name="Sort" dataDxfId="1190" totalsRowDxfId="1189" dataCellStyle="Normal"/>
    <tableColumn id="590" xr3:uid="{FF4610DC-A2B6-4D3A-A04F-7B971913BCAE}" name="Status" dataDxfId="1188" totalsRowDxfId="1187" dataCellStyle="Normal"/>
    <tableColumn id="592" xr3:uid="{D828DBD8-E1CE-4334-B4EB-CBED0717CCDF}" name="FICE" dataDxfId="1186" totalsRowDxfId="1185" dataCellStyle="Normal"/>
    <tableColumn id="2" xr3:uid="{C7C2A0EE-E112-485E-9D1E-B3D8F95987E2}" name="St. Ap. E &amp; G" dataDxfId="1184" totalsRowDxfId="1183" dataCellStyle="Normal"/>
    <tableColumn id="3" xr3:uid="{DD1B20FD-4462-400D-AB9F-4AF84C474902}" name="St. Ap. Desg" dataDxfId="1182" totalsRowDxfId="1181" dataCellStyle="Normal"/>
    <tableColumn id="4" xr3:uid="{87E7C9FB-DD14-4DDA-8F16-DC51ABCE26A7}" name="St. Ap. Aux" dataDxfId="1180" totalsRowDxfId="1179" dataCellStyle="Normal"/>
    <tableColumn id="5" xr3:uid="{90A39B93-4C97-4B9A-B25D-1E9380D0F039}" name="St. Ap. R Exp" dataDxfId="1178" totalsRowDxfId="1177" dataCellStyle="Normal"/>
    <tableColumn id="6" xr3:uid="{E1CC3257-0F8D-4CA7-A992-52664F6E2824}" name="St. Ap. Loan" dataDxfId="1176" totalsRowDxfId="1175" dataCellStyle="Normal"/>
    <tableColumn id="7" xr3:uid="{DD950840-E1C2-4337-B226-F113EEEFE63C}" name="St. Ap. Annuity" dataDxfId="1174" totalsRowDxfId="1173" dataCellStyle="Normal"/>
    <tableColumn id="8" xr3:uid="{DBF3BDF6-B7EB-4A02-BA15-9B79805BCC5A}" name="St. Ap. Unexp" dataDxfId="1172" totalsRowDxfId="1171" dataCellStyle="Normal"/>
    <tableColumn id="9" xr3:uid="{44C3B573-0FE8-4F00-B822-EC36997580B1}" name="St. Ap. R of Ind" dataDxfId="1170" totalsRowDxfId="1169" dataCellStyle="Normal"/>
    <tableColumn id="10" xr3:uid="{D6A6C03E-36B1-42DE-8325-4B0BDDC59D0D}" name="St. Ap. Inv in P" dataDxfId="1168" totalsRowDxfId="1167" dataCellStyle="Normal"/>
    <tableColumn id="11" xr3:uid="{80908B4E-3709-4636-AEE9-F771560DFF0E}" name="St. C&amp;G E&amp;G" dataDxfId="1166" totalsRowDxfId="1165" dataCellStyle="Normal"/>
    <tableColumn id="12" xr3:uid="{446C8FB7-ED66-44A7-BB05-14B6B3DEFC7D}" name="St. C&amp;G Desg" dataDxfId="1164" totalsRowDxfId="1163" dataCellStyle="Normal"/>
    <tableColumn id="13" xr3:uid="{1ABAE609-AE12-4396-9AF7-A727C5F26E41}" name="St. C&amp;G Aux" dataDxfId="1162" totalsRowDxfId="1161" dataCellStyle="Normal"/>
    <tableColumn id="14" xr3:uid="{D22416B3-4D99-4635-A0E2-2539454E349F}" name="St. C&amp;G R Exp" dataDxfId="1160" totalsRowDxfId="1159" dataCellStyle="Normal"/>
    <tableColumn id="15" xr3:uid="{583541BC-FA75-44CF-ADE5-5DF59FA6C362}" name="St. C&amp;G Loan" dataDxfId="1158" totalsRowDxfId="1157" dataCellStyle="Normal"/>
    <tableColumn id="16" xr3:uid="{DB013F74-3768-4AE4-BA24-E1F82B789A7E}" name="St. C&amp;G Annuity" dataDxfId="1156" totalsRowDxfId="1155" dataCellStyle="Normal"/>
    <tableColumn id="17" xr3:uid="{2831E765-6D41-4A86-ABC7-80EAC696305D}" name="St. C&amp;G Unexp" dataDxfId="1154" totalsRowDxfId="1153" dataCellStyle="Normal"/>
    <tableColumn id="18" xr3:uid="{89FF71B8-5B79-4A47-A6EA-D607B86E720A}" name="St. C&amp;G R of Ind" dataDxfId="1152" totalsRowDxfId="1151" dataCellStyle="Normal"/>
    <tableColumn id="19" xr3:uid="{891D76D5-DA0B-4DCE-BE57-8CE131FBC920}" name="St. C&amp;G Inv in P" dataDxfId="1150" totalsRowDxfId="1149" dataCellStyle="Normal"/>
    <tableColumn id="20" xr3:uid="{460828C9-E78A-4F2A-9217-0B30076430B7}" name="HEF E&amp;G" dataDxfId="1148" totalsRowDxfId="1147" dataCellStyle="Normal"/>
    <tableColumn id="21" xr3:uid="{73DF99CA-4772-401B-A472-090412BE8623}" name="HEF Desg" dataDxfId="1146" totalsRowDxfId="1145" dataCellStyle="Normal"/>
    <tableColumn id="22" xr3:uid="{E24651DF-58E1-4F8D-8F2D-CC1EB408F182}" name="HEF Aux" dataDxfId="1144" totalsRowDxfId="1143" dataCellStyle="Normal"/>
    <tableColumn id="23" xr3:uid="{BF29FEE2-411E-4289-B04C-3CE6F95F9802}" name="HEF R Exp" dataDxfId="1142" totalsRowDxfId="1141" dataCellStyle="Normal"/>
    <tableColumn id="24" xr3:uid="{4A44DF01-B169-4BBA-B92C-FBF387BF3FE5}" name="HEF Loan" dataDxfId="1140" totalsRowDxfId="1139" dataCellStyle="Normal"/>
    <tableColumn id="25" xr3:uid="{6AE635BC-5D49-493F-B1CE-4F98418E502B}" name="HEF Annuity" dataDxfId="1138" totalsRowDxfId="1137" dataCellStyle="Normal"/>
    <tableColumn id="26" xr3:uid="{715D9AD8-44E2-4B6F-BA9E-32C06626A4C4}" name="HEF Unexp" dataDxfId="1136" totalsRowDxfId="1135" dataCellStyle="Normal"/>
    <tableColumn id="27" xr3:uid="{B15945F0-2694-4466-B38B-49A02FEC812E}" name="HEF R of Ind" dataDxfId="1134" totalsRowDxfId="1133" dataCellStyle="Normal"/>
    <tableColumn id="28" xr3:uid="{3CBEF0DA-B317-47DD-84D9-F9C0DBDE91BF}" name="HEF Inv in P" dataDxfId="1132" totalsRowDxfId="1131" dataCellStyle="Normal"/>
    <tableColumn id="29" xr3:uid="{BF704B2E-CFC0-45DD-A72A-A080B351E11D}" name="Available E&amp;G" dataDxfId="1130" totalsRowDxfId="1129" dataCellStyle="Normal"/>
    <tableColumn id="30" xr3:uid="{5917CA4E-AA18-447E-B513-BDE5043BF732}" name="Available Desg" dataDxfId="1128" totalsRowDxfId="1127" dataCellStyle="Normal"/>
    <tableColumn id="31" xr3:uid="{A0BFFC05-3949-4574-BBE8-39F434CB76B9}" name="Available Aux" dataDxfId="1126" totalsRowDxfId="1125" dataCellStyle="Normal"/>
    <tableColumn id="32" xr3:uid="{1B7773B8-2298-4468-BBFB-CB2948B59C11}" name="Available R Exp" dataDxfId="1124" totalsRowDxfId="1123" dataCellStyle="Normal"/>
    <tableColumn id="33" xr3:uid="{CDE3335A-25B0-4E2C-85A7-84A44A572E07}" name="Available Loan" dataDxfId="1122" totalsRowDxfId="1121" dataCellStyle="Normal"/>
    <tableColumn id="34" xr3:uid="{3CC733FD-DD26-4020-A514-92F9229DAD5C}" name="Available Annuity" dataDxfId="1120" totalsRowDxfId="1119" dataCellStyle="Normal"/>
    <tableColumn id="35" xr3:uid="{F7C8570A-800B-4E6E-8EF5-41061CA8A3AA}" name="Available Unexp" dataDxfId="1118" totalsRowDxfId="1117" dataCellStyle="Normal"/>
    <tableColumn id="36" xr3:uid="{8882BBC8-1712-48F3-8A0F-6FCC4A397E8C}" name="Available R of Ind" dataDxfId="1116" totalsRowDxfId="1115" dataCellStyle="Normal"/>
    <tableColumn id="37" xr3:uid="{31C71EC6-5458-4D57-9FBB-EC3FABE81522}" name="Available Inv in P" dataDxfId="1114" totalsRowDxfId="1113" dataCellStyle="Normal"/>
    <tableColumn id="38" xr3:uid="{8D0F6600-79D5-44D0-AADE-B8481325D80E}" name="T. W. - Stat (NR AFR) E&amp;G" dataDxfId="1112" totalsRowDxfId="1111" dataCellStyle="Normal"/>
    <tableColumn id="39" xr3:uid="{05EAB7AB-A7EE-46F5-9B2F-F244D6AF670D}" name="T. W. - Stat (NR AFR) Desg" dataDxfId="1110" totalsRowDxfId="1109" dataCellStyle="Normal"/>
    <tableColumn id="40" xr3:uid="{5A5FB156-371D-43F4-968A-1FD7C1FFF99C}" name="T. W. - Stat (NR AFR) Aux" dataDxfId="1108" totalsRowDxfId="1107" dataCellStyle="Normal"/>
    <tableColumn id="41" xr3:uid="{0010C9F4-7820-46E4-AE3E-7422DE6DCE47}" name="T. W. - Stat (NR AFR) R Exp" dataDxfId="1106" totalsRowDxfId="1105" dataCellStyle="Normal"/>
    <tableColumn id="42" xr3:uid="{9CDF9AAF-618D-46F0-8E60-62F32CD5AFD1}" name="T. W. - Stat (NR AFR) Loan" dataDxfId="1104" totalsRowDxfId="1103" dataCellStyle="Normal"/>
    <tableColumn id="43" xr3:uid="{D8AAFCB1-426F-4BF9-B23D-9753E5A14AFB}" name="T. W. - Stat (NR AFR) Annuity" dataDxfId="1102" totalsRowDxfId="1101" dataCellStyle="Normal"/>
    <tableColumn id="44" xr3:uid="{252416C2-B33B-49C7-9AB2-15F7285A4810}" name="T. W. - Stat (NR AFR) Unexp" dataDxfId="1100" totalsRowDxfId="1099" dataCellStyle="Normal"/>
    <tableColumn id="45" xr3:uid="{D36E98E4-5428-4103-9FD3-3132D5F666EF}" name="T. W. - Stat (NR AFR) R of Ind" dataDxfId="1098" totalsRowDxfId="1097" dataCellStyle="Normal"/>
    <tableColumn id="46" xr3:uid="{29FFA29C-AD4B-4D6E-A404-D7E60EF7F00A}" name="T. W. - Stat (NR AFR) Inv in P" dataDxfId="1096" totalsRowDxfId="1095" dataCellStyle="Normal"/>
    <tableColumn id="47" xr3:uid="{21890EBF-AA16-4CED-AB43-5E0EE61C2C9F}" name="T. W. - Inst. (NR AFR) E&amp;G" dataDxfId="1094" totalsRowDxfId="1093" dataCellStyle="Normal"/>
    <tableColumn id="48" xr3:uid="{8E7F334E-E779-4D92-8633-59EC04F53ED3}" name="T. W. - Inst. (NR AFR) Desg" dataDxfId="1092" totalsRowDxfId="1091" dataCellStyle="Normal"/>
    <tableColumn id="49" xr3:uid="{BAE73BC7-C8F1-493F-9EA2-EE7E1A797148}" name="T. W. - Inst. (NR AFR) Aux" dataDxfId="1090" totalsRowDxfId="1089" dataCellStyle="Normal"/>
    <tableColumn id="50" xr3:uid="{908C2232-F2DA-487A-9CA7-D687C8A59204}" name="T. W. - Inst. (NR AFR) R Exp" dataDxfId="1088" totalsRowDxfId="1087" dataCellStyle="Normal"/>
    <tableColumn id="51" xr3:uid="{75A581AC-9697-4C0C-AE3C-5EEED3E57793}" name="T. W. - Inst. (NR AFR) Loan" dataDxfId="1086" totalsRowDxfId="1085" dataCellStyle="Normal"/>
    <tableColumn id="52" xr3:uid="{38EF4290-B0DF-4B88-8E4D-A5CDE00E7BCC}" name="T. W. - Inst. (NR AFR) Annuity" dataDxfId="1084" totalsRowDxfId="1083" dataCellStyle="Normal"/>
    <tableColumn id="53" xr3:uid="{DBB9B20B-C82D-4080-A915-5AAA61103645}" name="T. W. - Inst. (NR AFR) Unexp" dataDxfId="1082" totalsRowDxfId="1081" dataCellStyle="Normal"/>
    <tableColumn id="54" xr3:uid="{8B4D406C-FB97-4881-9529-843AD6A77B3E}" name="T. W. - Inst. (NR AFR) R of Ind" dataDxfId="1080" totalsRowDxfId="1079" dataCellStyle="Normal"/>
    <tableColumn id="55" xr3:uid="{3E6C14A3-35F9-414E-AFA9-33CFC2C0F6E2}" name="T. W. - Inst. (NR AFR) Inv in P" dataDxfId="1078" totalsRowDxfId="1077" dataCellStyle="Normal"/>
    <tableColumn id="56" xr3:uid="{4A5E5050-6F21-47FC-A968-3A0B6029F0DF}" name="T. Exp. - Stat (NR AFR) E&amp;G" dataDxfId="1076" totalsRowDxfId="1075" dataCellStyle="Normal"/>
    <tableColumn id="57" xr3:uid="{4141F37B-1538-4B9E-A096-F5F24FD41CCB}" name="T. Exp. - Stat (NR AFR) Desg" dataDxfId="1074" totalsRowDxfId="1073" dataCellStyle="Normal"/>
    <tableColumn id="58" xr3:uid="{B8138BB1-5421-4524-9C35-6BA0AFDDEC0B}" name="T. Exp. - Stat (NR AFR) Aux" dataDxfId="1072" totalsRowDxfId="1071" dataCellStyle="Normal"/>
    <tableColumn id="59" xr3:uid="{ACC2B5C1-B01C-499B-BEDD-C1955DEB0381}" name="T. Exp. - Stat (NR AFR) R Exp" dataDxfId="1070" totalsRowDxfId="1069" dataCellStyle="Normal"/>
    <tableColumn id="60" xr3:uid="{C64D2011-8EF3-43B2-95F3-080C001F53F6}" name="T. Exp. - Stat (NR AFR) Loan" dataDxfId="1068" totalsRowDxfId="1067" dataCellStyle="Normal"/>
    <tableColumn id="61" xr3:uid="{C5F877A3-4A19-42AE-BE03-9EC1B63B0751}" name="T. Exp. - Stat (NR AFR) Annuity" dataDxfId="1066" totalsRowDxfId="1065" dataCellStyle="Normal"/>
    <tableColumn id="62" xr3:uid="{01191426-1738-4998-A2B5-4CE8F55A9D0A}" name="T. Exp. - Stat (NR AFR) Unexp" dataDxfId="1064" totalsRowDxfId="1063" dataCellStyle="Normal"/>
    <tableColumn id="63" xr3:uid="{55E2189F-DC13-4EA2-84D1-67941013A120}" name="T. Exp. - Stat (NR AFR) R of Ind" dataDxfId="1062" totalsRowDxfId="1061" dataCellStyle="Normal"/>
    <tableColumn id="64" xr3:uid="{7769A883-F6D4-4B63-8B46-FB6418EA9C6E}" name="T. Exp. - Stat (NR AFR) Inv in P" dataDxfId="1060" totalsRowDxfId="1059" dataCellStyle="Normal"/>
    <tableColumn id="65" xr3:uid="{C33A968B-6335-4E59-A1B0-1BBE4633784C}" name="T. Exp. - Inst. (NR AFR) E&amp;G" dataDxfId="1058" totalsRowDxfId="1057" dataCellStyle="Normal"/>
    <tableColumn id="66" xr3:uid="{1E35D336-031B-429D-868D-1844221B952A}" name="T. Exp. - Inst. (NR AFR) Desg" dataDxfId="1056" totalsRowDxfId="1055" dataCellStyle="Normal"/>
    <tableColumn id="67" xr3:uid="{502C50E6-4312-4290-8204-96E7B2EEB8A8}" name="T. Exp. - Inst. (NR AFR) Aux" dataDxfId="1054" totalsRowDxfId="1053" dataCellStyle="Normal"/>
    <tableColumn id="68" xr3:uid="{EECE0BAC-CEB1-4AFE-B0F7-09E446A9D97A}" name="T. Exp. - Inst. (NR AFR) R Exp" dataDxfId="1052" totalsRowDxfId="1051" dataCellStyle="Normal"/>
    <tableColumn id="69" xr3:uid="{F8ED12BA-8628-4E82-BD14-E31B5179DACC}" name="T. Exp. - Inst. (NR AFR) Loan" dataDxfId="1050" totalsRowDxfId="1049" dataCellStyle="Normal"/>
    <tableColumn id="70" xr3:uid="{33E40C1D-B81B-46A8-B6D3-2A55A7250923}" name="T. Exp. - Inst. (NR AFR) Annuity" dataDxfId="1048" totalsRowDxfId="1047" dataCellStyle="Normal"/>
    <tableColumn id="71" xr3:uid="{8743C3B2-2C40-4DEF-A55A-AE5E7656C977}" name="T. Exp. - Inst. (NR AFR) Unexp" dataDxfId="1046" totalsRowDxfId="1045" dataCellStyle="Normal"/>
    <tableColumn id="72" xr3:uid="{FAF93A77-690E-4A1D-995D-DF2CCB9CDC36}" name="T. Exp. - Inst. (NR AFR) R of Ind" dataDxfId="1044" totalsRowDxfId="1043" dataCellStyle="Normal"/>
    <tableColumn id="73" xr3:uid="{77E7EB26-97A8-4699-AC84-EB16C558BD69}" name="T. Exp. - Inst. (NR AFR) Inv in P" dataDxfId="1042" totalsRowDxfId="1041" dataCellStyle="Normal"/>
    <tableColumn id="74" xr3:uid="{522C91F2-CBF1-4C9F-BD5D-2371E05FF787}" name="T. - Gross E&amp;G" dataDxfId="1040" totalsRowDxfId="1039" dataCellStyle="Normal"/>
    <tableColumn id="75" xr3:uid="{4432860D-11E5-4A4C-BD68-DD1600013A47}" name="T. - Gross Desg" dataDxfId="1038" totalsRowDxfId="1037" dataCellStyle="Normal"/>
    <tableColumn id="76" xr3:uid="{860748E1-0E6D-483B-853C-575651212354}" name="T. - Gross Aux" dataDxfId="1036" totalsRowDxfId="1035" dataCellStyle="Normal"/>
    <tableColumn id="77" xr3:uid="{814CF37A-2564-4C42-A728-7580B570FF0B}" name="T. - Gross R Exp" dataDxfId="1034" totalsRowDxfId="1033" dataCellStyle="Normal"/>
    <tableColumn id="78" xr3:uid="{172BCA01-52C1-4315-A0BF-A0F4C35F39DF}" name="T. - Gross Loan" dataDxfId="1032" totalsRowDxfId="1031" dataCellStyle="Normal"/>
    <tableColumn id="79" xr3:uid="{8E398C46-B82E-47A8-9900-BAF12FD4DAAF}" name="T. - Gross Annuity" dataDxfId="1030" totalsRowDxfId="1029" dataCellStyle="Normal"/>
    <tableColumn id="80" xr3:uid="{E7537AEE-E4DE-4ACC-AC93-2BC86FCB6538}" name="T. - Gross Unexp" dataDxfId="1028" totalsRowDxfId="1027" dataCellStyle="Normal"/>
    <tableColumn id="81" xr3:uid="{80C27391-B881-4678-BC3B-763229E782DB}" name="T. - Gross R of Ind" dataDxfId="1026" totalsRowDxfId="1025" dataCellStyle="Normal"/>
    <tableColumn id="82" xr3:uid="{461488FC-560C-488C-B82B-3D27201BFEA9}" name="T. - Gross Inv in P" dataDxfId="1024" totalsRowDxfId="1023" dataCellStyle="Normal"/>
    <tableColumn id="83" xr3:uid="{0768CF9F-36FF-4952-AE74-07DF7CDCD2A3}" name="T. W. - Stat (R AFR) E&amp;G" dataDxfId="1022" totalsRowDxfId="1021" dataCellStyle="Normal"/>
    <tableColumn id="84" xr3:uid="{A80CAEAA-2EC0-49ED-8882-EBC46D335009}" name="T. W. - Stat (R AFR) Desg" dataDxfId="1020" totalsRowDxfId="1019" dataCellStyle="Normal"/>
    <tableColumn id="85" xr3:uid="{01C0C1F0-8184-4EED-9671-4BACB6164FEA}" name="T. W. - Stat (R AFR) Aux" dataDxfId="1018" totalsRowDxfId="1017" dataCellStyle="Normal"/>
    <tableColumn id="86" xr3:uid="{8DFD2E56-DD27-4213-B2E4-B802EC6A2C72}" name="T. W. - Stat (R AFR) R Exp" dataDxfId="1016" totalsRowDxfId="1015" dataCellStyle="Normal"/>
    <tableColumn id="87" xr3:uid="{A5ADAE40-6274-41C5-B79B-7A1F2F8C605F}" name="T. W. - Stat (R AFR) Loan" dataDxfId="1014" totalsRowDxfId="1013" dataCellStyle="Normal"/>
    <tableColumn id="88" xr3:uid="{0BFC3FB8-8835-43ED-8F22-8C7628453225}" name="T. W. - Stat (R AFR) Annuity" dataDxfId="1012" totalsRowDxfId="1011" dataCellStyle="Normal"/>
    <tableColumn id="89" xr3:uid="{53F585E9-8353-4ADD-8F3B-24EB1C078C4A}" name="T. W. - Stat (R AFR) Unexp" dataDxfId="1010" totalsRowDxfId="1009" dataCellStyle="Normal"/>
    <tableColumn id="90" xr3:uid="{502CBA52-AB0B-48A2-8744-13AD27069C2E}" name="T. W. - Stat (R AFR) R of Ind" dataDxfId="1008" totalsRowDxfId="1007" dataCellStyle="Normal"/>
    <tableColumn id="91" xr3:uid="{4A7AF417-9431-4F24-ADFC-441A1F47C5F8}" name="T. W. - Stat (R AFR) Inv in P" dataDxfId="1006" totalsRowDxfId="1005" dataCellStyle="Normal"/>
    <tableColumn id="92" xr3:uid="{0D04CF5A-2376-4ED1-BD76-18A3346E2452}" name="T. W. - Inst. (R AFR) E&amp;G" dataDxfId="1004" totalsRowDxfId="1003" dataCellStyle="Normal"/>
    <tableColumn id="93" xr3:uid="{A595B566-DD2A-4081-A2E2-C55AAFA19DE6}" name="T. W. - Inst. (R AFR) Desg" dataDxfId="1002" totalsRowDxfId="1001" dataCellStyle="Normal"/>
    <tableColumn id="94" xr3:uid="{3DCFAC9F-4C42-483C-8C48-F128307FA689}" name="T. W. - Inst. (R AFR) Aux" dataDxfId="1000" totalsRowDxfId="999" dataCellStyle="Normal"/>
    <tableColumn id="95" xr3:uid="{30102F6A-3354-4A73-888C-DCD2E5B99F1D}" name="T. W. - Inst. (R AFR) R Exp" dataDxfId="998" totalsRowDxfId="997" dataCellStyle="Normal"/>
    <tableColumn id="96" xr3:uid="{DAD3FF51-3306-4D4F-8478-990DCA82526E}" name="T. W. - Inst. (R AFR) Loan" dataDxfId="996" totalsRowDxfId="995" dataCellStyle="Normal"/>
    <tableColumn id="97" xr3:uid="{057D0BB5-AD07-4D4F-B374-B44337F575A0}" name="T. W. - Inst. (R AFR) Annuity" dataDxfId="994" totalsRowDxfId="993" dataCellStyle="Normal"/>
    <tableColumn id="98" xr3:uid="{1467B8D6-D0BC-4096-ADD5-30C68BFC85EC}" name="T. W. - Inst. (R AFR) Unexp" dataDxfId="992" totalsRowDxfId="991" dataCellStyle="Normal"/>
    <tableColumn id="99" xr3:uid="{4AFA80B7-EB4E-4FEA-A62F-ED8965248C51}" name="T. W. - Inst. (R AFR) R of Ind" dataDxfId="990" totalsRowDxfId="989" dataCellStyle="Normal"/>
    <tableColumn id="100" xr3:uid="{8DC2766C-C14E-41FB-976C-A626243FC87C}" name="T. W. - Inst. (R AFR) Inv in P" dataDxfId="988" totalsRowDxfId="987" dataCellStyle="Normal"/>
    <tableColumn id="101" xr3:uid="{97DB043F-79DB-4E44-94D2-7C15E96B08EA}" name="T. Exp. - Stat (R AFR) E&amp;G" dataDxfId="986" totalsRowDxfId="985" dataCellStyle="Normal"/>
    <tableColumn id="102" xr3:uid="{3DD29544-6185-4BAE-AD5F-6B9D58301E7A}" name="T. Exp. - Stat (R AFR) Desg" dataDxfId="984" totalsRowDxfId="983" dataCellStyle="Normal"/>
    <tableColumn id="103" xr3:uid="{3EB19614-BB22-4C9C-BEEC-064CF1A242B8}" name="T. Exp. - Stat (R AFR) Aux" dataDxfId="982" totalsRowDxfId="981" dataCellStyle="Normal"/>
    <tableColumn id="104" xr3:uid="{AAC1FD52-72A2-449F-AB38-FD043FD4EF77}" name="T. Exp. - Stat (R AFR) R Exp" dataDxfId="980" totalsRowDxfId="979" dataCellStyle="Normal"/>
    <tableColumn id="105" xr3:uid="{E7D7F23A-C6FE-4960-90A9-B45337E0CA3E}" name="T. Exp. - Stat (R AFR) Loan" dataDxfId="978" totalsRowDxfId="977" dataCellStyle="Normal"/>
    <tableColumn id="106" xr3:uid="{1278FA67-6F11-456D-B786-0C5432341DBF}" name="T. Exp. - Stat (R AFR) Annuity" dataDxfId="976" totalsRowDxfId="975" dataCellStyle="Normal"/>
    <tableColumn id="107" xr3:uid="{DB43083F-FCE4-42A7-A411-A50E5628B625}" name="T. Exp. - Stat (R AFR) Unexp" dataDxfId="974" totalsRowDxfId="973" dataCellStyle="Normal"/>
    <tableColumn id="108" xr3:uid="{FF9ECB31-AC6E-4FDC-8674-52B2EE3F19F4}" name="T. Exp. - Stat (R AFR) R of Ind" dataDxfId="972" totalsRowDxfId="971" dataCellStyle="Normal"/>
    <tableColumn id="109" xr3:uid="{2C776571-116F-4F28-9D9B-84BE47D7576F}" name="T. Exp. - Stat (R AFR) Inv in P" dataDxfId="970" totalsRowDxfId="969" dataCellStyle="Normal"/>
    <tableColumn id="110" xr3:uid="{CFB00391-4032-4CEB-BAED-43D1D4DD4166}" name="T. Exp. - Inst. (R AFR) E&amp;G" dataDxfId="968" totalsRowDxfId="967" dataCellStyle="Normal"/>
    <tableColumn id="111" xr3:uid="{2EB35CBC-82B4-4836-A076-2ACF7A6528EF}" name="T. Exp. - Inst. (R AFR) Desg" dataDxfId="966" totalsRowDxfId="965" dataCellStyle="Normal"/>
    <tableColumn id="112" xr3:uid="{EC242BCB-E1B8-4857-8A15-DA7954AEF736}" name="T. Exp. - Inst. (R AFR) Aux" dataDxfId="964" totalsRowDxfId="963" dataCellStyle="Normal"/>
    <tableColumn id="113" xr3:uid="{E747A71D-F26D-4420-A013-1F62E4ACBB1E}" name="T. Exp. - Inst. (R AFR) R Exp" dataDxfId="962" totalsRowDxfId="961" dataCellStyle="Normal"/>
    <tableColumn id="114" xr3:uid="{C7830F13-FE45-45ED-8EE8-6AA9839C09B5}" name="T. Exp. - Inst. (R AFR) Loan" dataDxfId="960" totalsRowDxfId="959" dataCellStyle="Normal"/>
    <tableColumn id="115" xr3:uid="{6A2BC650-EBC2-4ECC-BE3F-4C492CFAC9C8}" name="T. Exp. - Inst. (R AFR) Annuity" dataDxfId="958" totalsRowDxfId="957" dataCellStyle="Normal"/>
    <tableColumn id="116" xr3:uid="{9F80C470-9B0E-4D8D-A33D-D8D30BCCD391}" name="T. Exp. - Inst. (R AFR) Unexp" dataDxfId="956" totalsRowDxfId="955" dataCellStyle="Normal"/>
    <tableColumn id="117" xr3:uid="{5A04E33A-0187-4D2C-9DBB-97D3E15672F4}" name="T. Exp. - Inst. (R AFR) R of Ind" dataDxfId="954" totalsRowDxfId="953" dataCellStyle="Normal"/>
    <tableColumn id="118" xr3:uid="{609E6B22-E9AB-45E6-9E01-E7B5A23A6F39}" name="T. Exp. - Inst. (R AFR) Inv in P" dataDxfId="952" totalsRowDxfId="951" dataCellStyle="Normal"/>
    <tableColumn id="119" xr3:uid="{7A75EDA7-06C1-46CF-9503-B3FB006C0B23}" name="T. Schlr E&amp;G" dataDxfId="950" totalsRowDxfId="949" dataCellStyle="Normal"/>
    <tableColumn id="120" xr3:uid="{4B52ECAB-9FFE-46A1-95AF-0D46D94681C1}" name="T. Schlr Desg" dataDxfId="948" totalsRowDxfId="947" dataCellStyle="Normal"/>
    <tableColumn id="121" xr3:uid="{F8F7C693-7356-4D1E-B3AB-307098891D63}" name="T. Schlr Aux" dataDxfId="946" totalsRowDxfId="945" dataCellStyle="Normal"/>
    <tableColumn id="122" xr3:uid="{7CACD5F5-8C4F-403B-8038-0AC52A479EFF}" name="T. Schlr R Exp" dataDxfId="944" totalsRowDxfId="943" dataCellStyle="Normal"/>
    <tableColumn id="123" xr3:uid="{BF40E135-9A26-42F4-A183-D4A7FDCF63AF}" name="T. Schlr Loan" dataDxfId="942" totalsRowDxfId="941" dataCellStyle="Normal"/>
    <tableColumn id="124" xr3:uid="{F8E8E1AE-546A-4B47-8407-F385320331E9}" name="T. Schlr Annuity" dataDxfId="940" totalsRowDxfId="939" dataCellStyle="Normal"/>
    <tableColumn id="125" xr3:uid="{F0568B57-CB2D-4ECE-8960-2A8A289084AA}" name="T. Schlr Unexp" dataDxfId="938" totalsRowDxfId="937" dataCellStyle="Normal"/>
    <tableColumn id="126" xr3:uid="{8A429A82-4F83-422D-A322-A3D098AA295C}" name="T. Schlr R of Ind" dataDxfId="936" totalsRowDxfId="935" dataCellStyle="Normal"/>
    <tableColumn id="127" xr3:uid="{7D730A84-9C12-4798-8238-D11F5A974CF3}" name="T. Schlr Inv in P" dataDxfId="934" totalsRowDxfId="933" dataCellStyle="Normal"/>
    <tableColumn id="128" xr3:uid="{B9A8B75B-D2AF-43C3-A902-19CC194DC469}" name="F. W. - Stat (NR AFR) E&amp;G" dataDxfId="932" totalsRowDxfId="931" dataCellStyle="Normal"/>
    <tableColumn id="129" xr3:uid="{6210F484-1FFD-4402-B3AC-929511D08896}" name="F. W. - Stat (NR AFR) Desg" dataDxfId="930" totalsRowDxfId="929" dataCellStyle="Normal"/>
    <tableColumn id="130" xr3:uid="{BE7C3903-D29F-4214-B0ED-A2D305B708CA}" name="F. W. - Stat (NR AFR) Aux" dataDxfId="928" totalsRowDxfId="927" dataCellStyle="Normal"/>
    <tableColumn id="131" xr3:uid="{17D25FCD-FA0C-4082-848F-21D290F1A5F2}" name="F. W. - Stat (NR AFR) R Exp" dataDxfId="926" totalsRowDxfId="925" dataCellStyle="Normal"/>
    <tableColumn id="132" xr3:uid="{D2014687-C661-451F-A483-B056E7D0EC60}" name="F. W. - Stat (NR AFR) Loan" dataDxfId="924" totalsRowDxfId="923" dataCellStyle="Normal"/>
    <tableColumn id="133" xr3:uid="{C46DCC04-2029-4B9B-B0F2-3D72E0AB8E6C}" name="F. W. - Stat (NR AFR) Annuity" dataDxfId="922" totalsRowDxfId="921" dataCellStyle="Normal"/>
    <tableColumn id="134" xr3:uid="{5DF5D22D-2A5B-46BE-9939-022693F3DF95}" name="F. W. - Stat (NR AFR) Unexp" dataDxfId="920" totalsRowDxfId="919" dataCellStyle="Normal"/>
    <tableColumn id="135" xr3:uid="{73882A50-9316-4160-88CF-264B95FC7DC6}" name="F. W. - Stat (NR AFR) R of Ind" dataDxfId="918" totalsRowDxfId="917" dataCellStyle="Normal"/>
    <tableColumn id="136" xr3:uid="{6CF5918D-1D28-4AB2-AC10-92504CB97C16}" name="F. W. - Stat (NR AFR) Inv in P" dataDxfId="916" totalsRowDxfId="915" dataCellStyle="Normal"/>
    <tableColumn id="137" xr3:uid="{8EEF5659-E2DE-4089-B9D2-4AB82276736B}" name="F. W. - Inst. (NR AFR) E&amp;G" dataDxfId="914" totalsRowDxfId="913" dataCellStyle="Normal"/>
    <tableColumn id="138" xr3:uid="{C45883FE-F5C2-4330-A805-824B02538DE7}" name="F. W. - Inst. (NR AFR) Desg" dataDxfId="912" totalsRowDxfId="911" dataCellStyle="Normal"/>
    <tableColumn id="139" xr3:uid="{F84D540D-664F-4DD9-A805-CC72828D0BA2}" name="F. W. - Inst. (NR AFR) Aux" dataDxfId="910" totalsRowDxfId="909" dataCellStyle="Normal"/>
    <tableColumn id="140" xr3:uid="{F8F0550E-FBFE-4BA8-8815-BF328E4FDB84}" name="F. W. - Inst. (NR AFR) R Exp" dataDxfId="908" totalsRowDxfId="907" dataCellStyle="Normal"/>
    <tableColumn id="141" xr3:uid="{D2C7C077-A235-422C-852E-D1EC213092F8}" name="F. W. - Inst. (NR AFR) Loan" dataDxfId="906" totalsRowDxfId="905" dataCellStyle="Normal"/>
    <tableColumn id="142" xr3:uid="{9E7F3AFC-D8B3-49F8-A10E-CEFA10B3386C}" name="F. W. - Inst. (NR AFR) Annuity" dataDxfId="904" totalsRowDxfId="903" dataCellStyle="Normal"/>
    <tableColumn id="143" xr3:uid="{87C68584-7952-4429-B43B-7897BAEEC5E1}" name="F. W. - Inst. (NR AFR) Unexp" dataDxfId="902" totalsRowDxfId="901" dataCellStyle="Normal"/>
    <tableColumn id="144" xr3:uid="{8EA47DEC-1A29-48F0-98FF-F2BF0A5C7788}" name="F. W. - Inst. (NR AFR) R of Ind" dataDxfId="900" totalsRowDxfId="899" dataCellStyle="Normal"/>
    <tableColumn id="145" xr3:uid="{EAB12A3C-DBD3-44D8-AB7C-7ED4310663C2}" name="F. W. - Inst. (NR AFR) Inv in P" dataDxfId="898" totalsRowDxfId="897" dataCellStyle="Normal"/>
    <tableColumn id="146" xr3:uid="{8FA4861F-5471-4CC2-AA2E-052D545A1E1C}" name="F. Exp. - Stat (NR AFR) E&amp;G" dataDxfId="896" totalsRowDxfId="895" dataCellStyle="Normal"/>
    <tableColumn id="147" xr3:uid="{D1FD5A32-B788-4C5A-9613-C82D9A2B2E4F}" name="F. Exp. - Stat (NR AFR) Desg" dataDxfId="894" totalsRowDxfId="893" dataCellStyle="Normal"/>
    <tableColumn id="148" xr3:uid="{E8218C1B-AEC3-4503-97DD-37598910EAE6}" name="F. Exp. - Stat (NR AFR) Aux" dataDxfId="892" totalsRowDxfId="891" dataCellStyle="Normal"/>
    <tableColumn id="149" xr3:uid="{77980F8D-96BD-47FC-86FA-8CFDB182802D}" name="F. Exp. - Stat (NR AFR) R Exp" dataDxfId="890" totalsRowDxfId="889" dataCellStyle="Normal"/>
    <tableColumn id="150" xr3:uid="{18F39467-32DF-48C0-A0EB-F15A503D2E76}" name="F. Exp. - Stat (NR AFR) Loan" dataDxfId="888" totalsRowDxfId="887" dataCellStyle="Normal"/>
    <tableColumn id="151" xr3:uid="{4037CBCC-002A-4840-80A1-444F0175767A}" name="F. Exp. - Stat (NR AFR) Annuity" dataDxfId="886" totalsRowDxfId="885" dataCellStyle="Normal"/>
    <tableColumn id="152" xr3:uid="{CD8532C7-8327-4F48-B488-489F735F5CDB}" name="F. Exp. - Stat (NR AFR) Unexp" dataDxfId="884" totalsRowDxfId="883" dataCellStyle="Normal"/>
    <tableColumn id="153" xr3:uid="{FC8B9CBC-CE12-422C-A70E-616D7C529CD1}" name="F. Exp. - Stat (NR AFR) R of Ind" dataDxfId="882" totalsRowDxfId="881" dataCellStyle="Normal"/>
    <tableColumn id="154" xr3:uid="{BE660D2B-54A0-40FA-9EE4-C3FE564993D6}" name="F. Exp. - Stat (NR AFR) Inv in P" dataDxfId="880" totalsRowDxfId="879" dataCellStyle="Normal"/>
    <tableColumn id="155" xr3:uid="{6CA3A2FD-3ACA-4058-B020-017871978D84}" name="F. Exp. - Inst. (NR AFR) E&amp;G" dataDxfId="878" totalsRowDxfId="877" dataCellStyle="Normal"/>
    <tableColumn id="156" xr3:uid="{358972EF-12FE-4334-87E9-A7C50D85FB58}" name="F. Exp. - Inst. (NR AFR) Desg" dataDxfId="876" totalsRowDxfId="875" dataCellStyle="Normal"/>
    <tableColumn id="157" xr3:uid="{E53EF947-4311-48BF-86B2-41BB0B29E603}" name="F. Exp. - Inst. (NR AFR) Aux" dataDxfId="874" totalsRowDxfId="873" dataCellStyle="Normal"/>
    <tableColumn id="158" xr3:uid="{499BC397-25C4-46E2-94CE-351E10F35985}" name="F. Exp. - Inst. (NR AFR) R Exp" dataDxfId="872" totalsRowDxfId="871" dataCellStyle="Normal"/>
    <tableColumn id="159" xr3:uid="{17685175-711A-43F3-A470-10408FBB2B52}" name="F. Exp. - Inst. (NR AFR) Loan" dataDxfId="870" totalsRowDxfId="869" dataCellStyle="Normal"/>
    <tableColumn id="160" xr3:uid="{B6C513DB-7F16-4626-BD17-24C92FD6A72C}" name="F. Exp. - Inst. (NR AFR) Annuity" dataDxfId="868" totalsRowDxfId="867" dataCellStyle="Normal"/>
    <tableColumn id="161" xr3:uid="{C8C5E55E-3B51-4556-A547-1E20B837CCE5}" name="F. Exp. - Inst. (NR AFR) Unexp" dataDxfId="866" totalsRowDxfId="865" dataCellStyle="Normal"/>
    <tableColumn id="162" xr3:uid="{30F60A3B-2503-4D04-A25C-95D0F8B57A3D}" name="F. Exp. - Inst. (NR AFR) R of Ind" dataDxfId="864" totalsRowDxfId="863" dataCellStyle="Normal"/>
    <tableColumn id="163" xr3:uid="{2B692E8D-2782-409F-B6A0-164EDBCA822B}" name="F. Exp. - Inst. (NR AFR) Inv in P" dataDxfId="862" totalsRowDxfId="861" dataCellStyle="Normal"/>
    <tableColumn id="164" xr3:uid="{1862C170-E48D-4AB3-A150-D7486E3CF241}" name="Fees - Gross E&amp;G" dataDxfId="860" totalsRowDxfId="859" dataCellStyle="Normal"/>
    <tableColumn id="165" xr3:uid="{6702AADF-4E35-4B24-80B1-D5F83DDEB51D}" name="Fees - Gross Desg" dataDxfId="858" totalsRowDxfId="857" dataCellStyle="Normal"/>
    <tableColumn id="166" xr3:uid="{1279931B-1AB6-4BFF-AD52-4368E3012569}" name="Fees - Gross Aux" dataDxfId="856" totalsRowDxfId="855" dataCellStyle="Normal"/>
    <tableColumn id="167" xr3:uid="{91ED6C67-65CD-46F8-AB3F-05AD4545001C}" name="Fees - Gross R Exp" dataDxfId="854" totalsRowDxfId="853" dataCellStyle="Normal"/>
    <tableColumn id="168" xr3:uid="{F60F9D04-31FC-4D57-8E29-7DE45F426E75}" name="Fees - Gross Loan" dataDxfId="852" totalsRowDxfId="851" dataCellStyle="Normal"/>
    <tableColumn id="169" xr3:uid="{11629A61-7DD5-467D-B712-451FEA170258}" name="Fees - Gross Annuity" dataDxfId="850" totalsRowDxfId="849" dataCellStyle="Normal"/>
    <tableColumn id="170" xr3:uid="{989ECA65-23D8-45B7-A088-97708C366C96}" name="Fees - Gross Unexp" dataDxfId="848" totalsRowDxfId="847" dataCellStyle="Normal"/>
    <tableColumn id="171" xr3:uid="{86AE4B8B-369F-49F5-B47B-98F93D8973F4}" name="Fees - Gross R of Ind" dataDxfId="846" totalsRowDxfId="845" dataCellStyle="Normal"/>
    <tableColumn id="172" xr3:uid="{DD20EC5F-EEC2-4BFF-84E0-2D45822618D8}" name="Fees - Gross Inv in P" dataDxfId="844" totalsRowDxfId="843" dataCellStyle="Normal"/>
    <tableColumn id="173" xr3:uid="{53079375-B2A7-4BD9-B113-894831FFCE78}" name="F. W. - Stat (R AFR) E&amp;G" dataDxfId="842" totalsRowDxfId="841" dataCellStyle="Normal"/>
    <tableColumn id="174" xr3:uid="{B334ADDA-C073-475D-9B17-8ADBD2C97BD6}" name="F. W. - Stat (R AFR) Desg" dataDxfId="840" totalsRowDxfId="839" dataCellStyle="Normal"/>
    <tableColumn id="175" xr3:uid="{A279C7AB-1AFC-4C01-9163-83B5D6E4F2EB}" name="F. W. - Stat (R AFR) Aux" dataDxfId="838" totalsRowDxfId="837" dataCellStyle="Normal"/>
    <tableColumn id="176" xr3:uid="{FE7B550D-A291-434F-B6F3-C5DC2667E783}" name="F. W. - Stat (R AFR) R Exp" dataDxfId="836" totalsRowDxfId="835" dataCellStyle="Normal"/>
    <tableColumn id="177" xr3:uid="{04823FC9-FC09-4FD1-ABDD-9C9D9059F401}" name="F. W. - Stat (R AFR) Loan" dataDxfId="834" totalsRowDxfId="833" dataCellStyle="Normal"/>
    <tableColumn id="178" xr3:uid="{B71745C4-16A7-421A-8FA0-26435E794413}" name="F. W. - Stat (R AFR) Annuity" dataDxfId="832" totalsRowDxfId="831" dataCellStyle="Normal"/>
    <tableColumn id="179" xr3:uid="{7197E7F6-7AC6-43CD-BD3C-4A982134D75F}" name="F. W. - Stat (R AFR) Unexp" dataDxfId="830" totalsRowDxfId="829" dataCellStyle="Normal"/>
    <tableColumn id="180" xr3:uid="{30A27032-D964-45A9-B8FF-130E72A016D9}" name="F. W. - Stat (R AFR) R of Ind" dataDxfId="828" totalsRowDxfId="827" dataCellStyle="Normal"/>
    <tableColumn id="181" xr3:uid="{0B2BCDCA-91BA-4676-A280-60E598152051}" name="F. W. - Stat (R AFR) Inv in P" dataDxfId="826" totalsRowDxfId="825" dataCellStyle="Normal"/>
    <tableColumn id="182" xr3:uid="{B8455669-E868-44D8-A4F6-E60F318C3583}" name="F. W. - Inst. (R AFR) E&amp;G" dataDxfId="824" totalsRowDxfId="823" dataCellStyle="Normal"/>
    <tableColumn id="183" xr3:uid="{0BF5A7B6-61E5-4A60-BB88-F868FEB1D446}" name="F. W. - Inst. (R AFR) Desg" dataDxfId="822" totalsRowDxfId="821" dataCellStyle="Normal"/>
    <tableColumn id="184" xr3:uid="{D2B47ACB-47B9-4473-8F95-F7D708DF42E7}" name="F. W. - Inst. (R AFR) Aux" dataDxfId="820" totalsRowDxfId="819" dataCellStyle="Normal"/>
    <tableColumn id="185" xr3:uid="{A0D87D14-0217-4301-B44E-943B8E47979D}" name="F. W. - Inst. (R AFR) R Exp" dataDxfId="818" totalsRowDxfId="817" dataCellStyle="Normal"/>
    <tableColumn id="186" xr3:uid="{F278F114-FD06-41C8-ADEA-1F8C198BDB21}" name="F. W. - Inst. (R AFR) Loan" dataDxfId="816" totalsRowDxfId="815" dataCellStyle="Normal"/>
    <tableColumn id="187" xr3:uid="{4F654616-186B-4CC0-B8BD-71057A2D70D8}" name="F. W. - Inst. (R AFR) Annuity" dataDxfId="814" totalsRowDxfId="813" dataCellStyle="Normal"/>
    <tableColumn id="188" xr3:uid="{E6073258-FE67-4002-9882-BC42C17B4AB2}" name="F. W. - Inst. (R AFR) Unexp" dataDxfId="812" totalsRowDxfId="811" dataCellStyle="Normal"/>
    <tableColumn id="189" xr3:uid="{6D0A648B-BC67-4DCD-813C-9B67A060F7B7}" name="F. W. - Inst. (R AFR) R of Ind" dataDxfId="810" totalsRowDxfId="809" dataCellStyle="Normal"/>
    <tableColumn id="190" xr3:uid="{CBC6E023-4067-48A3-83A3-3B6231E85686}" name="F. W. - Inst. (R AFR) Inv in P" dataDxfId="808" totalsRowDxfId="807" dataCellStyle="Normal"/>
    <tableColumn id="191" xr3:uid="{70025895-80F3-43DC-838C-57EA803680B6}" name="F. Exp. - Stat (R AFR) E&amp;G" dataDxfId="806" totalsRowDxfId="805" dataCellStyle="Normal"/>
    <tableColumn id="192" xr3:uid="{9D179E43-1A37-4F4A-A70E-5540941D9286}" name="F. Exp. - Stat (R AFR) Desg" dataDxfId="804" totalsRowDxfId="803" dataCellStyle="Normal"/>
    <tableColumn id="193" xr3:uid="{75EAC683-8FD7-4FF0-8B7C-D553BA6BE198}" name="F. Exp. - Stat (R AFR) Aux" dataDxfId="802" totalsRowDxfId="801" dataCellStyle="Normal"/>
    <tableColumn id="194" xr3:uid="{CCA11EB9-6F73-48F4-B3A6-B543423B1B6E}" name="F. Exp. - Stat (R AFR) R Exp" dataDxfId="800" totalsRowDxfId="799" dataCellStyle="Normal"/>
    <tableColumn id="195" xr3:uid="{A64F2D75-ABE9-41BC-86FF-E3A8459DD86E}" name="F. Exp. - Stat (R AFR) Loan" dataDxfId="798" totalsRowDxfId="797" dataCellStyle="Normal"/>
    <tableColumn id="196" xr3:uid="{B4FCE818-4540-48A3-AF5E-E341F425B79A}" name="F. Exp. - Stat (R AFR) Annuity" dataDxfId="796" totalsRowDxfId="795" dataCellStyle="Normal"/>
    <tableColumn id="197" xr3:uid="{365681D8-A39E-4AF2-8CF7-1FEAF4ACE4DE}" name="F. Exp. - Stat (R AFR) Unexp" dataDxfId="794" totalsRowDxfId="793" dataCellStyle="Normal"/>
    <tableColumn id="198" xr3:uid="{7E23F9EB-15E1-455B-828C-976E46178932}" name="F. Exp. - Stat (R AFR) R of Ind" dataDxfId="792" totalsRowDxfId="791" dataCellStyle="Normal"/>
    <tableColumn id="199" xr3:uid="{EB4C605D-5238-4460-9AEF-7BC16FF5D082}" name="F. Exp. - Stat (R AFR) Inv in P" dataDxfId="790" totalsRowDxfId="789" dataCellStyle="Normal"/>
    <tableColumn id="200" xr3:uid="{A1F31481-A0CF-495C-92CE-EC58D1A1C996}" name="F. Exp. - Inst. (R AFR) E&amp;G" dataDxfId="788" totalsRowDxfId="787" dataCellStyle="Normal"/>
    <tableColumn id="201" xr3:uid="{66D8AD19-64C6-4BA3-B5A4-0321B23311E5}" name="F. Exp. - Inst. (R AFR) Desg" dataDxfId="786" totalsRowDxfId="785" dataCellStyle="Normal"/>
    <tableColumn id="202" xr3:uid="{89E8909F-2FBF-44FB-A413-86A0A799EEB1}" name="F. Exp. - Inst. (R AFR) Aux" dataDxfId="784" totalsRowDxfId="783" dataCellStyle="Normal"/>
    <tableColumn id="203" xr3:uid="{C228747C-9345-4FCB-9DF0-5A64CA0D5FAA}" name="F. Exp. - Inst. (R AFR) R Exp" dataDxfId="782" totalsRowDxfId="781" dataCellStyle="Normal"/>
    <tableColumn id="204" xr3:uid="{28254572-292C-4469-B4A9-7F86B7BE025E}" name="F. Exp. - Inst. (R AFR) Loan" dataDxfId="780" totalsRowDxfId="779" dataCellStyle="Normal"/>
    <tableColumn id="205" xr3:uid="{79ADD1BD-1477-4143-80FB-1178BF88ECB6}" name="F. Exp. - Inst. (R AFR) Annuity" dataDxfId="778" totalsRowDxfId="777" dataCellStyle="Normal"/>
    <tableColumn id="206" xr3:uid="{88F0FF2F-990C-4139-8D82-29C561B8D1EA}" name="F. Exp. - Inst. (R AFR) Unexp" dataDxfId="776" totalsRowDxfId="775" dataCellStyle="Normal"/>
    <tableColumn id="207" xr3:uid="{1DC33327-B451-46F6-BC7D-54031B5A4850}" name="F. Exp. - Inst. (R AFR) R of Ind" dataDxfId="774" totalsRowDxfId="773" dataCellStyle="Normal"/>
    <tableColumn id="208" xr3:uid="{A2C61985-D242-46C0-8263-8AC383EE6BD2}" name="F. Exp. - Inst. (R AFR) Inv in P" dataDxfId="772" totalsRowDxfId="771" dataCellStyle="Normal"/>
    <tableColumn id="209" xr3:uid="{53643854-EDF5-46E8-9DB3-8F4DE9C18892}" name="Fee Schlr E&amp;G" dataDxfId="770" totalsRowDxfId="769" dataCellStyle="Normal"/>
    <tableColumn id="210" xr3:uid="{8E2936C8-FFF5-4745-B96D-B78762193DE0}" name="Fee Schlr Desg" dataDxfId="768" totalsRowDxfId="767" dataCellStyle="Normal"/>
    <tableColumn id="211" xr3:uid="{1887A427-90BF-4602-8235-ABB1C5452C31}" name="Fee Schlr Aux" dataDxfId="766" totalsRowDxfId="765" dataCellStyle="Normal"/>
    <tableColumn id="212" xr3:uid="{7BE971D7-6889-4FA6-88B8-1E4B8638C2EB}" name="Fee Schlr R Exp" dataDxfId="764" totalsRowDxfId="763" dataCellStyle="Normal"/>
    <tableColumn id="213" xr3:uid="{5E57EA86-AFB5-46A2-9D78-A358CEDE0D95}" name="Fee Schlr Loan" dataDxfId="762" totalsRowDxfId="761" dataCellStyle="Normal"/>
    <tableColumn id="214" xr3:uid="{B3CCD9D2-DF11-442D-8F29-BBA073F0249A}" name="Fee Schlr Annuity" dataDxfId="760" totalsRowDxfId="759" dataCellStyle="Normal"/>
    <tableColumn id="215" xr3:uid="{61238202-5656-4A69-9610-758A85C78C93}" name="Fee Schlr Unexp" dataDxfId="758" totalsRowDxfId="757" dataCellStyle="Normal"/>
    <tableColumn id="216" xr3:uid="{6B479ABF-B357-49ED-A87F-E0FDAF410134}" name="Fee Schlr R of Ind" dataDxfId="756" totalsRowDxfId="755" dataCellStyle="Normal"/>
    <tableColumn id="217" xr3:uid="{59F276B4-BCE3-4C70-BB06-797BF9A2192C}" name="Fee Schlr Inv in P" dataDxfId="754" totalsRowDxfId="753" dataCellStyle="Normal"/>
    <tableColumn id="218" xr3:uid="{1BB42E62-3DE6-409D-B170-C6584287877E}" name="Fed G&amp;C E&amp;G" dataDxfId="752" totalsRowDxfId="751" dataCellStyle="Normal"/>
    <tableColumn id="219" xr3:uid="{717D544B-7B77-4B06-9CF8-968423EDF9D8}" name="Fed G&amp;C Desg" dataDxfId="750" totalsRowDxfId="749" dataCellStyle="Normal"/>
    <tableColumn id="220" xr3:uid="{3AD302F4-7C50-4B6C-B9EF-25D24502309C}" name="Fed G&amp;C Aux" dataDxfId="748" totalsRowDxfId="747" dataCellStyle="Normal"/>
    <tableColumn id="221" xr3:uid="{DEE876CA-D4C4-44FA-A67C-047FFA4D2B65}" name="Fed G&amp;C R Exp" dataDxfId="746" totalsRowDxfId="745" dataCellStyle="Normal"/>
    <tableColumn id="222" xr3:uid="{35DCEF93-6BBF-4A87-9DDC-ECC27676F2A1}" name="Fed G&amp;C Loan" dataDxfId="744" totalsRowDxfId="743" dataCellStyle="Normal"/>
    <tableColumn id="223" xr3:uid="{9B46E8C0-EA31-4ED3-A55B-37443D66726A}" name="Fed G&amp;C Annuity" dataDxfId="742" totalsRowDxfId="741" dataCellStyle="Normal"/>
    <tableColumn id="224" xr3:uid="{565B0121-A462-474D-B447-CD10CBC2C95A}" name="Fed G&amp;C Unexp" dataDxfId="740" totalsRowDxfId="739" dataCellStyle="Normal"/>
    <tableColumn id="225" xr3:uid="{4C11A793-6ECA-435B-9006-2C2F228F90AA}" name="Fed G&amp;C R of Ind" dataDxfId="738" totalsRowDxfId="737" dataCellStyle="Normal"/>
    <tableColumn id="226" xr3:uid="{8BDDC956-90B0-44EE-A1FE-330EA30CCEF3}" name="Fed G&amp;C Inv in P" dataDxfId="736" totalsRowDxfId="735" dataCellStyle="Normal"/>
    <tableColumn id="227" xr3:uid="{924BFC26-180B-49D3-9293-1554B0C5DB90}" name="Prof Fees E&amp;G" dataDxfId="734" totalsRowDxfId="733" dataCellStyle="Normal"/>
    <tableColumn id="228" xr3:uid="{2C561ED0-3022-4389-8B0C-61E8D8E07C78}" name="Prof Fees Desg" dataDxfId="732" totalsRowDxfId="731" dataCellStyle="Normal"/>
    <tableColumn id="229" xr3:uid="{E170FFFA-F8B7-4570-8029-5DD7124385B9}" name="Prof Fees Aux" dataDxfId="730" totalsRowDxfId="729" dataCellStyle="Normal"/>
    <tableColumn id="230" xr3:uid="{D000A2F7-6C69-4A91-BBEA-71E51D5B5275}" name="Prof Fees R Exp" dataDxfId="728" totalsRowDxfId="727" dataCellStyle="Normal"/>
    <tableColumn id="231" xr3:uid="{B26C0FC8-DE77-4C60-A254-61A45D5DC39A}" name="Prof Fees Loan" dataDxfId="726" totalsRowDxfId="725" dataCellStyle="Normal"/>
    <tableColumn id="232" xr3:uid="{E55D1B02-0A46-4540-BAA3-9072B027056E}" name="Prof Fees Annuity" dataDxfId="724" totalsRowDxfId="723" dataCellStyle="Normal"/>
    <tableColumn id="233" xr3:uid="{226579B8-6508-415E-A620-2CDF37B0759C}" name="Prof Fees Unexp" dataDxfId="722" totalsRowDxfId="721" dataCellStyle="Normal"/>
    <tableColumn id="234" xr3:uid="{F0C9D4B5-45CF-4D81-B0A0-976380501A40}" name="Prof Fees R of Ind" dataDxfId="720" totalsRowDxfId="719" dataCellStyle="Normal"/>
    <tableColumn id="235" xr3:uid="{18B5735A-6531-49F4-97AF-78A0325662F9}" name="Prof Fees Inv in P" dataDxfId="718" totalsRowDxfId="717" dataCellStyle="Normal"/>
    <tableColumn id="236" xr3:uid="{208471E1-004B-4878-96CA-04F2ECE69A76}" name="H&amp;C E&amp;G" dataDxfId="716" totalsRowDxfId="715" dataCellStyle="Normal"/>
    <tableColumn id="237" xr3:uid="{462856C4-C4DE-47C4-88AD-383CB61315A9}" name="H&amp;C Desg" dataDxfId="714" totalsRowDxfId="713" dataCellStyle="Normal"/>
    <tableColumn id="238" xr3:uid="{FF889DBB-3562-473E-B87B-064358B41615}" name="H&amp;C Aux" dataDxfId="712" totalsRowDxfId="711" dataCellStyle="Normal"/>
    <tableColumn id="239" xr3:uid="{98793171-3E71-4A79-A5A5-FA6E752346EC}" name="H&amp;C R Exp" dataDxfId="710" totalsRowDxfId="709" dataCellStyle="Normal"/>
    <tableColumn id="240" xr3:uid="{880F9E1C-CA96-4A5E-ADF8-6EDFB2601D4E}" name="H&amp;C Loan" dataDxfId="708" totalsRowDxfId="707" dataCellStyle="Normal"/>
    <tableColumn id="241" xr3:uid="{7C55AA12-9B9B-4B9E-9F12-7A100E621431}" name="H&amp;C Annuity" dataDxfId="706" totalsRowDxfId="705" dataCellStyle="Normal"/>
    <tableColumn id="242" xr3:uid="{0EA232F1-8435-40C0-92AB-17980C48C6BF}" name="H&amp;C Unexp" dataDxfId="704" totalsRowDxfId="703" dataCellStyle="Normal"/>
    <tableColumn id="243" xr3:uid="{C6601E7B-130B-432F-BABB-33AB9D6799D6}" name="H&amp;C R of Ind" dataDxfId="702" totalsRowDxfId="701" dataCellStyle="Normal"/>
    <tableColumn id="244" xr3:uid="{F009E4D4-2DF4-46DD-B83C-FED4B8BD851C}" name="H&amp;C Inv in P" dataDxfId="700" totalsRowDxfId="699" dataCellStyle="Normal"/>
    <tableColumn id="245" xr3:uid="{4DC53BC0-4278-40A5-8C5C-B14FE8BFD990}" name="End &amp; Int Inc E&amp;G" dataDxfId="698" totalsRowDxfId="697" dataCellStyle="Normal"/>
    <tableColumn id="246" xr3:uid="{DFAB4BDF-34F4-485B-8D6A-C06FA9EE9830}" name="End &amp; Int Inc Desg" dataDxfId="696" totalsRowDxfId="695" dataCellStyle="Normal"/>
    <tableColumn id="247" xr3:uid="{AF0ACEB8-46C6-400D-A6F1-D935DCF339C5}" name="End &amp; Int Inc Aux" dataDxfId="694" totalsRowDxfId="693" dataCellStyle="Normal"/>
    <tableColumn id="248" xr3:uid="{8F73B3C9-85A1-4355-9132-50CE5655D198}" name="End &amp; Int Inc R Exp" dataDxfId="692" totalsRowDxfId="691" dataCellStyle="Normal"/>
    <tableColumn id="249" xr3:uid="{5A27DCDC-9637-477F-A618-65B9AA8F83FD}" name="End &amp; Int Inc Loan" dataDxfId="690" totalsRowDxfId="689" dataCellStyle="Normal"/>
    <tableColumn id="250" xr3:uid="{54AB1485-5EE1-4794-8C23-00E642E33DFB}" name="End &amp; Int Inc Annuity" dataDxfId="688" totalsRowDxfId="687" dataCellStyle="Normal"/>
    <tableColumn id="251" xr3:uid="{635CBB05-AD2D-466A-AF7A-7D088EA292E8}" name="End &amp; Int Inc Unexp" dataDxfId="686" totalsRowDxfId="685" dataCellStyle="Normal"/>
    <tableColumn id="252" xr3:uid="{F8B1A4E5-A713-44ED-A663-691D7802FF94}" name="End &amp; Int Inc R of Ind" dataDxfId="684" totalsRowDxfId="683" dataCellStyle="Normal"/>
    <tableColumn id="253" xr3:uid="{7CA8C205-2F19-4CA3-A776-8A77C2974C02}" name="End &amp; Int Inc Inv in P" dataDxfId="682" totalsRowDxfId="681" dataCellStyle="Normal"/>
    <tableColumn id="254" xr3:uid="{993B1C93-24BA-4372-A9B1-81E28444BC31}" name="Loc Gov G E&amp;G" dataDxfId="680" totalsRowDxfId="679" dataCellStyle="Normal"/>
    <tableColumn id="255" xr3:uid="{DE6944DD-89FF-47AE-AFBD-A353092B10BC}" name="Loc Gov G Desg" dataDxfId="678" totalsRowDxfId="677" dataCellStyle="Normal"/>
    <tableColumn id="256" xr3:uid="{0FE1DBFD-D2BF-413D-8098-06CFAFE3BCE4}" name="Loc Gov G Aux" dataDxfId="676" totalsRowDxfId="675" dataCellStyle="Normal"/>
    <tableColumn id="257" xr3:uid="{145B4020-4CF1-4219-8AF5-4DB11AD93265}" name="Loc Gov G R Exp" dataDxfId="674" totalsRowDxfId="673" dataCellStyle="Normal"/>
    <tableColumn id="258" xr3:uid="{52353F3F-9BB6-4061-BF56-0312754483B8}" name="Loc Gov G Loan" dataDxfId="672" totalsRowDxfId="671" dataCellStyle="Normal"/>
    <tableColumn id="259" xr3:uid="{E985F392-9350-4E43-BC25-56429760F899}" name="Loc Gov G Annuity" dataDxfId="670" totalsRowDxfId="669" dataCellStyle="Normal"/>
    <tableColumn id="260" xr3:uid="{ACCAD799-EF44-45DB-8CB4-075BC77D6BE8}" name="Loc Gov G Unexp" dataDxfId="668" totalsRowDxfId="667" dataCellStyle="Normal"/>
    <tableColumn id="261" xr3:uid="{B620DE1E-388D-4D31-AF4A-67265F627307}" name="Loc Gov G R of Ind" dataDxfId="666" totalsRowDxfId="665" dataCellStyle="Normal"/>
    <tableColumn id="262" xr3:uid="{F5FBFB02-DD32-4CDF-9284-7744B86F54AD}" name="Loc Gov G Inv in P" dataDxfId="664" totalsRowDxfId="663" dataCellStyle="Normal"/>
    <tableColumn id="263" xr3:uid="{B0843CC1-1337-4CB6-9DA6-3519C14C72CB}" name="Pvt G&amp;G E&amp;G" dataDxfId="662" totalsRowDxfId="661" dataCellStyle="Normal"/>
    <tableColumn id="264" xr3:uid="{FBADA51D-B434-4DDC-9923-9FF900D275E0}" name="Pvt G&amp;G Desg" dataDxfId="660" totalsRowDxfId="659" dataCellStyle="Normal"/>
    <tableColumn id="265" xr3:uid="{27E6F351-FEC8-4E93-B252-10F7CF7CFD41}" name="Pvt G&amp;G Aux" dataDxfId="658" totalsRowDxfId="657" dataCellStyle="Normal"/>
    <tableColumn id="266" xr3:uid="{66C844B7-0446-448B-AC32-8E3695A98CAA}" name="Pvt G&amp;G R Exp" dataDxfId="656" totalsRowDxfId="655" dataCellStyle="Normal"/>
    <tableColumn id="267" xr3:uid="{2727E886-16BC-4882-976D-C9B6685E1581}" name="Pvt G&amp;G Loan" dataDxfId="654" totalsRowDxfId="653" dataCellStyle="Normal"/>
    <tableColumn id="268" xr3:uid="{2A1B22E4-6B06-458C-BCBE-9E417D9E8C95}" name="Pvt G&amp;G Annuity" dataDxfId="652" totalsRowDxfId="651" dataCellStyle="Normal"/>
    <tableColumn id="269" xr3:uid="{F058FBBB-8E07-4302-B693-CA7B17C435D0}" name="Pvt G&amp;G Unexp" dataDxfId="650" totalsRowDxfId="649" dataCellStyle="Normal"/>
    <tableColumn id="270" xr3:uid="{0014ABEC-E174-4161-BACF-2D1FCE3EEAA2}" name="Pvt G&amp;G R of Ind" dataDxfId="648" totalsRowDxfId="647" dataCellStyle="Normal"/>
    <tableColumn id="271" xr3:uid="{A0B57E55-FCBA-4DFF-8C17-BCEB9C9D9C57}" name="Pvt G&amp;G Inv in P" dataDxfId="646" totalsRowDxfId="645" dataCellStyle="Normal"/>
    <tableColumn id="272" xr3:uid="{AED1D513-C47F-4C4C-BC7F-389381989691}" name="S&amp;S E&amp;G" dataDxfId="644" totalsRowDxfId="643" dataCellStyle="Normal"/>
    <tableColumn id="273" xr3:uid="{D34D4768-7270-43D0-9DDB-AE587333CC1D}" name="S&amp;S Desg" dataDxfId="642" totalsRowDxfId="641" dataCellStyle="Normal"/>
    <tableColumn id="274" xr3:uid="{BEE32F17-C4DF-461C-9443-B9626F3F0B33}" name="S&amp;S Aux" dataDxfId="640" totalsRowDxfId="639" dataCellStyle="Normal"/>
    <tableColumn id="275" xr3:uid="{4081EB64-6F6F-4663-8FFA-BE6CD86330D6}" name="S&amp;S R Exp" dataDxfId="638" totalsRowDxfId="637" dataCellStyle="Normal"/>
    <tableColumn id="276" xr3:uid="{BD60878E-3A06-4392-9937-08227A97B92B}" name="S&amp;S Loan" dataDxfId="636" totalsRowDxfId="635" dataCellStyle="Normal"/>
    <tableColumn id="277" xr3:uid="{279C854B-EDD8-4AE5-9301-6F0BCDD03794}" name="S&amp;S Annuity" dataDxfId="634" totalsRowDxfId="633" dataCellStyle="Normal"/>
    <tableColumn id="278" xr3:uid="{9A08D4A7-9B33-4E9D-AF2D-F59D616C9532}" name="S&amp;S Unexp" dataDxfId="632" totalsRowDxfId="631" dataCellStyle="Normal"/>
    <tableColumn id="279" xr3:uid="{A0D7A3CD-3557-4CC8-BD3E-3CE507C7C2EE}" name="S&amp;S R of Ind" dataDxfId="630" totalsRowDxfId="629" dataCellStyle="Normal"/>
    <tableColumn id="280" xr3:uid="{88FE051B-92E6-4551-BE87-BE0C25DFE98A}" name="S&amp;S Inv in P" dataDxfId="628" totalsRowDxfId="627" dataCellStyle="Normal"/>
    <tableColumn id="281" xr3:uid="{BB316696-A000-458E-8BE5-D9007586A231}" name="Net Aux Ent E&amp;G" dataDxfId="626" totalsRowDxfId="625" dataCellStyle="Normal"/>
    <tableColumn id="282" xr3:uid="{DC4FFF7E-59A5-4747-92E0-04C660FE8A91}" name="Net Aux Ent Desg" dataDxfId="624" totalsRowDxfId="623" dataCellStyle="Normal"/>
    <tableColumn id="283" xr3:uid="{F2C742CC-365E-430C-9A4D-7E1EA8EBC818}" name="Net Aux Ent Aux" dataDxfId="622" totalsRowDxfId="621" dataCellStyle="Normal"/>
    <tableColumn id="284" xr3:uid="{21ADCAD2-7886-417A-9194-5C53726F3B47}" name="Net Aux Ent R Exp" dataDxfId="620" totalsRowDxfId="619" dataCellStyle="Normal"/>
    <tableColumn id="285" xr3:uid="{B241FAE2-0D5B-4CBF-876D-57764748F81C}" name="Net Aux Ent Loan" dataDxfId="618" totalsRowDxfId="617" dataCellStyle="Normal"/>
    <tableColumn id="286" xr3:uid="{7F760BC8-D962-41D1-8AB3-89DF69D2495A}" name="Net Aux Ent Annuity" dataDxfId="616" totalsRowDxfId="615" dataCellStyle="Normal"/>
    <tableColumn id="287" xr3:uid="{F49147CF-A041-4106-ADE7-AF496970DADF}" name="Net Aux Ent Unexp" dataDxfId="614" totalsRowDxfId="613" dataCellStyle="Normal"/>
    <tableColumn id="288" xr3:uid="{6D72A8A4-155B-4938-8462-4B29B5A27DEE}" name="Net Aux Ent R of Ind" dataDxfId="612" totalsRowDxfId="611" dataCellStyle="Normal"/>
    <tableColumn id="289" xr3:uid="{2D177FC6-72F5-48CA-A361-DB451302F64A}" name="Net Aux Ent Inv in P" dataDxfId="610" totalsRowDxfId="609" dataCellStyle="Normal"/>
    <tableColumn id="290" xr3:uid="{F649C665-AEE6-4D5D-82B7-65F0B0B9EB0E}" name="Oth Inc E&amp;G" dataDxfId="608" totalsRowDxfId="607" dataCellStyle="Normal"/>
    <tableColumn id="291" xr3:uid="{13C321CE-42A3-4C75-BFC9-4090992B4435}" name="Oth Inc Desg" dataDxfId="606" totalsRowDxfId="605" dataCellStyle="Normal"/>
    <tableColumn id="292" xr3:uid="{042C5D08-7513-45C0-89FC-E5B729F414BC}" name="Oth Inc Aux" dataDxfId="604" totalsRowDxfId="603" dataCellStyle="Normal"/>
    <tableColumn id="293" xr3:uid="{6834E92D-3CEB-47A9-840E-BA322D7889A9}" name="Oth Inc R Exp" dataDxfId="602" totalsRowDxfId="601" dataCellStyle="Normal"/>
    <tableColumn id="294" xr3:uid="{321AA8AC-4DB5-4F32-ABD2-B54626357122}" name="Oth Inc Loan" dataDxfId="600" totalsRowDxfId="599" dataCellStyle="Normal"/>
    <tableColumn id="295" xr3:uid="{1BF7898B-35C3-4F15-A5F9-2FFBB13AC3C9}" name="Oth Inc Annuity" dataDxfId="598" totalsRowDxfId="597" dataCellStyle="Normal"/>
    <tableColumn id="296" xr3:uid="{6BC02F0B-682B-4D2A-956C-DC1BC33DA811}" name="Oth Inc Unexp" dataDxfId="596" totalsRowDxfId="595" dataCellStyle="Normal"/>
    <tableColumn id="297" xr3:uid="{3BC580C5-2637-4F4A-843D-77A084C4B9C6}" name="Oth Inc R of Ind" dataDxfId="594" totalsRowDxfId="593" dataCellStyle="Normal"/>
    <tableColumn id="298" xr3:uid="{6CBF126B-E398-413D-9160-864DD91F96EA}" name="Oth Inc Inv in P" dataDxfId="592" totalsRowDxfId="591" dataCellStyle="Normal"/>
    <tableColumn id="299" xr3:uid="{D3A36F1A-D7EA-4F91-AC5E-1068C89B5AC3}" name="Instr E&amp;G" dataDxfId="590" totalsRowDxfId="589" dataCellStyle="Normal"/>
    <tableColumn id="300" xr3:uid="{EC650878-B8F8-4DFB-A8B4-AD1BF3CD0E0A}" name="Instr Desg" dataDxfId="588" totalsRowDxfId="587" dataCellStyle="Normal"/>
    <tableColumn id="301" xr3:uid="{523AA75A-9985-47C8-90EE-97E4C3BDC25F}" name="Instr Aux" dataDxfId="586" totalsRowDxfId="585" dataCellStyle="Normal"/>
    <tableColumn id="302" xr3:uid="{EB24BAC0-03B0-4AF8-BAA3-8F03BAB69899}" name="Instr R Exp" dataDxfId="584" totalsRowDxfId="583" dataCellStyle="Normal"/>
    <tableColumn id="303" xr3:uid="{0B56DEB1-BD73-46B3-8DA2-A46C68337A7D}" name="Instr Loan" dataDxfId="582" totalsRowDxfId="581" dataCellStyle="Normal"/>
    <tableColumn id="304" xr3:uid="{E73ACCE5-6550-4FD1-95CA-EA5B75121914}" name="Instr Annuity" dataDxfId="580" totalsRowDxfId="579" dataCellStyle="Normal"/>
    <tableColumn id="305" xr3:uid="{F9783E58-FC5E-4483-BEE7-01AD62D3C3D3}" name="Instr Unexp" dataDxfId="578" totalsRowDxfId="577" dataCellStyle="Normal"/>
    <tableColumn id="306" xr3:uid="{18406C5B-3B8B-4B9D-BC2B-B71395F76526}" name="Instr R of Ind" dataDxfId="576" totalsRowDxfId="575" dataCellStyle="Normal"/>
    <tableColumn id="307" xr3:uid="{119CCE04-DA1F-4F56-80AC-9778CFD6786C}" name="Instr Inv in P" dataDxfId="574" totalsRowDxfId="573" dataCellStyle="Normal"/>
    <tableColumn id="308" xr3:uid="{B068075D-C11E-4C65-BCD6-CC1DF6741F5A}" name="Res E&amp;G" dataDxfId="572" totalsRowDxfId="571" dataCellStyle="Normal"/>
    <tableColumn id="309" xr3:uid="{C71AA845-E1DF-4FBC-9DF0-5E9BC690EFC7}" name="Res Desg" dataDxfId="570" totalsRowDxfId="569" dataCellStyle="Normal"/>
    <tableColumn id="310" xr3:uid="{0BC98046-69EC-46F5-8AD5-245FA4980CAE}" name="Res Aux" dataDxfId="568" totalsRowDxfId="567" dataCellStyle="Normal"/>
    <tableColumn id="311" xr3:uid="{E2238129-425E-4F35-BC36-991FAF9BB6C5}" name="Res R Exp" dataDxfId="566" totalsRowDxfId="565" dataCellStyle="Normal"/>
    <tableColumn id="312" xr3:uid="{EE5A14B7-F81D-466F-AD4C-B56350915714}" name="Res Loan" dataDxfId="564" totalsRowDxfId="563" dataCellStyle="Normal"/>
    <tableColumn id="313" xr3:uid="{1E8AEC11-D30A-46DE-A77F-4CD18D9B5A6F}" name="Res Annuity" dataDxfId="562" totalsRowDxfId="561" dataCellStyle="Normal"/>
    <tableColumn id="314" xr3:uid="{3DF30AA8-3543-4B3F-A9F1-A7A4D011786D}" name="Res Unexp" dataDxfId="560" totalsRowDxfId="559" dataCellStyle="Normal"/>
    <tableColumn id="315" xr3:uid="{F6883F8A-CA9D-474A-9EC9-3FECEF980CDF}" name="Res R of Ind" dataDxfId="558" totalsRowDxfId="557" dataCellStyle="Normal"/>
    <tableColumn id="316" xr3:uid="{2602B6A3-ECD8-4540-831D-1BEAA0AE4047}" name="Res Inv in P" dataDxfId="556" totalsRowDxfId="555" dataCellStyle="Normal"/>
    <tableColumn id="317" xr3:uid="{6DDEA8C1-2B82-4350-AF26-2E8D5B76C6CD}" name="Pub Srv E&amp;G" dataDxfId="554" totalsRowDxfId="553" dataCellStyle="Normal"/>
    <tableColumn id="318" xr3:uid="{EDC4701B-474C-49B8-BAE2-0A1CB4CD5F93}" name="Pub Srv Desg" dataDxfId="552" totalsRowDxfId="551" dataCellStyle="Normal"/>
    <tableColumn id="319" xr3:uid="{01AF1441-C620-4D36-8816-7B9E3309A35C}" name="Pub Srv Aux" dataDxfId="550" totalsRowDxfId="549" dataCellStyle="Normal"/>
    <tableColumn id="320" xr3:uid="{AFE90393-F36A-4F48-AB08-82209E0ACAA7}" name="Pub Srv R Exp" dataDxfId="548" totalsRowDxfId="547" dataCellStyle="Normal"/>
    <tableColumn id="321" xr3:uid="{E61182B4-625A-4AF4-82C8-7092C4CF3AAB}" name="Pub Srv Loan" dataDxfId="546" totalsRowDxfId="545" dataCellStyle="Normal"/>
    <tableColumn id="322" xr3:uid="{8D433ACB-6DF3-4C54-8C2E-5AE7A52EA7B0}" name="Pub Srv Annuity" dataDxfId="544" totalsRowDxfId="543" dataCellStyle="Normal"/>
    <tableColumn id="323" xr3:uid="{A7B9F03C-F827-45E4-A9E6-5DF97B75B1F0}" name="Pub Srv Unexp" dataDxfId="542" totalsRowDxfId="541" dataCellStyle="Normal"/>
    <tableColumn id="324" xr3:uid="{6D636CE0-C3ED-47A7-92CA-97ABBC0FB55E}" name="Pub Srv R of Ind" dataDxfId="540" totalsRowDxfId="539" dataCellStyle="Normal"/>
    <tableColumn id="325" xr3:uid="{A5B9EFAE-B5EF-425C-BCE6-E49FB903C4EB}" name="Pub Srv Inv in P" dataDxfId="538" totalsRowDxfId="537" dataCellStyle="Normal"/>
    <tableColumn id="326" xr3:uid="{1A5D7703-9C79-419B-A313-D8CDE6A5147C}" name="H&amp;C (OU) E&amp;G" dataDxfId="536" totalsRowDxfId="535" dataCellStyle="Normal"/>
    <tableColumn id="327" xr3:uid="{1F228B19-5664-4612-989D-AAC111841A33}" name="H&amp;C (OU) Desg" dataDxfId="534" totalsRowDxfId="533" dataCellStyle="Normal"/>
    <tableColumn id="328" xr3:uid="{9D53E49A-5E90-4F3E-8240-D9334F7ABF8E}" name="H&amp;C (OU) Aux" dataDxfId="532" totalsRowDxfId="531" dataCellStyle="Normal"/>
    <tableColumn id="329" xr3:uid="{CB8E619A-1102-4DA0-B3EC-28DF35CA1AD7}" name="H&amp;C (OU) R Exp" dataDxfId="530" totalsRowDxfId="529" dataCellStyle="Normal"/>
    <tableColumn id="330" xr3:uid="{C18892FB-8E36-469A-B4E8-CBA9D3C6CF91}" name="H&amp;C (OU) Loan" dataDxfId="528" totalsRowDxfId="527" dataCellStyle="Normal"/>
    <tableColumn id="331" xr3:uid="{9359097E-74C2-4099-8138-C0E314817036}" name="H&amp;C (OU) Annuity" dataDxfId="526" totalsRowDxfId="525" dataCellStyle="Normal"/>
    <tableColumn id="332" xr3:uid="{B9F2E7D7-0A51-4519-8521-DC4DA7DC0F8B}" name="H&amp;C (OU) Unexp" dataDxfId="524" totalsRowDxfId="523" dataCellStyle="Normal"/>
    <tableColumn id="333" xr3:uid="{2DD9B108-10F1-4368-8CB2-C9FAEDD9BF3E}" name="H&amp;C (OU) R of Ind" dataDxfId="522" totalsRowDxfId="521" dataCellStyle="Normal"/>
    <tableColumn id="334" xr3:uid="{2C5B3888-9339-48C6-A33C-1780C6285F12}" name="H&amp;C (OU) Inv in P" dataDxfId="520" totalsRowDxfId="519" dataCellStyle="Normal"/>
    <tableColumn id="335" xr3:uid="{02B33A5C-1446-46FE-A1DD-BEC6523BF01A}" name="Acad Sup E&amp;G" dataDxfId="518" totalsRowDxfId="517" dataCellStyle="Normal"/>
    <tableColumn id="336" xr3:uid="{005E68F3-BED3-43BF-A8EF-2ACE14989B36}" name="Acad Sup Desg" dataDxfId="516" totalsRowDxfId="515" dataCellStyle="Normal"/>
    <tableColumn id="337" xr3:uid="{1A3D38E2-4DCB-47E9-86E3-50AB07EE47B5}" name="Acad Sup Aux" dataDxfId="514" totalsRowDxfId="513" dataCellStyle="Normal"/>
    <tableColumn id="338" xr3:uid="{DC0F3A2A-3980-452C-AC99-F6EE4664BA52}" name="Acad Sup R Exp" dataDxfId="512" totalsRowDxfId="511" dataCellStyle="Normal"/>
    <tableColumn id="339" xr3:uid="{63105BA2-EB3A-4D9D-9432-B2C1FE96D6DC}" name="Acad Sup Loan" dataDxfId="510" totalsRowDxfId="509" dataCellStyle="Normal"/>
    <tableColumn id="340" xr3:uid="{23D5FE2D-3335-4E2D-9CD9-F7FD114080DE}" name="Acad Sup Annuity" dataDxfId="508" totalsRowDxfId="507" dataCellStyle="Normal"/>
    <tableColumn id="341" xr3:uid="{A42DAAF2-3730-4D84-A1B3-3224A696AFDD}" name="Acad Sup Unexp" dataDxfId="506" totalsRowDxfId="505" dataCellStyle="Normal"/>
    <tableColumn id="342" xr3:uid="{CBC96B3D-6B46-4283-B64B-3F104EC6FED7}" name="Acad Sup R of Ind" dataDxfId="504" totalsRowDxfId="503" dataCellStyle="Normal"/>
    <tableColumn id="343" xr3:uid="{11B99ED4-2CDE-41D4-AE73-FA94984EC403}" name="Acad Sup Inv in P" dataDxfId="502" totalsRowDxfId="501" dataCellStyle="Normal"/>
    <tableColumn id="344" xr3:uid="{4332284E-A245-4201-80FA-082CC6DA9861}" name="Stu Svc E&amp;G" dataDxfId="500" totalsRowDxfId="499" dataCellStyle="Normal"/>
    <tableColumn id="345" xr3:uid="{E04FA426-3EA2-4749-9E96-3CC334C2A3D7}" name="Stu Svc Desg" dataDxfId="498" totalsRowDxfId="497" dataCellStyle="Normal"/>
    <tableColumn id="346" xr3:uid="{A97B3AB1-2B13-49DC-83A2-2456DA07F978}" name="Stu Svc Aux" dataDxfId="496" totalsRowDxfId="495" dataCellStyle="Normal"/>
    <tableColumn id="347" xr3:uid="{D30CC2FD-1477-4D07-A34F-64CEC467EDBA}" name="Stu Svc R Exp" dataDxfId="494" totalsRowDxfId="493" dataCellStyle="Normal"/>
    <tableColumn id="348" xr3:uid="{8E72C273-F559-4899-AEFD-E851DA529B92}" name="Stu Svc Loan" dataDxfId="492" totalsRowDxfId="491" dataCellStyle="Normal"/>
    <tableColumn id="349" xr3:uid="{F9949637-4A85-47B3-92F0-72CC2676C6D7}" name="Stu Svc Annuity" dataDxfId="490" totalsRowDxfId="489" dataCellStyle="Normal"/>
    <tableColumn id="350" xr3:uid="{041B1951-F1C1-406A-BEC2-622C0F67F8BC}" name="Stu Svc Unexp" dataDxfId="488" totalsRowDxfId="487" dataCellStyle="Normal"/>
    <tableColumn id="351" xr3:uid="{9B227D45-853D-41E0-AC8C-9562B48BCA67}" name="Stu Svc R of Ind" dataDxfId="486" totalsRowDxfId="485" dataCellStyle="Normal"/>
    <tableColumn id="352" xr3:uid="{2E2F1C00-C10D-453B-B497-76C03D59AAC1}" name="Stu Svc Inv in P" dataDxfId="484" totalsRowDxfId="483" dataCellStyle="Normal"/>
    <tableColumn id="353" xr3:uid="{E5C2F21D-FF00-4E7F-98D2-19DCEDA4EC2A}" name="Inst. Spt E&amp;G" dataDxfId="482" totalsRowDxfId="481" dataCellStyle="Normal"/>
    <tableColumn id="354" xr3:uid="{D7CF1DC8-1907-4DEF-8555-840C81F84BC2}" name="Inst. Spt Desg" dataDxfId="480" totalsRowDxfId="479" dataCellStyle="Normal"/>
    <tableColumn id="355" xr3:uid="{C7632949-C6BE-4A08-8D03-CAD1D8C9909D}" name="Inst. Spt Aux" dataDxfId="478" totalsRowDxfId="477" dataCellStyle="Normal"/>
    <tableColumn id="356" xr3:uid="{C0CE77DD-EB38-40CE-863F-FACFE23EDA13}" name="Inst. Spt R Exp" dataDxfId="476" totalsRowDxfId="475" dataCellStyle="Normal"/>
    <tableColumn id="357" xr3:uid="{5D968859-0B5C-4C22-AEA1-A79A50A733C8}" name="Inst. Spt Loan" dataDxfId="474" totalsRowDxfId="473" dataCellStyle="Normal"/>
    <tableColumn id="358" xr3:uid="{820B905D-28F7-464B-AF6C-55D202328C7A}" name="Inst. Spt Annuity" dataDxfId="472" totalsRowDxfId="471" dataCellStyle="Normal"/>
    <tableColumn id="359" xr3:uid="{41BA114A-FC93-44FE-9D03-4512C344D92E}" name="Inst. Spt Unexp" dataDxfId="470" totalsRowDxfId="469" dataCellStyle="Normal"/>
    <tableColumn id="360" xr3:uid="{D3A804FC-63BF-4D6B-BD8D-8363CA0AA196}" name="Inst. Spt R of Ind" dataDxfId="468" totalsRowDxfId="467" dataCellStyle="Normal"/>
    <tableColumn id="361" xr3:uid="{E1020A60-19DF-4781-B6BA-343A8F0CE701}" name="Inst. Spt Inv in P" dataDxfId="466" totalsRowDxfId="465" dataCellStyle="Normal"/>
    <tableColumn id="362" xr3:uid="{F469FF55-A5E5-4609-A7D3-790E444B353E}" name="M&amp;O Plnt E&amp;G" dataDxfId="464" totalsRowDxfId="463" dataCellStyle="Normal"/>
    <tableColumn id="363" xr3:uid="{52CBE696-79B9-49DF-9FEE-C1E372D0BCCF}" name="M&amp;O Plnt Desg" dataDxfId="462" totalsRowDxfId="461" dataCellStyle="Normal"/>
    <tableColumn id="364" xr3:uid="{E1D38290-2141-4C18-BA80-9C17ABF07BCD}" name="M&amp;O Plnt Aux" dataDxfId="460" totalsRowDxfId="459" dataCellStyle="Normal"/>
    <tableColumn id="365" xr3:uid="{6AE8D0D3-56EB-4F85-853E-5B775A7C9E3B}" name="M&amp;O Plnt R Exp" dataDxfId="458" totalsRowDxfId="457" dataCellStyle="Normal"/>
    <tableColumn id="366" xr3:uid="{969B241C-78AC-4BC2-846D-5BB972865B70}" name="M&amp;O Plnt Loan" dataDxfId="456" totalsRowDxfId="455" dataCellStyle="Normal"/>
    <tableColumn id="367" xr3:uid="{7BB13069-EB16-4688-87BA-FDB975216EC7}" name="M&amp;O Plnt Annuity" dataDxfId="454" totalsRowDxfId="453" dataCellStyle="Normal"/>
    <tableColumn id="368" xr3:uid="{BCBE855C-E058-4545-9050-5D2C648206CD}" name="M&amp;O Plnt Unexp" dataDxfId="452" totalsRowDxfId="451" dataCellStyle="Normal"/>
    <tableColumn id="369" xr3:uid="{231F6E76-AA53-4786-8EAE-9C19425E191F}" name="M&amp;O Plnt R of Ind" dataDxfId="450" totalsRowDxfId="449" dataCellStyle="Normal"/>
    <tableColumn id="370" xr3:uid="{7EDFBD04-E8D5-417D-AEA8-CB335953B7AB}" name="M&amp;O Plnt Inv in P" dataDxfId="448" totalsRowDxfId="447" dataCellStyle="Normal"/>
    <tableColumn id="371" xr3:uid="{53C80A45-9099-4266-A693-CFDC26EE119E}" name="Schl &amp; Fell E&amp;G" dataDxfId="446" totalsRowDxfId="445" dataCellStyle="Normal"/>
    <tableColumn id="372" xr3:uid="{ED8BE343-077F-414B-8256-11835378A64A}" name="Schl &amp; Fell Desg" dataDxfId="444" totalsRowDxfId="443" dataCellStyle="Normal"/>
    <tableColumn id="373" xr3:uid="{D92074EB-AC34-47F8-A148-F14B0694099F}" name="Schl &amp; Fell Aux" dataDxfId="442" totalsRowDxfId="441" dataCellStyle="Normal"/>
    <tableColumn id="374" xr3:uid="{A53958C5-11E1-42D2-A8EC-ACAA258B8737}" name="Schl &amp; Fell R Exp" dataDxfId="440" totalsRowDxfId="439" dataCellStyle="Normal"/>
    <tableColumn id="375" xr3:uid="{774AD15E-4EE4-4880-A54B-AE514DF38C54}" name="Schl &amp; Fell Loan" dataDxfId="438" totalsRowDxfId="437" dataCellStyle="Normal"/>
    <tableColumn id="376" xr3:uid="{3CD14161-9B91-449A-8830-D7FFC76B8F09}" name="Schl &amp; Fell Annuity" dataDxfId="436" totalsRowDxfId="435" dataCellStyle="Normal"/>
    <tableColumn id="377" xr3:uid="{3A460F99-33AE-4F0D-81D7-5D2FE017EB33}" name="Schl &amp; Fell Unexp" dataDxfId="434" totalsRowDxfId="433" dataCellStyle="Normal"/>
    <tableColumn id="378" xr3:uid="{A55B504D-4F64-4E21-AA10-E04A05C6F5EB}" name="Schl &amp; Fell R of Ind" dataDxfId="432" totalsRowDxfId="431" dataCellStyle="Normal"/>
    <tableColumn id="379" xr3:uid="{7F698683-1DA4-440E-8E45-4E0B85BFE5FD}" name="Schl &amp; Fell Inv in P" dataDxfId="430" totalsRowDxfId="429" dataCellStyle="Normal"/>
    <tableColumn id="380" xr3:uid="{273CCE82-E6E4-46BF-B6B6-6C5264CA0F3B}" name="Aux Ent E&amp;G" dataDxfId="428" totalsRowDxfId="427" dataCellStyle="Normal"/>
    <tableColumn id="381" xr3:uid="{04B7B34A-A1DB-484B-B313-2358115A682A}" name="Aux Ent Desg" dataDxfId="426" totalsRowDxfId="425" dataCellStyle="Normal"/>
    <tableColumn id="382" xr3:uid="{908FD345-0F86-4F3D-B051-F8864AAFD399}" name="Aux Ent Aux" dataDxfId="424" totalsRowDxfId="423" dataCellStyle="Normal"/>
    <tableColumn id="383" xr3:uid="{6AB625B0-3ABF-4C73-B5DA-5F485ACAEFF9}" name="Aux Ent R Exp" dataDxfId="422" totalsRowDxfId="421" dataCellStyle="Normal"/>
    <tableColumn id="384" xr3:uid="{48CA7540-7EAA-4851-BE5C-2644E36BED68}" name="Aux Ent Loan" dataDxfId="420" totalsRowDxfId="419" dataCellStyle="Normal"/>
    <tableColumn id="385" xr3:uid="{17584CFC-D7ED-4330-AF3D-75C87B2B00F7}" name="Aux Ent Annuity" dataDxfId="418" totalsRowDxfId="417" dataCellStyle="Normal"/>
    <tableColumn id="386" xr3:uid="{245AB9EC-B703-4E10-8BD6-F540C275FDF6}" name="Aux Ent Unexp" dataDxfId="416" totalsRowDxfId="415" dataCellStyle="Normal"/>
    <tableColumn id="387" xr3:uid="{2285F86C-C119-4357-A422-2CF1E5E29809}" name="Aux Ent R of Ind" dataDxfId="414" totalsRowDxfId="413" dataCellStyle="Normal"/>
    <tableColumn id="388" xr3:uid="{55A9D6DD-91EB-42AF-8BF2-706FDF0C161D}" name="Aux Ent Inv in P" dataDxfId="412" totalsRowDxfId="411" dataCellStyle="Normal"/>
    <tableColumn id="389" xr3:uid="{C1614302-1502-4D64-9E3F-FC2079671575}" name="Cap Out fund E&amp;G" dataDxfId="410" totalsRowDxfId="409" dataCellStyle="Normal"/>
    <tableColumn id="390" xr3:uid="{1FED35DF-B6AB-46FC-9D61-C6217CA420CA}" name="Cap Out fund Desg" dataDxfId="408" totalsRowDxfId="407" dataCellStyle="Normal"/>
    <tableColumn id="391" xr3:uid="{C3ED538A-E5D3-464C-AA42-19B6B2AD136E}" name="Cap Out fund Aux" dataDxfId="406" totalsRowDxfId="405" dataCellStyle="Normal"/>
    <tableColumn id="392" xr3:uid="{CAE5D305-BB6E-4363-B129-8A2E81A80AA7}" name="Cap Out fund R Exp" dataDxfId="404" totalsRowDxfId="403" dataCellStyle="Normal"/>
    <tableColumn id="393" xr3:uid="{FEDA197B-7801-4E87-8BBD-9220BC526F22}" name="Cap Out fund Loan" dataDxfId="402" totalsRowDxfId="401" dataCellStyle="Normal"/>
    <tableColumn id="394" xr3:uid="{4CBD6074-1CA1-46BE-B2CA-C0AE09A318E1}" name="Cap Out fund Annuity" dataDxfId="400" totalsRowDxfId="399" dataCellStyle="Normal"/>
    <tableColumn id="395" xr3:uid="{D4E82E46-34C3-4383-BDC0-39D032CF6863}" name="Cap Out fund Unexp" dataDxfId="398" totalsRowDxfId="397" dataCellStyle="Normal"/>
    <tableColumn id="396" xr3:uid="{8E8953C8-9027-4E16-94BD-7AA6154E9F2C}" name="Cap Out fund R of Ind" dataDxfId="396" totalsRowDxfId="395" dataCellStyle="Normal"/>
    <tableColumn id="397" xr3:uid="{70C03629-07C5-43C3-A393-C90EBCB9473A}" name="Cap Out fund Inv in P" dataDxfId="394" totalsRowDxfId="393" dataCellStyle="Normal"/>
    <tableColumn id="398" xr3:uid="{D787C42E-5663-4DB4-B1AC-4A31EB9452A3}" name="Oth Exp E&amp;G" dataDxfId="392" totalsRowDxfId="391" dataCellStyle="Normal"/>
    <tableColumn id="399" xr3:uid="{C926492E-38AB-42EC-9BB9-DB8817CCD674}" name="Oth Exp Desg" dataDxfId="390" totalsRowDxfId="389" dataCellStyle="Normal"/>
    <tableColumn id="400" xr3:uid="{BC5623FB-C7A6-4320-A3B4-1CD77CBC2D71}" name="Oth Exp Aux" dataDxfId="388" totalsRowDxfId="387" dataCellStyle="Normal"/>
    <tableColumn id="401" xr3:uid="{BABDD1FC-86D0-4504-9EFC-D1816EF6F97F}" name="Oth Exp R Exp" dataDxfId="386" totalsRowDxfId="385" dataCellStyle="Normal"/>
    <tableColumn id="402" xr3:uid="{59CA561B-A8DC-4F9A-B428-38C6D2FEE7C5}" name="Oth Exp Loan" dataDxfId="384" totalsRowDxfId="383" dataCellStyle="Normal"/>
    <tableColumn id="403" xr3:uid="{255FB677-D534-4A2E-9543-E72DFB44DBCA}" name="Oth Exp Annuity" dataDxfId="382" totalsRowDxfId="381" dataCellStyle="Normal"/>
    <tableColumn id="404" xr3:uid="{2D776D7C-FD74-4BEB-9E8B-F28C030F973E}" name="Oth Exp Unexp" dataDxfId="380" totalsRowDxfId="379" dataCellStyle="Normal"/>
    <tableColumn id="405" xr3:uid="{6384B005-1ED0-473D-B76C-58F3983AB682}" name="Oth Exp R of Ind" dataDxfId="378" totalsRowDxfId="377" dataCellStyle="Normal"/>
    <tableColumn id="406" xr3:uid="{B7EBF3B1-C31C-4B7D-9B4F-355ADC6C99F9}" name="Oth Exp Inv in P" dataDxfId="376" totalsRowDxfId="375" dataCellStyle="Normal"/>
    <tableColumn id="407" xr3:uid="{FF113D39-BA63-432E-B3A5-CBD21E5F0174}" name="Cap Out n-Fund E&amp;G" dataDxfId="374" totalsRowDxfId="373" dataCellStyle="Normal"/>
    <tableColumn id="408" xr3:uid="{434F1B4B-6238-492E-A662-FD65CB63D5E6}" name="Cap Out n-Fund Desg" dataDxfId="372" totalsRowDxfId="371" dataCellStyle="Normal"/>
    <tableColumn id="409" xr3:uid="{0D96D622-D597-494A-A4EC-77C39BEE3194}" name="Cap Out n-Fund Aux" dataDxfId="370" totalsRowDxfId="369" dataCellStyle="Normal"/>
    <tableColumn id="410" xr3:uid="{E032DB6E-BB09-41B6-96F2-AE2F41AC7228}" name="Cap Out n-Fund R Exp" dataDxfId="368" totalsRowDxfId="367" dataCellStyle="Normal"/>
    <tableColumn id="411" xr3:uid="{8165539A-AE21-47C3-A14A-FDA526BFF82A}" name="Cap Out n-Fund Loan" dataDxfId="366" totalsRowDxfId="365" dataCellStyle="Normal"/>
    <tableColumn id="412" xr3:uid="{7ED2C2C7-74F0-4684-9F9E-158DD2FDFAE0}" name="Cap Out n-Fund Annuity" dataDxfId="364" totalsRowDxfId="363" dataCellStyle="Normal"/>
    <tableColumn id="413" xr3:uid="{042CB673-F2B0-4FF8-97E3-F6E5E3738EFC}" name="Cap Out n-Fund Unexp" dataDxfId="362" totalsRowDxfId="361" dataCellStyle="Normal"/>
    <tableColumn id="414" xr3:uid="{ECB34002-AB59-47C8-8742-60BCCB9725D4}" name="Cap Out n-Fund R of Ind" dataDxfId="360" totalsRowDxfId="359" dataCellStyle="Normal"/>
    <tableColumn id="415" xr3:uid="{0A31384E-914C-4006-AB21-F19C24BC9B4F}" name="Cap Out n-Fund Inv in P" dataDxfId="358" totalsRowDxfId="357" dataCellStyle="Normal"/>
    <tableColumn id="416" xr3:uid="{65355A33-60A4-4BA5-BE53-A6A9A5019776}" name="M&amp;Nm Xfrs E&amp;G" dataDxfId="356" totalsRowDxfId="355" dataCellStyle="Normal"/>
    <tableColumn id="417" xr3:uid="{D4441282-6EC3-4BFA-B92E-64E8C8B1E995}" name="M&amp;Nm Xfrs Desg" dataDxfId="354" totalsRowDxfId="353" dataCellStyle="Normal"/>
    <tableColumn id="418" xr3:uid="{8D13B931-5C07-4921-9BC0-FF51A0C01373}" name="M&amp;Nm Xfrs Aux" dataDxfId="352" totalsRowDxfId="351" dataCellStyle="Normal"/>
    <tableColumn id="419" xr3:uid="{B68738C7-41C5-4B94-8F92-F2EA9896DF06}" name="M&amp;Nm Xfrs R Exp" dataDxfId="350" totalsRowDxfId="349" dataCellStyle="Normal"/>
    <tableColumn id="420" xr3:uid="{86588707-CAE0-4D32-B7C7-0A78B52069CE}" name="M&amp;Nm Xfrs Loan" dataDxfId="348" totalsRowDxfId="347" dataCellStyle="Normal"/>
    <tableColumn id="421" xr3:uid="{2A301056-76B5-49C5-9BEC-087268DF6E0B}" name="M&amp;Nm Xfrs Annuity" dataDxfId="346" totalsRowDxfId="345" dataCellStyle="Normal"/>
    <tableColumn id="422" xr3:uid="{AA63B239-CCD2-4418-A6C2-2D1FF75B22FD}" name="M&amp;Nm Xfrs Unexp" dataDxfId="344" totalsRowDxfId="343" dataCellStyle="Normal"/>
    <tableColumn id="423" xr3:uid="{ABCFE5E1-A24A-40B5-833A-CCE2B06BF304}" name="M&amp;Nm Xfrs R of Ind" dataDxfId="342" totalsRowDxfId="341" dataCellStyle="Normal"/>
    <tableColumn id="424" xr3:uid="{F7A8F3BB-7E08-4283-B134-998B2D675CDB}" name="M&amp;Nm Xfrs Inv in P" dataDxfId="340" totalsRowDxfId="339" dataCellStyle="Normal"/>
    <tableColumn id="425" xr3:uid="{664C88E6-B6CC-4D9F-8CA5-B45FD7BDD3FC}" name="Bond Xfrs In E&amp;G" dataDxfId="338" totalsRowDxfId="337" dataCellStyle="Normal"/>
    <tableColumn id="426" xr3:uid="{CE65C784-DB53-4751-8E9E-62AA361DD1C7}" name="Bond Xfrs In Desg" dataDxfId="336" totalsRowDxfId="335" dataCellStyle="Normal"/>
    <tableColumn id="427" xr3:uid="{E91C5879-9B32-4044-96F3-50E38DC7D107}" name="Bond Xfrs In Aux" dataDxfId="334" totalsRowDxfId="333" dataCellStyle="Normal"/>
    <tableColumn id="428" xr3:uid="{23E5DDCD-701D-4121-B096-2A166D6C6167}" name="Bond Xfrs In R Exp" dataDxfId="332" totalsRowDxfId="331" dataCellStyle="Normal"/>
    <tableColumn id="429" xr3:uid="{9FDAFEED-CFEC-484E-A9CD-8BB6539AE422}" name="Bond Xfrs In Loan" dataDxfId="330" totalsRowDxfId="329" dataCellStyle="Normal"/>
    <tableColumn id="430" xr3:uid="{51D584BB-CA24-473A-A415-AA62F99852D3}" name="Bond Xfrs In Annuity" dataDxfId="328" totalsRowDxfId="327" dataCellStyle="Normal"/>
    <tableColumn id="431" xr3:uid="{439AB45A-BC11-4B7C-B895-066CCE7B167B}" name="Bond Xfrs In Unexp" dataDxfId="326" totalsRowDxfId="325" dataCellStyle="Normal"/>
    <tableColumn id="432" xr3:uid="{9E9A0A66-AFC2-4EE9-AD02-245AEBFCCC8B}" name="Bond Xfrs In R of Ind" dataDxfId="324" totalsRowDxfId="323" dataCellStyle="Normal"/>
    <tableColumn id="433" xr3:uid="{5E097692-587A-41CE-A52F-516FEB1B79D1}" name="Bond Xfrs In Inv in P" dataDxfId="322" totalsRowDxfId="321" dataCellStyle="Normal"/>
    <tableColumn id="434" xr3:uid="{92B64EE4-74FF-4C65-9EA8-7582C6767E0C}" name="Debt Srv Pay E&amp;G" dataDxfId="320" totalsRowDxfId="319" dataCellStyle="Normal"/>
    <tableColumn id="435" xr3:uid="{C3A8DDCD-7403-4303-A8E9-F610C4ACD525}" name="Debt Srv Pay Desg" dataDxfId="318" totalsRowDxfId="317" dataCellStyle="Normal"/>
    <tableColumn id="436" xr3:uid="{F230D6D6-EB64-41B6-870C-7DE71378CEBC}" name="Debt Srv Pay Aux" dataDxfId="316" totalsRowDxfId="315" dataCellStyle="Normal"/>
    <tableColumn id="437" xr3:uid="{43827D1A-80DE-4B7F-B224-619147C2DB51}" name="Debt Srv Pay R Exp" dataDxfId="314" totalsRowDxfId="313" dataCellStyle="Normal"/>
    <tableColumn id="438" xr3:uid="{214CB0D1-5732-4DAB-90BB-334629052F49}" name="Debt Srv Pay Loan" dataDxfId="312" totalsRowDxfId="311" dataCellStyle="Normal"/>
    <tableColumn id="439" xr3:uid="{8A343105-852D-43FB-8A85-A07CC13D4644}" name="Debt Srv Pay Annuity" dataDxfId="310" totalsRowDxfId="309" dataCellStyle="Normal"/>
    <tableColumn id="440" xr3:uid="{7E1BB29E-D2E0-44FE-A33F-980CB37DCC0D}" name="Debt Srv Pay Unexp" dataDxfId="308" totalsRowDxfId="307" dataCellStyle="Normal"/>
    <tableColumn id="441" xr3:uid="{C9580C10-0DC4-43A6-B5E7-1043462961BD}" name="Debt Srv Pay R of Ind" dataDxfId="306" totalsRowDxfId="305" dataCellStyle="Normal"/>
    <tableColumn id="442" xr3:uid="{29EA93F5-6676-412F-9713-80DD9268187E}" name="Debt Srv Pay Inv in P" dataDxfId="304" totalsRowDxfId="303" dataCellStyle="Normal"/>
    <tableColumn id="443" xr3:uid="{9DDC07BA-5F29-445A-B9AB-E4244CDA430C}" name="Unreal G/L E&amp;G" dataDxfId="302" totalsRowDxfId="301" dataCellStyle="Normal"/>
    <tableColumn id="444" xr3:uid="{CC8195B6-4AE2-438E-B762-378816A93A78}" name="Unreal G/L Desg" dataDxfId="300" totalsRowDxfId="299" dataCellStyle="Normal"/>
    <tableColumn id="445" xr3:uid="{6EB7AD62-1717-438B-88D4-F34991C3B367}" name="Unreal G/L Aux" dataDxfId="298" totalsRowDxfId="297" dataCellStyle="Normal"/>
    <tableColumn id="446" xr3:uid="{3F1086DB-F9B1-4D21-BF5A-5C7D8325A2EE}" name="Unreal G/L R Exp" dataDxfId="296" totalsRowDxfId="295" dataCellStyle="Normal"/>
    <tableColumn id="447" xr3:uid="{7FE46F0A-36B6-437F-AF1D-A08297B7601E}" name="Unreal G/L Loan" dataDxfId="294" totalsRowDxfId="293" dataCellStyle="Normal"/>
    <tableColumn id="448" xr3:uid="{27354029-0BAE-4DF5-BC58-98F3C2C790F5}" name="Unreal G/L Annuity" dataDxfId="292" totalsRowDxfId="291" dataCellStyle="Normal"/>
    <tableColumn id="449" xr3:uid="{D5C85BB2-FCF9-4DD5-A576-BF5B11A8D7B8}" name="Unreal G/L Unexp" dataDxfId="290" totalsRowDxfId="289" dataCellStyle="Normal"/>
    <tableColumn id="450" xr3:uid="{62A7DE17-CFCF-4031-95F9-6DB4B09B4A07}" name="Unreal G/L R of Ind" dataDxfId="288" totalsRowDxfId="287" dataCellStyle="Normal"/>
    <tableColumn id="451" xr3:uid="{2C30ECCB-8C4F-4264-824A-13939014E5F6}" name="Unreal G/L Inv in P" dataDxfId="286" totalsRowDxfId="285" dataCellStyle="Normal"/>
    <tableColumn id="452" xr3:uid="{543FF5A6-EAFA-457D-8966-2CEC65FA96F7}" name="Add End E&amp;G" dataDxfId="284" totalsRowDxfId="283" dataCellStyle="Normal"/>
    <tableColumn id="453" xr3:uid="{7540ECAC-5D8E-4468-A30F-E6F9BB495A35}" name="Add End Desg" dataDxfId="282" totalsRowDxfId="281" dataCellStyle="Normal"/>
    <tableColumn id="454" xr3:uid="{E448AF08-232A-4D0F-86CD-209E07D8B501}" name="Add End Aux" dataDxfId="280" totalsRowDxfId="279" dataCellStyle="Normal"/>
    <tableColumn id="455" xr3:uid="{DBA3979D-FA60-40F2-8ED6-D63504BC6200}" name="Add End R Exp" dataDxfId="278" totalsRowDxfId="277" dataCellStyle="Normal"/>
    <tableColumn id="456" xr3:uid="{68B07DA1-780C-438B-A3A9-5166D72E5997}" name="Add End Loan" dataDxfId="276" totalsRowDxfId="275" dataCellStyle="Normal"/>
    <tableColumn id="457" xr3:uid="{EEF6CD1D-5C0F-429F-ADD2-CAA2D65A7A76}" name="Add End Annuity" dataDxfId="274" totalsRowDxfId="273" dataCellStyle="Normal"/>
    <tableColumn id="458" xr3:uid="{3408C340-4E9A-4944-885E-42A11101AAB6}" name="Add End Unexp" dataDxfId="272" totalsRowDxfId="271" dataCellStyle="Normal"/>
    <tableColumn id="459" xr3:uid="{C2197FF7-44F7-4784-BF10-E53F418EDE58}" name="Add End R of Ind" dataDxfId="270" totalsRowDxfId="269" dataCellStyle="Normal"/>
    <tableColumn id="460" xr3:uid="{ECFC4301-3827-4991-A874-9340B69ADA43}" name="Add End Inv in P" dataDxfId="268" totalsRowDxfId="267" dataCellStyle="Normal"/>
    <tableColumn id="461" xr3:uid="{2B6842FA-7B25-464B-9BBA-41529CD17535}" name="Bond Proceeds E&amp;G" dataDxfId="266" totalsRowDxfId="265" dataCellStyle="Normal"/>
    <tableColumn id="462" xr3:uid="{1D9D39EF-FF14-440B-B4FA-86B257C9E72C}" name="Bond Proceeds Desg" dataDxfId="264" totalsRowDxfId="263" dataCellStyle="Normal"/>
    <tableColumn id="463" xr3:uid="{33C0111E-88E6-4F91-80D1-D3254388D428}" name="Bond Proceeds Aux" dataDxfId="262" totalsRowDxfId="261" dataCellStyle="Normal"/>
    <tableColumn id="464" xr3:uid="{A5B018C5-D364-4842-8A98-C4690CF9DDCE}" name="Bond Proceeds R Exp" dataDxfId="260" totalsRowDxfId="259" dataCellStyle="Normal"/>
    <tableColumn id="465" xr3:uid="{F4C58476-F341-4A9A-830E-9136309DDA3C}" name="Bond Proceeds Loan" dataDxfId="258" totalsRowDxfId="257" dataCellStyle="Normal"/>
    <tableColumn id="466" xr3:uid="{63600090-E56A-483F-8D09-C7C8E789372E}" name="Bond Proceeds Annuity" dataDxfId="256" totalsRowDxfId="255" dataCellStyle="Normal"/>
    <tableColumn id="467" xr3:uid="{6AC2ABEC-8B3F-40AC-9AD0-1D7854248005}" name="Bond Proceeds Unexp" dataDxfId="254" totalsRowDxfId="253" dataCellStyle="Normal"/>
    <tableColumn id="468" xr3:uid="{8BC6C2C7-4BBB-4BB6-9E5A-C1F87C04AD25}" name="Bond Proceeds R of Ind" dataDxfId="252" totalsRowDxfId="251" dataCellStyle="Normal"/>
    <tableColumn id="469" xr3:uid="{D2DC871F-A9C6-4609-A5C2-74E9D47EEC96}" name="Bond Proceeds Inv in P" dataDxfId="250" totalsRowDxfId="249" dataCellStyle="Normal"/>
    <tableColumn id="470" xr3:uid="{C2241F0C-5C52-41E7-8AC8-D2D32A399474}" name="Dep Exp E&amp;G" dataDxfId="248" totalsRowDxfId="247" dataCellStyle="Normal"/>
    <tableColumn id="471" xr3:uid="{D32EDFD2-2A02-4298-9703-7B368FA5052F}" name="Dep Exp Desg" dataDxfId="246" totalsRowDxfId="245" dataCellStyle="Normal"/>
    <tableColumn id="472" xr3:uid="{19A87944-97DB-4659-BC00-1C114CC74559}" name="Dep Exp Aux" dataDxfId="244" totalsRowDxfId="243" dataCellStyle="Normal"/>
    <tableColumn id="473" xr3:uid="{E013DE93-6BEC-46A4-A43E-09D355DCC5E5}" name="Dep Exp R Exp" dataDxfId="242" totalsRowDxfId="241" dataCellStyle="Normal"/>
    <tableColumn id="474" xr3:uid="{692735AB-1A73-47BF-8B2E-557344BC30A0}" name="Dep Exp Loan" dataDxfId="240" totalsRowDxfId="239" dataCellStyle="Normal"/>
    <tableColumn id="475" xr3:uid="{BE8F7EC7-8F57-44B8-B6DA-4A9F26EEC76C}" name="Dep Exp Annuity" dataDxfId="238" totalsRowDxfId="237" dataCellStyle="Normal"/>
    <tableColumn id="476" xr3:uid="{D801B3C7-B298-4D9D-86AD-F46C2DD1098B}" name="Dep Exp Unexp" dataDxfId="236" totalsRowDxfId="235" dataCellStyle="Normal"/>
    <tableColumn id="477" xr3:uid="{5E0906DA-FA6E-402C-BB07-7117C395BC34}" name="Dep Exp R of Ind" dataDxfId="234" totalsRowDxfId="233" dataCellStyle="Normal"/>
    <tableColumn id="478" xr3:uid="{932A1F1D-5267-4CA9-B189-C5176DD2C6CB}" name="Dep Exp Inv in P" dataDxfId="232" totalsRowDxfId="231" dataCellStyle="Normal"/>
    <tableColumn id="479" xr3:uid="{639D5666-C234-4B53-ACE7-745D6F87336F}" name="Xfr Cap Sys E&amp;G" dataDxfId="230" totalsRowDxfId="229" dataCellStyle="Normal"/>
    <tableColumn id="480" xr3:uid="{84EE1345-C47A-4966-ADFD-E6A33C238A45}" name="Xfr Cap Sys Desg" dataDxfId="228" totalsRowDxfId="227" dataCellStyle="Normal"/>
    <tableColumn id="481" xr3:uid="{9994DF20-C428-4FAC-A997-43BA883B4CF0}" name="Xfr Cap Sys Aux" dataDxfId="226" totalsRowDxfId="225" dataCellStyle="Normal"/>
    <tableColumn id="482" xr3:uid="{9CA93844-A5D8-4A06-80B7-5D02860B81ED}" name="Xfr Cap Sys R Exp" dataDxfId="224" totalsRowDxfId="223" dataCellStyle="Normal"/>
    <tableColumn id="483" xr3:uid="{41E4B57E-78F6-425A-BE81-24923A678091}" name="Xfr Cap Sys Loan" dataDxfId="222" totalsRowDxfId="221" dataCellStyle="Normal"/>
    <tableColumn id="484" xr3:uid="{0BE2130D-AABC-4A29-8D5A-386D8B458827}" name="Xfr Cap Sys Annuity" dataDxfId="220" totalsRowDxfId="219" dataCellStyle="Normal"/>
    <tableColumn id="485" xr3:uid="{0E35EB95-0BBE-4444-B209-8EB2B291E531}" name="Xfr Cap Sys Unexp" dataDxfId="218" totalsRowDxfId="217" dataCellStyle="Normal"/>
    <tableColumn id="486" xr3:uid="{96A21D4A-E276-4A98-9DC7-B71D58101512}" name="Xfr Cap Sys R of Ind" dataDxfId="216" totalsRowDxfId="215" dataCellStyle="Normal"/>
    <tableColumn id="487" xr3:uid="{4420FC63-41A6-4186-9BCB-8442CC34ACBF}" name="Xfr Cap Sys Inv in P" dataDxfId="214" totalsRowDxfId="213" dataCellStyle="Normal"/>
    <tableColumn id="488" xr3:uid="{CE63C8AF-F702-48D6-915B-A07B7D19CDC6}" name="OPEB Exp E&amp;G" dataDxfId="212" totalsRowDxfId="211" dataCellStyle="Normal"/>
    <tableColumn id="489" xr3:uid="{AD391675-0104-4BDE-9987-6E5FDBF62746}" name="OPEB Exp Desg" dataDxfId="210" totalsRowDxfId="209" dataCellStyle="Normal"/>
    <tableColumn id="490" xr3:uid="{17AE9512-0D30-45D2-839D-89D76305EC01}" name="OPEB Exp Aux" dataDxfId="208" totalsRowDxfId="207" dataCellStyle="Normal"/>
    <tableColumn id="491" xr3:uid="{0E6B6398-70D9-4789-ADA9-F604620A628B}" name="OPEB Exp R Exp" dataDxfId="206" totalsRowDxfId="205" dataCellStyle="Normal"/>
    <tableColumn id="492" xr3:uid="{31D6A2EA-F887-47C2-AC13-F42BD01BFF85}" name="OPEB Exp Loan" dataDxfId="204" totalsRowDxfId="203" dataCellStyle="Normal"/>
    <tableColumn id="493" xr3:uid="{2BA8E2DE-B66F-4CB0-A6FF-90116161243C}" name="OPEB Exp Annuity" dataDxfId="202" totalsRowDxfId="201" dataCellStyle="Normal"/>
    <tableColumn id="494" xr3:uid="{CBA3C317-661A-4700-86EA-38668D6358A0}" name="OPEB Exp Unexp" dataDxfId="200" totalsRowDxfId="199" dataCellStyle="Normal"/>
    <tableColumn id="495" xr3:uid="{A095B2B1-7875-4FA4-B48E-F1043EE3C19C}" name="OPEB Exp R of Ind" dataDxfId="198" totalsRowDxfId="197" dataCellStyle="Normal"/>
    <tableColumn id="496" xr3:uid="{0B5A716F-BE68-46D1-830D-E95AC6A5E6DC}" name="OPEB Exp Inv in P" dataDxfId="196" totalsRowDxfId="195" dataCellStyle="Normal"/>
    <tableColumn id="497" xr3:uid="{F135D936-EC94-4838-AC2D-3E27F45EFF0F}" name="Non-Cash Cap E&amp;G" dataDxfId="194" totalsRowDxfId="193" dataCellStyle="Normal"/>
    <tableColumn id="498" xr3:uid="{04FCFFF6-E24C-4359-9CA0-AC885D4D249F}" name="Non-Cash Cap Desg" dataDxfId="192" totalsRowDxfId="191" dataCellStyle="Normal"/>
    <tableColumn id="499" xr3:uid="{5A38D7B8-7DD2-43E3-9640-2D2AFBAEC005}" name="Non-Cash Cap Aux" dataDxfId="190" totalsRowDxfId="189" dataCellStyle="Normal"/>
    <tableColumn id="500" xr3:uid="{294CB0B6-56EB-4530-82DF-AFED1E869A6B}" name="Non-Cash Cap R Exp" dataDxfId="188" totalsRowDxfId="187" dataCellStyle="Normal"/>
    <tableColumn id="501" xr3:uid="{CFAB4FFA-7E5B-41A4-87DA-90E799BE06B9}" name="Non-Cash Cap Loan" dataDxfId="186" totalsRowDxfId="185" dataCellStyle="Normal"/>
    <tableColumn id="502" xr3:uid="{358B7A72-AC40-4E83-A51B-8C38F43DC4DF}" name="Non-Cash Cap Annuity" dataDxfId="184" totalsRowDxfId="183" dataCellStyle="Normal"/>
    <tableColumn id="503" xr3:uid="{492BEA11-12B6-4034-BA80-1A9AB464A389}" name="Non-Cash Cap Unexp" dataDxfId="182" totalsRowDxfId="181" dataCellStyle="Normal"/>
    <tableColumn id="504" xr3:uid="{5C71738F-81A4-4314-8461-FAE362EFEF46}" name="Non-Cash Cap R of Ind" dataDxfId="180" totalsRowDxfId="179" dataCellStyle="Normal"/>
    <tableColumn id="505" xr3:uid="{3E2FFF36-9431-464A-8479-FD947A613E6C}" name="Non-Cash Cap Inv in P" dataDxfId="178" totalsRowDxfId="177" dataCellStyle="Normal"/>
    <tableColumn id="506" xr3:uid="{4C69D6CD-2ABC-42C5-88B9-4BA07BE7C9EC}" name="Cap Out E&amp;G" dataDxfId="176" totalsRowDxfId="175" dataCellStyle="Normal"/>
    <tableColumn id="507" xr3:uid="{D97CAB13-11F6-47A0-BDB0-79D364532896}" name="Cap Out Desg" dataDxfId="174" totalsRowDxfId="173" dataCellStyle="Normal"/>
    <tableColumn id="508" xr3:uid="{3000BDC3-1D09-4C67-AC45-2E9A73011D65}" name="Cap Out Aux" dataDxfId="172" totalsRowDxfId="171" dataCellStyle="Normal"/>
    <tableColumn id="509" xr3:uid="{342E4760-21AE-4E97-8EF6-4FBA4C80ADB6}" name="Cap Out R Exp" dataDxfId="170" totalsRowDxfId="169" dataCellStyle="Normal"/>
    <tableColumn id="510" xr3:uid="{13E61943-AF04-4766-84C5-B73260D7C457}" name="Cap Out Loan" dataDxfId="168" totalsRowDxfId="167" dataCellStyle="Normal"/>
    <tableColumn id="511" xr3:uid="{40EC7B14-B74D-4693-923B-B20F3AC7576A}" name="Cap Out Annuity" dataDxfId="166" totalsRowDxfId="165" dataCellStyle="Normal"/>
    <tableColumn id="512" xr3:uid="{C666D7ED-6C0B-4091-B3C2-87890C0EC2EC}" name="Cap Out Unexp" dataDxfId="164" totalsRowDxfId="163" dataCellStyle="Normal"/>
    <tableColumn id="513" xr3:uid="{ECC3ED55-8621-4A00-A93B-419D8F45F967}" name="Cap Out R of Ind" dataDxfId="162" totalsRowDxfId="161" dataCellStyle="Normal"/>
    <tableColumn id="514" xr3:uid="{887C1866-F1B8-4E7B-9256-8C6117F31C33}" name="Cap Out Inv in P" dataDxfId="160" totalsRowDxfId="159" dataCellStyle="Normal"/>
    <tableColumn id="518" xr3:uid="{804516EF-F40F-4647-B8B1-CD4415559060}" name="Cost Study Inst." dataDxfId="158" totalsRowDxfId="157" dataCellStyle="Normal"/>
    <tableColumn id="519" xr3:uid="{E347A21D-C60D-4E2B-9BDB-14918D785C11}" name="Cost Study Resh" dataDxfId="156" totalsRowDxfId="155" dataCellStyle="Normal"/>
    <tableColumn id="520" xr3:uid="{49D503DC-F515-4FC0-803A-5746EC09C6AB}" name="Cost Study Pub Svc" dataDxfId="154" totalsRowDxfId="153" dataCellStyle="Normal"/>
    <tableColumn id="521" xr3:uid="{036970F5-7F06-4E3C-B529-BFB519E555D6}" name="Cost Study H&amp;C" dataDxfId="152" totalsRowDxfId="151" dataCellStyle="Normal"/>
    <tableColumn id="522" xr3:uid="{F2B0F22F-64CB-4FB7-9C82-D1359D14538B}" name="Cost Study Aca Sppt" dataDxfId="150" totalsRowDxfId="149" dataCellStyle="Normal"/>
    <tableColumn id="523" xr3:uid="{C7B6C6C6-37B3-4434-BDA8-AABB027B4951}" name="Cost Study Stu Svcs" dataDxfId="148" totalsRowDxfId="147" dataCellStyle="Normal"/>
    <tableColumn id="524" xr3:uid="{23D9C767-1E70-4C83-B752-7049FBD4738C}" name="Cost Study Inst. Sppt" dataDxfId="146" totalsRowDxfId="145" dataCellStyle="Normal"/>
    <tableColumn id="525" xr3:uid="{1589D2DD-24F5-45F8-9703-9CED64634060}" name="Cost Study Op &amp; Maint" dataDxfId="144" totalsRowDxfId="143" dataCellStyle="Normal"/>
    <tableColumn id="526" xr3:uid="{3519A5E3-E660-4978-B150-33498E7869EC}" name="Cost Study Schl &amp; Fell" dataDxfId="142" totalsRowDxfId="141" dataCellStyle="Normal"/>
    <tableColumn id="527" xr3:uid="{9FA3460B-7404-4946-A7BE-F6D0930AA3AF}" name="Cost Study Aux" dataDxfId="140" totalsRowDxfId="139" dataCellStyle="Normal"/>
    <tableColumn id="528" xr3:uid="{61314753-8696-47DF-8EF3-B53FE8C8473F}" name="Cost Study Intr C. Ath" dataDxfId="138" totalsRowDxfId="137" dataCellStyle="Normal"/>
    <tableColumn id="529" xr3:uid="{0FD84CA5-15F0-48CC-BEE7-031E36D0FFA5}" name="Space Fed PT Inst." dataDxfId="136" totalsRowDxfId="135" dataCellStyle="Normal"/>
    <tableColumn id="530" xr3:uid="{2B4AA04E-C28A-4516-8902-5FC3355A12F0}" name="Space Fed PT Resh" dataDxfId="134" totalsRowDxfId="133" dataCellStyle="Normal"/>
    <tableColumn id="531" xr3:uid="{73A5CC79-65C1-4C41-8B47-2375BF57EC77}" name="Space Fed PT Pub Svc" dataDxfId="132" totalsRowDxfId="131" dataCellStyle="Normal"/>
    <tableColumn id="532" xr3:uid="{89300BD1-E9D3-41FB-87B0-1701ED2C71B2}" name="Space Fed PT H &amp; C" dataDxfId="130" totalsRowDxfId="129" dataCellStyle="Normal"/>
    <tableColumn id="533" xr3:uid="{D77B0AD6-2F1F-4247-81A3-AC205D0A55DD}" name="Space Fed PT Aca Sppt" dataDxfId="128" totalsRowDxfId="127" dataCellStyle="Normal"/>
    <tableColumn id="534" xr3:uid="{2A9975AE-4F15-4798-899A-CC32A82D8FDF}" name="Space Fed PT Stu Svcs" dataDxfId="126" totalsRowDxfId="125" dataCellStyle="Normal"/>
    <tableColumn id="535" xr3:uid="{9F9AD5FE-8A08-4E7E-A7E4-8AEA2F2268B1}" name="Space Fed PT Inst. Sppt" dataDxfId="124" totalsRowDxfId="123" dataCellStyle="Normal"/>
    <tableColumn id="536" xr3:uid="{4E551900-3BAD-473D-96A8-DFB67A3285FD}" name="Space Fed PT Op &amp; Maint" dataDxfId="122" totalsRowDxfId="121" dataCellStyle="Normal"/>
    <tableColumn id="537" xr3:uid="{AE71A493-0AA9-430F-AF9E-7EFF80C6AF05}" name="Space Fed PT Schl &amp; Fell" dataDxfId="120" totalsRowDxfId="119" dataCellStyle="Normal"/>
    <tableColumn id="538" xr3:uid="{3D1592A5-8777-45CD-B34E-09E94777177A}" name="Space St. PT Inst." dataDxfId="118" totalsRowDxfId="117" dataCellStyle="Normal"/>
    <tableColumn id="539" xr3:uid="{64D4027E-FCB8-4DAB-AAEC-965335AAFB08}" name="Space St. PT Resh" dataDxfId="116" totalsRowDxfId="115" dataCellStyle="Normal"/>
    <tableColumn id="540" xr3:uid="{E06C34C9-A7FC-43E1-866D-758ED616F2DE}" name="Space St. PT Pub Svc" dataDxfId="114" totalsRowDxfId="113" dataCellStyle="Normal"/>
    <tableColumn id="541" xr3:uid="{F987A97F-B651-4FC8-BAEF-7602C234A06F}" name="Space St. PT H&amp;C" dataDxfId="112" totalsRowDxfId="111" dataCellStyle="Normal"/>
    <tableColumn id="542" xr3:uid="{0838E1B2-5849-4D13-8069-488115E7EC67}" name="Space St. PT Aca Sppt" dataDxfId="110" totalsRowDxfId="109" dataCellStyle="Normal"/>
    <tableColumn id="543" xr3:uid="{06869AB6-A9E4-4BF9-979C-D80559A17DB9}" name="Space St. PT Stu Svcs" dataDxfId="108" totalsRowDxfId="107" dataCellStyle="Normal"/>
    <tableColumn id="544" xr3:uid="{91A9D5F1-2BBF-43FC-93BB-A781B28A9D93}" name="Space St. PT Inst. Sppt" dataDxfId="106" totalsRowDxfId="105" dataCellStyle="Normal"/>
    <tableColumn id="545" xr3:uid="{95028991-A9DA-4C9B-B6C3-F9B2AC8A940C}" name="Space St. PT Op &amp; Maint" dataDxfId="104" totalsRowDxfId="103" dataCellStyle="Normal"/>
    <tableColumn id="546" xr3:uid="{9A57D764-B21B-42BB-B510-8BD603C14B38}" name="Space St. PT Schl &amp; Fell" dataDxfId="102" totalsRowDxfId="101" dataCellStyle="Normal"/>
    <tableColumn id="547" xr3:uid="{4C2DD4BA-DF34-449B-B90A-84001E721F2A}" name="CS. Adj S &amp; Srv H&amp;C Rev, etc." dataDxfId="100" totalsRowDxfId="99" dataCellStyle="Normal"/>
    <tableColumn id="548" xr3:uid="{2AA287A9-2269-4B72-BDDA-63DCD936FBC3}" name="CS. Adj Disc &amp; Allow" dataDxfId="98" totalsRowDxfId="97" dataCellStyle="Normal"/>
    <tableColumn id="549" xr3:uid="{8E38C1B0-7815-40C5-B820-CF7ECF87B344}" name="SRECNA Inst." dataDxfId="96" totalsRowDxfId="95" dataCellStyle="Normal"/>
    <tableColumn id="550" xr3:uid="{634EBB0D-7D3C-457C-AB84-7588E8D45EC1}" name="SRECNA Resh" dataDxfId="94" totalsRowDxfId="93" dataCellStyle="Normal"/>
    <tableColumn id="551" xr3:uid="{E89F98EC-8CF0-4DCF-B0A1-485E1332E24F}" name="SRECNA Pub Svc" dataDxfId="92" totalsRowDxfId="91" dataCellStyle="Normal"/>
    <tableColumn id="552" xr3:uid="{F2344396-3CFF-4017-B919-FF6637619A36}" name="SRECNA H&amp;C" dataDxfId="90" totalsRowDxfId="89" dataCellStyle="Normal"/>
    <tableColumn id="553" xr3:uid="{3BA53CEF-161B-427D-8232-536692749FC2}" name="SRECNA Aca Sppt" dataDxfId="88" totalsRowDxfId="87" dataCellStyle="Normal"/>
    <tableColumn id="554" xr3:uid="{88827182-F541-4A03-BA83-5EDDE358F8E5}" name="SRECNA Stu Svcs" dataDxfId="86" totalsRowDxfId="85" dataCellStyle="Normal"/>
    <tableColumn id="555" xr3:uid="{5D741BA7-5E1C-4099-B032-BFDCFF03BCA6}" name="SRECNA Inst. Sppt" dataDxfId="84" totalsRowDxfId="83" dataCellStyle="Normal"/>
    <tableColumn id="556" xr3:uid="{19DE8315-044B-461D-A644-F5A535494C36}" name="SRECNA Op &amp; Maint" dataDxfId="82" totalsRowDxfId="81" dataCellStyle="Normal"/>
    <tableColumn id="557" xr3:uid="{FD176362-8CDE-4DDE-8468-DFF9F93F9EAA}" name="SRECNA Schl &amp; Fell" dataDxfId="80" totalsRowDxfId="79" dataCellStyle="Normal"/>
    <tableColumn id="558" xr3:uid="{C38FCE68-C5E1-4316-A4D4-F897BA752629}" name="SRECNA Aux" dataDxfId="78" totalsRowDxfId="77" dataCellStyle="Normal"/>
    <tableColumn id="559" xr3:uid="{FAD8C0E5-C2B7-49DA-9BC1-7D603C079055}" name="SRECNA Cap Out fund" dataDxfId="76" totalsRowDxfId="75" dataCellStyle="Normal">
      <calculatedColumnFormula>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calculatedColumnFormula>
    </tableColumn>
    <tableColumn id="560" xr3:uid="{B106C651-4624-435E-8B11-126B82113B15}" name="SRECNA Oth Exp" dataDxfId="74" totalsRowDxfId="73" dataCellStyle="Normal">
      <calculatedColumnFormula>SUM(Input[[#This Row],[Oth Exp E&amp;G]],Input[[#This Row],[Oth Exp Desg]],Input[[#This Row],[Oth Exp Aux]],Input[[#This Row],[Oth Exp R Exp]],Input[[#This Row],[Oth Exp Loan]],Input[[#This Row],[Oth Exp Annuity]],Input[[#This Row],[Oth Exp Unexp]],Input[[#This Row],[Oth Exp R of Ind]],Input[[#This Row],[Oth Exp Inv in P]])</calculatedColumnFormula>
    </tableColumn>
    <tableColumn id="515" xr3:uid="{EAAA9C0A-E53E-47CD-B71B-1DF3E16BAD72}" name="Footnote Rev Rec'd" dataDxfId="72" totalsRowDxfId="71"/>
    <tableColumn id="516" xr3:uid="{D6EC084A-C17F-4A48-BB3B-A88E7BA8F728}" name="Footnote Non Exp" dataDxfId="70" totalsRowDxfId="69"/>
    <tableColumn id="563" xr3:uid="{ED9F7F44-B072-4F8A-9E7A-D0654B2C8878}" name="Contact Name" dataDxfId="68" totalsRowDxfId="67" dataCellStyle="Normal"/>
    <tableColumn id="564" xr3:uid="{CD4B27A1-4B27-4505-9726-9E3479CF61E5}" name="Contact Phone" dataDxfId="66" totalsRowDxfId="65" dataCellStyle="Normal"/>
    <tableColumn id="565" xr3:uid="{A52E9FF0-6303-4226-A6C4-3C20CE771E90}" name="Contact Email" dataDxfId="64" totalsRowDxfId="63" dataCellStyle="Normal"/>
    <tableColumn id="566" xr3:uid="{2AA5ACD2-D472-4A45-A569-F86AA56AACB4}" name="Contact Name (alt)" dataDxfId="62" totalsRowDxfId="61" dataCellStyle="Normal"/>
    <tableColumn id="567" xr3:uid="{54CD30C3-2912-4EFC-9F02-81E482F62D19}" name="Contact Phone (alt)" dataDxfId="60" totalsRowDxfId="59" dataCellStyle="Normal"/>
    <tableColumn id="568" xr3:uid="{CA4EF3DD-AA53-457C-BEA0-F03A79C4A3A0}" name="Contact Email (alt)" dataDxfId="58" totalsRowDxfId="57" dataCellStyle="Normal"/>
    <tableColumn id="569" xr3:uid="{12FE8308-A467-4BEB-8D6D-DA164171D2C0}" name="FTSE" dataDxfId="56" totalsRowDxfId="55" dataCellStyle="Normal">
      <calculatedColumnFormula array="1">IFERROR(_xlfn.IFS(Input[[#This Row],[Type]]="HRI",SUMIFS('FTSE | FTFE'!$P$8:$P$77,'FTSE | FTFE'!$H$8:$H$77,A2),Input[[#This Row],[Type]]="UNIV",SUMIFS('FTSE | FTFE'!$P$104:$P$139,'FTSE | FTFE'!$H$104:$H$139,A2),OR(Input[[#This Row],[Type]]="TSTC",Input[[#This Row],[Type]]="LSC"),SUMIFS('FTSE | FTFE'!$O$88:$O$96,'FTSE | FTFE'!$H$88:$H$96,A2),Input[[#This Row],[Type]]="AHM",SUMIFS(Hidden!$H$42:$H$45,Hidden!$G$42:$G$45,A2)),"N/A")</calculatedColumnFormula>
    </tableColumn>
    <tableColumn id="570" xr3:uid="{CEA508AE-DC5D-44F6-A162-39C6F2F57DAE}" name="FTFE" dataDxfId="54" totalsRowDxfId="53">
      <calculatedColumnFormula array="1">IFERROR(_xlfn.IFS(Input[[#This Row],[Type]]="HRI",SUMIFS('FTSE | FTFE'!$Q$8:$Q$77,'FTSE | FTFE'!$H$8:$H$77,A2),Input[[#This Row],[Type]]="UNIV",SUMIFS('FTSE | FTFE'!$Q$104:$Q$139,'FTSE | FTFE'!$H$104:$H$139,A2),OR(Input[[#This Row],[Type]]="TSTC",Input[[#This Row],[Type]]="LSC"),SUMIFS('FTSE | FTFE'!$P$88:$P$96,'FTSE | FTFE'!$H$88:$H$96,A2)),"N/A")</calculatedColumnFormula>
    </tableColumn>
    <tableColumn id="571" xr3:uid="{D28D713C-1F82-4BE3-B928-2DD3F4476F41}" name="State Revenue" dataDxfId="52" totalsRowDxfId="51" dataCellStyle="Normal">
      <calculatedColumnFormula>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calculatedColumnFormula>
    </tableColumn>
    <tableColumn id="572" xr3:uid="{654F58E1-E378-47E1-96FD-C6478DBD0834}" name="Constitutional Funds Revenue" dataDxfId="50" totalsRowDxfId="49" dataCellStyle="Normal">
      <calculatedColumnFormula>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calculatedColumnFormula>
    </tableColumn>
    <tableColumn id="573" xr3:uid="{0E8B4C4A-2DAB-4ECF-A00F-F057DD709071}" name="Federal Revenue" dataDxfId="48" totalsRowDxfId="47" dataCellStyle="Normal">
      <calculatedColumnFormula>SUM(Input[[#This Row],[Fed G&amp;C E&amp;G]],Input[[#This Row],[Fed G&amp;C Desg]],Input[[#This Row],[Fed G&amp;C R Exp]],Input[[#This Row],[Fed G&amp;C Loan]],Input[[#This Row],[Fed G&amp;C Annuity]],Input[[#This Row],[Fed G&amp;C Unexp]],Input[[#This Row],[Fed G&amp;C R of Ind]],Input[[#This Row],[Fed G&amp;C Inv in P]])</calculatedColumnFormula>
    </tableColumn>
    <tableColumn id="574" xr3:uid="{CB9C3B15-7A71-4B87-AEEE-12D47DC3AD4E}" name="Institutional Revenue" dataDxfId="46" totalsRowDxfId="45" dataCellStyle="Normal">
      <calculatedColumnFormula>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calculatedColumnFormula>
    </tableColumn>
    <tableColumn id="575" xr3:uid="{D7ECC709-9FA3-4CED-9AF9-1304B6F03858}" name="Net Tuition Revenue" dataDxfId="44" totalsRowDxfId="43" dataCellStyle="Normal">
      <calculatedColumnFormula>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calculatedColumnFormula>
    </tableColumn>
    <tableColumn id="576" xr3:uid="{8D63C270-61A8-4265-A841-FBA4A50F5205}" name="Net Fees Revenue" dataDxfId="42" totalsRowDxfId="41" dataCellStyle="Normal">
      <calculatedColumnFormula>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calculatedColumnFormula>
    </tableColumn>
    <tableColumn id="577" xr3:uid="{A6D5A3E2-4600-4DAE-9BA4-DCEA646DF0B6}" name="Other Revenue" dataDxfId="40" totalsRowDxfId="39" dataCellStyle="Normal">
      <calculatedColumnFormula>SUM(Input[[#This Row],[Oth Inc E&amp;G]],Input[[#This Row],[Oth Exp Desg]],Input[[#This Row],[Oth Exp R Exp]],Input[[#This Row],[Oth Exp Loan]],Input[[#This Row],[Oth Exp Annuity]],Input[[#This Row],[Oth Exp Unexp]],Input[[#This Row],[Oth Exp R of Ind]],Input[[#This Row],[Oth Exp Inv in P]])</calculatedColumnFormula>
    </tableColumn>
    <tableColumn id="578" xr3:uid="{F410B93E-C624-4265-BDBE-186BBFC156FE}" name="Instruction Uses" dataDxfId="38" totalsRowDxfId="37" dataCellStyle="Normal">
      <calculatedColumnFormula>SUM(Input[[#This Row],[Instr E&amp;G]],Input[[#This Row],[Instr Desg]],Input[[#This Row],[Instr R Exp]],Input[[#This Row],[Instr Loan]],Input[[#This Row],[Instr Annuity]],Input[[#This Row],[Instr Unexp]],Input[[#This Row],[Instr R of Ind]],Input[[#This Row],[Instr Inv in P]])</calculatedColumnFormula>
    </tableColumn>
    <tableColumn id="579" xr3:uid="{34AF8A1E-88EA-4859-A598-BADD526E996C}" name="Research Uses" dataDxfId="36" totalsRowDxfId="35" dataCellStyle="Normal">
      <calculatedColumnFormula>SUM(Input[[#This Row],[Res E&amp;G]],Input[[#This Row],[Res Desg]],Input[[#This Row],[Res R Exp]],Input[[#This Row],[Res Loan]],Input[[#This Row],[Res Annuity]],Input[[#This Row],[Res Unexp]],Input[[#This Row],[Res R of Ind]],Input[[#This Row],[Res Inv in P]])</calculatedColumnFormula>
    </tableColumn>
    <tableColumn id="580" xr3:uid="{2D36BE47-58FA-469B-AE71-665C6EA4A716}" name="Academic Uses" dataDxfId="34" totalsRowDxfId="33" dataCellStyle="Normal">
      <calculatedColumnFormula>SUM(Input[[#This Row],[Acad Sup E&amp;G]],Input[[#This Row],[Acad Sup Desg]],Input[[#This Row],[Acad Sup R Exp]],Input[[#This Row],[Acad Sup Loan]],Input[[#This Row],[Acad Sup Annuity]],Input[[#This Row],[Acad Sup Unexp]],Input[[#This Row],[Acad Sup R of Ind]],Input[[#This Row],[Acad Sup Inv in P]])</calculatedColumnFormula>
    </tableColumn>
    <tableColumn id="581" xr3:uid="{EB1291A3-7EC8-4A69-820E-FBE1AA2FCDF9}" name="Student Uses" dataDxfId="32" totalsRowDxfId="31" dataCellStyle="Normal">
      <calculatedColumnFormula>SUM(Input[[#This Row],[Stu Svc E&amp;G]],Input[[#This Row],[Stu Svc Desg]],Input[[#This Row],[Stu Svc R Exp]],Input[[#This Row],[Stu Svc Loan]],Input[[#This Row],[Stu Svc Annuity]],Input[[#This Row],[Stu Svc Unexp]],Input[[#This Row],[Stu Svc R of Ind]],Input[[#This Row],[Stu Svc Inv in P]])</calculatedColumnFormula>
    </tableColumn>
    <tableColumn id="582" xr3:uid="{31EC6F29-DA3E-4BC3-A3BA-9BE5EA9F8954}" name="Institutional Uses" dataDxfId="30" totalsRowDxfId="29" dataCellStyle="Normal">
      <calculatedColumnFormula>SUM(Input[[#This Row],[Inst. Spt E&amp;G]],Input[[#This Row],[Inst. Spt Desg]],Input[[#This Row],[Inst. Spt R Exp]],Input[[#This Row],[Inst. Spt Loan]],Input[[#This Row],[Inst. Spt Annuity]],Input[[#This Row],[Inst. Spt Unexp]],Input[[#This Row],[Inst. Spt R of Ind]],Input[[#This Row],[Inst. Spt Inv in P]])</calculatedColumnFormula>
    </tableColumn>
    <tableColumn id="583" xr3:uid="{8E1FE8B7-7E3E-43BB-A285-35366CE63365}" name="Operations Uses" dataDxfId="28" totalsRowDxfId="27" dataCellStyle="Normal">
      <calculatedColumnFormula>SUM(Input[[#This Row],[M&amp;O Plnt E&amp;G]],Input[[#This Row],[M&amp;O Plnt Desg]],Input[[#This Row],[M&amp;O Plnt R Exp]],Input[[#This Row],[M&amp;O Plnt Loan]],Input[[#This Row],[M&amp;O Plnt Annuity]],Input[[#This Row],[M&amp;O Plnt Unexp]],Input[[#This Row],[M&amp;O Plnt R of Ind]],Input[[#This Row],[M&amp;O Plnt Inv in P]])</calculatedColumnFormula>
    </tableColumn>
    <tableColumn id="584" xr3:uid="{C0457662-3E49-4A2A-A8AC-FEA1AFA2AB45}" name="Scholarships Uses" dataDxfId="26" totalsRowDxfId="25" dataCellStyle="Normal">
      <calculatedColumnFormula>SUM(Input[[#This Row],[Schl &amp; Fell E&amp;G]],Input[[#This Row],[Schl &amp; Fell Desg]],Input[[#This Row],[Schl &amp; Fell R Exp]],Input[[#This Row],[Schl &amp; Fell Loan]],Input[[#This Row],[Schl &amp; Fell Annuity]],Input[[#This Row],[Schl &amp; Fell Unexp]],Input[[#This Row],[Schl &amp; Fell R of Ind]],Input[[#This Row],[Schl &amp; Fell Inv in P]])</calculatedColumnFormula>
    </tableColumn>
    <tableColumn id="585" xr3:uid="{5E547A0F-176E-4485-9266-AC6928B826FD}" name="Capital Uses" dataDxfId="24" totalsRowDxfId="23" dataCellStyle="Normal">
      <calculatedColumnFormula>SUM(Input[[#This Row],[Cap Out fund E&amp;G]],Input[[#This Row],[Cap Out fund Desg]],Input[[#This Row],[Cap Out fund R Exp]],Input[[#This Row],[Cap Out fund Loan]],Input[[#This Row],[Cap Out fund Annuity]],Input[[#This Row],[Cap Out fund Unexp]],Input[[#This Row],[Cap Out fund R of Ind]],Input[[#This Row],[Cap Out fund Inv in P]])</calculatedColumnFormula>
    </tableColumn>
    <tableColumn id="586" xr3:uid="{BC243E54-91DC-47A6-85F3-85324CE3B2EE}" name="Other Uses" dataDxfId="22" totalsRowDxfId="21" dataCellStyle="Normal">
      <calculatedColumnFormula>SUM(Input[[#This Row],[Oth Exp E&amp;G]],Input[[#This Row],[Oth Exp Desg]],Input[[#This Row],[Oth Exp R Exp]],Input[[#This Row],[Oth Exp Loan]],Input[[#This Row],[Oth Exp Annuity]],Input[[#This Row],[Oth Exp Unexp]],Input[[#This Row],[Oth Exp R of Ind]],Input[[#This Row],[Oth Exp Inv in P]],Input[[#This Row],[Oth Exp Inv in P]])</calculatedColumnFormula>
    </tableColumn>
  </tableColumns>
  <tableStyleInfo name="Defaul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FE8973-5168-4995-814D-2250C8440226}" name="Index" displayName="Index" ref="A1:C80" totalsRowShown="0" headerRowDxfId="20" dataDxfId="19" headerRowCellStyle="Accent2" dataCellStyle="Normal">
  <autoFilter ref="A1:C80" xr:uid="{8FFE8973-5168-4995-814D-2250C8440226}"/>
  <sortState xmlns:xlrd2="http://schemas.microsoft.com/office/spreadsheetml/2017/richdata2" ref="A2:C80">
    <sortCondition ref="A1:A80"/>
  </sortState>
  <tableColumns count="3">
    <tableColumn id="1" xr3:uid="{91F3AAFF-CAA0-4BF5-A36A-BD7BEEABA199}" name="Institution Name" dataDxfId="18" dataCellStyle="Normal"/>
    <tableColumn id="2" xr3:uid="{088788B7-AA1F-4671-AD18-7BA5C7FE7C0A}" name="Institution Type" dataDxfId="17" dataCellStyle="Normal"/>
    <tableColumn id="3" xr3:uid="{4CF2C38C-A1F8-4BF0-97A8-E0048E1ADD0F}" name="Type" dataDxfId="16" dataCellStyle="Normal"/>
  </tableColumns>
  <tableStyleInfo name="Default" showFirstColumn="0" showLastColumn="0" showRowStripes="1" showColumnStripes="0"/>
</table>
</file>

<file path=xl/theme/theme1.xml><?xml version="1.0" encoding="utf-8"?>
<a:theme xmlns:a="http://schemas.openxmlformats.org/drawingml/2006/main" name="Theme2">
  <a:themeElements>
    <a:clrScheme name="Branding">
      <a:dk1>
        <a:sysClr val="windowText" lastClr="000000"/>
      </a:dk1>
      <a:lt1>
        <a:sysClr val="window" lastClr="FFFFFF"/>
      </a:lt1>
      <a:dk2>
        <a:srgbClr val="323232"/>
      </a:dk2>
      <a:lt2>
        <a:srgbClr val="E3DED1"/>
      </a:lt2>
      <a:accent1>
        <a:srgbClr val="003E52"/>
      </a:accent1>
      <a:accent2>
        <a:srgbClr val="007DA4"/>
      </a:accent2>
      <a:accent3>
        <a:srgbClr val="87D1E6"/>
      </a:accent3>
      <a:accent4>
        <a:srgbClr val="F4B223"/>
      </a:accent4>
      <a:accent5>
        <a:srgbClr val="F6DFA4"/>
      </a:accent5>
      <a:accent6>
        <a:srgbClr val="FFFFFF"/>
      </a:accent6>
      <a:hlink>
        <a:srgbClr val="0000FF"/>
      </a:hlink>
      <a:folHlink>
        <a:srgbClr val="0000FF"/>
      </a:folHlink>
    </a:clrScheme>
    <a:fontScheme name="Segoe UI">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3.xml"/><Relationship Id="rId4" Type="http://schemas.openxmlformats.org/officeDocument/2006/relationships/table" Target="../tables/table3.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txhighereddata.org/institution-overviews/institutional-online-resumes/" TargetMode="External"/><Relationship Id="rId3" Type="http://schemas.openxmlformats.org/officeDocument/2006/relationships/hyperlink" Target="https://fmx.cpa.texas.gov/fmx/pubs/afrrptreq/universities/index.php?section=organization&amp;page=tuition" TargetMode="External"/><Relationship Id="rId7" Type="http://schemas.openxmlformats.org/officeDocument/2006/relationships/hyperlink" Target="https://statutes.capitol.texas.gov/?tab=1&amp;code=ED&amp;chapter=ED.61&amp;artSec=61.065" TargetMode="External"/><Relationship Id="rId2" Type="http://schemas.openxmlformats.org/officeDocument/2006/relationships/hyperlink" Target="https://www.hhloans.com/types-of-financial-aid/" TargetMode="External"/><Relationship Id="rId1" Type="http://schemas.openxmlformats.org/officeDocument/2006/relationships/hyperlink" Target="https://www.lbb.texas.gov/budget.aspx" TargetMode="External"/><Relationship Id="rId6" Type="http://schemas.openxmlformats.org/officeDocument/2006/relationships/hyperlink" Target="https://www.highered.texas.gov/legislative-appropriations-overviews/sources-and-uses/" TargetMode="External"/><Relationship Id="rId11" Type="http://schemas.openxmlformats.org/officeDocument/2006/relationships/drawing" Target="../drawings/drawing3.xml"/><Relationship Id="rId5" Type="http://schemas.openxmlformats.org/officeDocument/2006/relationships/hyperlink" Target="https://www.nacubo.org/" TargetMode="External"/><Relationship Id="rId10" Type="http://schemas.openxmlformats.org/officeDocument/2006/relationships/hyperlink" Target="https://reportcenter.highered.texas.gov/agency-publication/almanac/" TargetMode="External"/><Relationship Id="rId4" Type="http://schemas.openxmlformats.org/officeDocument/2006/relationships/hyperlink" Target="https://fmx.cpa.texas.gov/fmx/pubs/afrrptreq/resources/index.php?section=definitions&amp;page=definitions" TargetMode="External"/><Relationship Id="rId9" Type="http://schemas.openxmlformats.org/officeDocument/2006/relationships/hyperlink" Target="http://www.txhigheredaccountability.org/AcctPublic/"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34260-F608-4D68-A96E-D4D13E577072}">
  <sheetPr codeName="Sheet3">
    <tabColor theme="6"/>
  </sheetPr>
  <dimension ref="A1:AX45"/>
  <sheetViews>
    <sheetView tabSelected="1" zoomScale="80" zoomScaleNormal="80" workbookViewId="0">
      <selection activeCell="H3" sqref="H3:AH3"/>
    </sheetView>
  </sheetViews>
  <sheetFormatPr defaultColWidth="8.6640625" defaultRowHeight="15.6" x14ac:dyDescent="0.3"/>
  <cols>
    <col min="1" max="7" width="6.6640625" style="36" customWidth="1"/>
    <col min="8" max="35" width="6.58203125" customWidth="1"/>
    <col min="36" max="50" width="6.58203125" style="36" customWidth="1"/>
    <col min="51" max="16384" width="8.6640625" style="36"/>
  </cols>
  <sheetData>
    <row r="1" spans="1:50" ht="30" customHeight="1" x14ac:dyDescent="0.3">
      <c r="A1" s="24"/>
      <c r="B1" s="24"/>
      <c r="C1" s="24"/>
      <c r="D1" s="24"/>
      <c r="E1" s="24"/>
      <c r="F1" s="24"/>
      <c r="G1" s="24"/>
      <c r="H1" s="151" t="s">
        <v>1245</v>
      </c>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5"/>
      <c r="AJ1" s="24"/>
      <c r="AK1" s="24"/>
      <c r="AL1" s="24"/>
      <c r="AM1" s="24"/>
      <c r="AN1" s="24"/>
      <c r="AO1" s="24"/>
      <c r="AP1" s="24"/>
      <c r="AQ1" s="24"/>
      <c r="AR1" s="24"/>
      <c r="AS1" s="24"/>
      <c r="AT1" s="24"/>
      <c r="AU1" s="24"/>
      <c r="AV1" s="24"/>
      <c r="AW1" s="24"/>
      <c r="AX1" s="24"/>
    </row>
    <row r="2" spans="1:50" ht="30" customHeight="1" x14ac:dyDescent="0.3">
      <c r="A2" s="24"/>
      <c r="B2" s="24"/>
      <c r="C2" s="24"/>
      <c r="D2" s="24"/>
      <c r="E2" s="24"/>
      <c r="F2" s="24"/>
      <c r="G2" s="24"/>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5"/>
      <c r="AJ2" s="24"/>
      <c r="AK2" s="24"/>
      <c r="AL2" s="24"/>
      <c r="AM2" s="24"/>
      <c r="AN2" s="24"/>
      <c r="AO2" s="24"/>
      <c r="AP2" s="24"/>
      <c r="AQ2" s="24"/>
      <c r="AR2" s="24"/>
      <c r="AS2" s="24"/>
      <c r="AT2" s="24"/>
      <c r="AU2" s="24"/>
      <c r="AV2" s="24"/>
      <c r="AW2" s="24"/>
      <c r="AX2" s="24"/>
    </row>
    <row r="3" spans="1:50" ht="30" customHeight="1" x14ac:dyDescent="0.3">
      <c r="A3" s="24"/>
      <c r="B3" s="24"/>
      <c r="C3" s="24"/>
      <c r="D3" s="24"/>
      <c r="E3" s="24"/>
      <c r="F3" s="24"/>
      <c r="G3" s="24"/>
      <c r="H3" s="156" t="s">
        <v>1019</v>
      </c>
      <c r="I3" s="156"/>
      <c r="J3" s="156"/>
      <c r="K3" s="156"/>
      <c r="L3" s="156"/>
      <c r="M3" s="156"/>
      <c r="N3" s="156"/>
      <c r="O3" s="156"/>
      <c r="P3" s="156"/>
      <c r="Q3" s="156"/>
      <c r="R3" s="156"/>
      <c r="S3" s="156"/>
      <c r="T3" s="156"/>
      <c r="U3" s="156"/>
      <c r="V3" s="156"/>
      <c r="W3" s="156"/>
      <c r="X3" s="156"/>
      <c r="Y3" s="156"/>
      <c r="Z3" s="156"/>
      <c r="AA3" s="156"/>
      <c r="AB3" s="156"/>
      <c r="AC3" s="156"/>
      <c r="AD3" s="156"/>
      <c r="AE3" s="156"/>
      <c r="AF3" s="156"/>
      <c r="AG3" s="156"/>
      <c r="AH3" s="156"/>
      <c r="AI3" s="5"/>
      <c r="AJ3" s="24"/>
      <c r="AK3" s="24"/>
      <c r="AL3" s="24"/>
      <c r="AM3" s="24"/>
      <c r="AN3" s="24"/>
      <c r="AO3" s="24"/>
      <c r="AP3" s="24"/>
      <c r="AQ3" s="24"/>
      <c r="AR3" s="24"/>
      <c r="AS3" s="24"/>
      <c r="AT3" s="24"/>
      <c r="AU3" s="24"/>
      <c r="AV3" s="24"/>
      <c r="AW3" s="24"/>
      <c r="AX3" s="24"/>
    </row>
    <row r="4" spans="1:50" ht="30" customHeight="1" x14ac:dyDescent="0.3">
      <c r="A4" s="24"/>
      <c r="B4" s="24"/>
      <c r="C4" s="24"/>
      <c r="D4" s="24"/>
      <c r="E4" s="24"/>
      <c r="F4" s="24"/>
      <c r="G4" s="24"/>
      <c r="H4" s="153" t="s">
        <v>1311</v>
      </c>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5"/>
      <c r="AJ4" s="24"/>
      <c r="AK4" s="24"/>
      <c r="AL4" s="24"/>
      <c r="AM4" s="24"/>
      <c r="AN4" s="24"/>
      <c r="AO4" s="24"/>
      <c r="AP4" s="24"/>
      <c r="AQ4" s="24"/>
      <c r="AR4" s="24"/>
      <c r="AS4" s="24"/>
      <c r="AT4" s="24"/>
      <c r="AU4" s="24"/>
      <c r="AV4" s="24"/>
      <c r="AW4" s="24"/>
      <c r="AX4" s="24"/>
    </row>
    <row r="5" spans="1:50" ht="30" customHeight="1" x14ac:dyDescent="0.3">
      <c r="A5" s="24"/>
      <c r="B5" s="24"/>
      <c r="C5" s="24"/>
      <c r="D5" s="24"/>
      <c r="E5" s="24"/>
      <c r="F5" s="24"/>
      <c r="G5" s="24"/>
      <c r="H5" s="154" t="s">
        <v>1293</v>
      </c>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5"/>
      <c r="AJ5" s="24"/>
      <c r="AK5" s="24"/>
      <c r="AL5" s="24"/>
      <c r="AM5" s="24"/>
      <c r="AN5" s="24"/>
      <c r="AO5" s="24"/>
      <c r="AP5" s="24"/>
      <c r="AQ5" s="24"/>
      <c r="AR5" s="24"/>
      <c r="AS5" s="24"/>
      <c r="AT5" s="24"/>
      <c r="AU5" s="24"/>
      <c r="AV5" s="24"/>
      <c r="AW5" s="24"/>
      <c r="AX5" s="24"/>
    </row>
    <row r="6" spans="1:50" ht="30" customHeight="1" x14ac:dyDescent="0.3">
      <c r="A6" s="24"/>
      <c r="B6" s="24"/>
      <c r="C6" s="24"/>
      <c r="D6" s="24"/>
      <c r="E6" s="24"/>
      <c r="F6" s="24"/>
      <c r="G6" s="2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4"/>
      <c r="AG6" s="154"/>
      <c r="AH6" s="154"/>
      <c r="AI6" s="5"/>
      <c r="AJ6" s="24"/>
      <c r="AK6" s="24"/>
      <c r="AL6" s="24"/>
      <c r="AM6" s="24"/>
      <c r="AN6" s="24"/>
      <c r="AO6" s="24"/>
      <c r="AP6" s="24"/>
      <c r="AQ6" s="24"/>
      <c r="AR6" s="24"/>
      <c r="AS6" s="24"/>
      <c r="AT6" s="24"/>
      <c r="AU6" s="24"/>
      <c r="AV6" s="24"/>
      <c r="AW6" s="24"/>
      <c r="AX6" s="24"/>
    </row>
    <row r="7" spans="1:50" ht="30" customHeight="1" x14ac:dyDescent="0.3">
      <c r="A7" s="24"/>
      <c r="B7" s="24"/>
      <c r="C7" s="24"/>
      <c r="D7" s="24"/>
      <c r="E7" s="24"/>
      <c r="F7" s="24"/>
      <c r="G7" s="2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5"/>
      <c r="AJ7" s="24"/>
      <c r="AK7" s="24"/>
      <c r="AL7" s="24"/>
      <c r="AM7" s="24"/>
      <c r="AN7" s="24"/>
      <c r="AO7" s="24"/>
      <c r="AP7" s="24"/>
      <c r="AQ7" s="24"/>
      <c r="AR7" s="24"/>
      <c r="AS7" s="24"/>
      <c r="AT7" s="24"/>
      <c r="AU7" s="24"/>
      <c r="AV7" s="24"/>
      <c r="AW7" s="24"/>
      <c r="AX7" s="24"/>
    </row>
    <row r="8" spans="1:50" ht="30" customHeight="1" x14ac:dyDescent="0.3">
      <c r="A8" s="24"/>
      <c r="B8" s="24"/>
      <c r="C8" s="24"/>
      <c r="D8" s="24"/>
      <c r="E8" s="24"/>
      <c r="F8" s="24"/>
      <c r="G8" s="24"/>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5"/>
      <c r="AJ8" s="24"/>
      <c r="AK8" s="24"/>
      <c r="AL8" s="24"/>
      <c r="AM8" s="24"/>
      <c r="AN8" s="24"/>
      <c r="AO8" s="24"/>
      <c r="AP8" s="24"/>
      <c r="AQ8" s="24"/>
      <c r="AR8" s="24"/>
      <c r="AS8" s="24"/>
      <c r="AT8" s="24"/>
      <c r="AU8" s="24"/>
      <c r="AV8" s="24"/>
      <c r="AW8" s="24"/>
      <c r="AX8" s="24"/>
    </row>
    <row r="9" spans="1:50" ht="30" customHeight="1" x14ac:dyDescent="0.3">
      <c r="A9" s="24"/>
      <c r="B9" s="24"/>
      <c r="C9" s="24"/>
      <c r="D9" s="24"/>
      <c r="E9" s="24"/>
      <c r="F9" s="24"/>
      <c r="G9" s="24"/>
      <c r="H9" s="146" t="s">
        <v>1236</v>
      </c>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8"/>
      <c r="AI9" s="5"/>
      <c r="AJ9" s="24"/>
      <c r="AK9" s="24"/>
      <c r="AL9" s="24"/>
      <c r="AM9" s="24"/>
      <c r="AN9" s="24"/>
      <c r="AO9" s="24"/>
      <c r="AP9" s="24"/>
      <c r="AQ9" s="24"/>
      <c r="AR9" s="24"/>
      <c r="AS9" s="24"/>
      <c r="AT9" s="24"/>
      <c r="AU9" s="24"/>
      <c r="AV9" s="24"/>
      <c r="AW9" s="24"/>
      <c r="AX9" s="24"/>
    </row>
    <row r="10" spans="1:50" ht="30" customHeight="1" x14ac:dyDescent="0.3">
      <c r="A10" s="24"/>
      <c r="B10" s="24"/>
      <c r="C10" s="24"/>
      <c r="D10" s="24"/>
      <c r="E10" s="24"/>
      <c r="F10" s="24"/>
      <c r="G10" s="24"/>
      <c r="H10" s="149" t="s">
        <v>1308</v>
      </c>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5"/>
      <c r="AJ10" s="24"/>
      <c r="AK10" s="24"/>
      <c r="AL10" s="24"/>
      <c r="AM10" s="24"/>
      <c r="AN10" s="24"/>
      <c r="AO10" s="24"/>
      <c r="AP10" s="24"/>
      <c r="AQ10" s="24"/>
      <c r="AR10" s="24"/>
      <c r="AS10" s="24"/>
      <c r="AT10" s="24"/>
      <c r="AU10" s="24"/>
      <c r="AV10" s="24"/>
      <c r="AW10" s="24"/>
      <c r="AX10" s="24"/>
    </row>
    <row r="11" spans="1:50" ht="30" customHeight="1" x14ac:dyDescent="0.3">
      <c r="A11" s="24"/>
      <c r="B11" s="24"/>
      <c r="C11" s="24"/>
      <c r="D11" s="24"/>
      <c r="E11" s="24"/>
      <c r="F11" s="24"/>
      <c r="G11" s="24"/>
      <c r="H11" s="146" t="s">
        <v>1131</v>
      </c>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8"/>
      <c r="AI11" s="5"/>
      <c r="AJ11" s="24"/>
      <c r="AK11" s="24"/>
      <c r="AL11" s="24"/>
      <c r="AM11" s="24"/>
      <c r="AN11" s="24"/>
      <c r="AO11" s="24"/>
      <c r="AP11" s="24"/>
      <c r="AQ11" s="24"/>
      <c r="AR11" s="24"/>
      <c r="AS11" s="24"/>
      <c r="AT11" s="24"/>
      <c r="AU11" s="24"/>
      <c r="AV11" s="24"/>
      <c r="AW11" s="24"/>
      <c r="AX11" s="24"/>
    </row>
    <row r="12" spans="1:50" ht="30" customHeight="1" x14ac:dyDescent="0.3">
      <c r="A12" s="24"/>
      <c r="B12" s="24"/>
      <c r="C12" s="24"/>
      <c r="D12" s="24"/>
      <c r="E12" s="24"/>
      <c r="F12" s="24"/>
      <c r="G12" s="24"/>
      <c r="H12" s="149" t="s">
        <v>1246</v>
      </c>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5"/>
      <c r="AJ12" s="24"/>
      <c r="AK12" s="24"/>
      <c r="AL12" s="24"/>
      <c r="AM12" s="24"/>
      <c r="AN12" s="24"/>
      <c r="AO12" s="24"/>
      <c r="AP12" s="24"/>
      <c r="AQ12" s="24"/>
      <c r="AR12" s="24"/>
      <c r="AS12" s="24"/>
      <c r="AT12" s="24"/>
      <c r="AU12" s="24"/>
      <c r="AV12" s="24"/>
      <c r="AW12" s="24"/>
      <c r="AX12" s="24"/>
    </row>
    <row r="13" spans="1:50" ht="30" customHeight="1" x14ac:dyDescent="0.3">
      <c r="A13" s="24"/>
      <c r="B13" s="24"/>
      <c r="C13" s="24"/>
      <c r="D13" s="24"/>
      <c r="E13" s="24"/>
      <c r="F13" s="24"/>
      <c r="G13" s="24"/>
      <c r="H13" s="146" t="s">
        <v>954</v>
      </c>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8"/>
      <c r="AI13" s="5"/>
      <c r="AJ13" s="24"/>
      <c r="AK13" s="24"/>
      <c r="AL13" s="24"/>
      <c r="AM13" s="24"/>
      <c r="AN13" s="24"/>
      <c r="AO13" s="24"/>
      <c r="AP13" s="24"/>
      <c r="AQ13" s="24"/>
      <c r="AR13" s="24"/>
      <c r="AS13" s="24"/>
      <c r="AT13" s="24"/>
      <c r="AU13" s="24"/>
      <c r="AV13" s="24"/>
      <c r="AW13" s="24"/>
      <c r="AX13" s="24"/>
    </row>
    <row r="14" spans="1:50" ht="30" customHeight="1" x14ac:dyDescent="0.3">
      <c r="A14" s="24"/>
      <c r="B14" s="24"/>
      <c r="C14" s="24"/>
      <c r="D14" s="24"/>
      <c r="E14" s="24"/>
      <c r="F14" s="24"/>
      <c r="G14" s="24"/>
      <c r="H14" s="149" t="s">
        <v>1307</v>
      </c>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5"/>
      <c r="AJ14" s="24"/>
      <c r="AK14" s="24"/>
      <c r="AL14" s="24"/>
      <c r="AM14" s="24"/>
      <c r="AN14" s="24"/>
      <c r="AO14" s="24"/>
      <c r="AP14" s="24"/>
      <c r="AQ14" s="24"/>
      <c r="AR14" s="24"/>
      <c r="AS14" s="24"/>
      <c r="AT14" s="24"/>
      <c r="AU14" s="24"/>
      <c r="AV14" s="24"/>
      <c r="AW14" s="24"/>
      <c r="AX14" s="24"/>
    </row>
    <row r="15" spans="1:50" ht="30" customHeight="1" x14ac:dyDescent="0.3">
      <c r="A15" s="24"/>
      <c r="B15" s="24"/>
      <c r="C15" s="24"/>
      <c r="D15" s="24"/>
      <c r="E15" s="24"/>
      <c r="F15" s="24"/>
      <c r="G15" s="24"/>
      <c r="H15" s="146" t="s">
        <v>1237</v>
      </c>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8"/>
      <c r="AI15" s="5"/>
      <c r="AJ15" s="24"/>
      <c r="AK15" s="24"/>
      <c r="AL15" s="24"/>
      <c r="AM15" s="24"/>
      <c r="AN15" s="24"/>
      <c r="AO15" s="24"/>
      <c r="AP15" s="24"/>
      <c r="AQ15" s="24"/>
      <c r="AR15" s="24"/>
      <c r="AS15" s="24"/>
      <c r="AT15" s="24"/>
      <c r="AU15" s="24"/>
      <c r="AV15" s="24"/>
      <c r="AW15" s="24"/>
      <c r="AX15" s="24"/>
    </row>
    <row r="16" spans="1:50" ht="30" customHeight="1" x14ac:dyDescent="0.3">
      <c r="A16" s="24"/>
      <c r="B16" s="24"/>
      <c r="C16" s="24"/>
      <c r="D16" s="24"/>
      <c r="E16" s="24"/>
      <c r="F16" s="24"/>
      <c r="G16" s="24"/>
      <c r="H16" s="150" t="s">
        <v>1306</v>
      </c>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5"/>
      <c r="AJ16" s="24"/>
      <c r="AK16" s="24"/>
      <c r="AL16" s="24"/>
      <c r="AM16" s="24"/>
      <c r="AN16" s="24"/>
      <c r="AO16" s="24"/>
      <c r="AP16" s="24"/>
      <c r="AQ16" s="24"/>
      <c r="AR16" s="24"/>
      <c r="AS16" s="24"/>
      <c r="AT16" s="24"/>
      <c r="AU16" s="24"/>
      <c r="AV16" s="24"/>
      <c r="AW16" s="24"/>
      <c r="AX16" s="24"/>
    </row>
    <row r="17" spans="1:50" ht="30" customHeight="1" x14ac:dyDescent="0.3">
      <c r="A17" s="24"/>
      <c r="B17" s="24"/>
      <c r="C17" s="24"/>
      <c r="D17" s="24"/>
      <c r="E17" s="24"/>
      <c r="F17" s="24"/>
      <c r="G17" s="24"/>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5"/>
      <c r="AJ17" s="24"/>
      <c r="AK17" s="24"/>
      <c r="AL17" s="24"/>
      <c r="AM17" s="24"/>
      <c r="AN17" s="24"/>
      <c r="AO17" s="24"/>
      <c r="AP17" s="24"/>
      <c r="AQ17" s="24"/>
      <c r="AR17" s="24"/>
      <c r="AS17" s="24"/>
      <c r="AT17" s="24"/>
      <c r="AU17" s="24"/>
      <c r="AV17" s="24"/>
      <c r="AW17" s="24"/>
      <c r="AX17" s="24"/>
    </row>
    <row r="18" spans="1:50" ht="30" customHeight="1" x14ac:dyDescent="0.3">
      <c r="A18" s="24"/>
      <c r="B18" s="24"/>
      <c r="C18" s="24"/>
      <c r="D18" s="24"/>
      <c r="E18" s="24"/>
      <c r="F18" s="24"/>
      <c r="G18" s="24"/>
      <c r="H18" s="146" t="s">
        <v>1009</v>
      </c>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8"/>
      <c r="AI18" s="5"/>
      <c r="AJ18" s="24"/>
      <c r="AK18" s="24"/>
      <c r="AL18" s="24"/>
      <c r="AM18" s="24"/>
      <c r="AN18" s="24"/>
      <c r="AO18" s="24"/>
      <c r="AP18" s="24"/>
      <c r="AQ18" s="24"/>
      <c r="AR18" s="24"/>
      <c r="AS18" s="24"/>
      <c r="AT18" s="24"/>
      <c r="AU18" s="24"/>
      <c r="AV18" s="24"/>
      <c r="AW18" s="24"/>
      <c r="AX18" s="24"/>
    </row>
    <row r="19" spans="1:50" ht="30" customHeight="1" x14ac:dyDescent="0.3">
      <c r="A19" s="24"/>
      <c r="B19" s="24"/>
      <c r="C19" s="24"/>
      <c r="D19" s="24"/>
      <c r="E19" s="24"/>
      <c r="F19" s="24"/>
      <c r="G19" s="24"/>
      <c r="H19" s="150" t="s">
        <v>1305</v>
      </c>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5"/>
      <c r="AJ19" s="24"/>
      <c r="AK19" s="24"/>
      <c r="AL19" s="24"/>
      <c r="AM19" s="24"/>
      <c r="AN19" s="24"/>
      <c r="AO19" s="24"/>
      <c r="AP19" s="24"/>
      <c r="AQ19" s="24"/>
      <c r="AR19" s="24"/>
      <c r="AS19" s="24"/>
      <c r="AT19" s="24"/>
      <c r="AU19" s="24"/>
      <c r="AV19" s="24"/>
      <c r="AW19" s="24"/>
      <c r="AX19" s="24"/>
    </row>
    <row r="20" spans="1:50" ht="30" customHeight="1" x14ac:dyDescent="0.3">
      <c r="A20" s="24"/>
      <c r="B20" s="24"/>
      <c r="C20" s="24"/>
      <c r="D20" s="24"/>
      <c r="E20" s="24"/>
      <c r="F20" s="24"/>
      <c r="G20" s="24"/>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5"/>
      <c r="AJ20" s="24"/>
      <c r="AK20" s="24"/>
      <c r="AL20" s="24"/>
      <c r="AM20" s="24"/>
      <c r="AN20" s="24"/>
      <c r="AO20" s="24"/>
      <c r="AP20" s="24"/>
      <c r="AQ20" s="24"/>
      <c r="AR20" s="24"/>
      <c r="AS20" s="24"/>
      <c r="AT20" s="24"/>
      <c r="AU20" s="24"/>
      <c r="AV20" s="24"/>
      <c r="AW20" s="24"/>
      <c r="AX20" s="24"/>
    </row>
    <row r="21" spans="1:50" ht="30" customHeight="1" x14ac:dyDescent="0.3">
      <c r="A21" s="24"/>
      <c r="B21" s="24"/>
      <c r="C21" s="24"/>
      <c r="D21" s="24"/>
      <c r="E21" s="24"/>
      <c r="F21" s="24"/>
      <c r="G21" s="24"/>
      <c r="H21" s="146" t="s">
        <v>1007</v>
      </c>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8"/>
      <c r="AI21" s="5"/>
      <c r="AJ21" s="24"/>
      <c r="AK21" s="24"/>
      <c r="AL21" s="24"/>
      <c r="AM21" s="24"/>
      <c r="AN21" s="24"/>
      <c r="AO21" s="24"/>
      <c r="AP21" s="24"/>
      <c r="AQ21" s="24"/>
      <c r="AR21" s="24"/>
      <c r="AS21" s="24"/>
      <c r="AT21" s="24"/>
      <c r="AU21" s="24"/>
      <c r="AV21" s="24"/>
      <c r="AW21" s="24"/>
      <c r="AX21" s="24"/>
    </row>
    <row r="22" spans="1:50" ht="30" customHeight="1" x14ac:dyDescent="0.3">
      <c r="A22" s="24"/>
      <c r="B22" s="24"/>
      <c r="C22" s="24"/>
      <c r="D22" s="24"/>
      <c r="E22" s="24"/>
      <c r="F22" s="24"/>
      <c r="G22" s="24"/>
      <c r="H22" s="149" t="s">
        <v>1304</v>
      </c>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5"/>
      <c r="AJ22" s="24"/>
      <c r="AK22" s="24"/>
      <c r="AL22" s="24"/>
      <c r="AM22" s="24"/>
      <c r="AN22" s="24"/>
      <c r="AO22" s="24"/>
      <c r="AP22" s="24"/>
      <c r="AQ22" s="24"/>
      <c r="AR22" s="24"/>
      <c r="AS22" s="24"/>
      <c r="AT22" s="24"/>
      <c r="AU22" s="24"/>
      <c r="AV22" s="24"/>
      <c r="AW22" s="24"/>
      <c r="AX22" s="24"/>
    </row>
    <row r="23" spans="1:50" ht="30" customHeight="1" x14ac:dyDescent="0.3">
      <c r="A23" s="24"/>
      <c r="B23" s="24"/>
      <c r="C23" s="24"/>
      <c r="D23" s="24"/>
      <c r="E23" s="24"/>
      <c r="F23" s="24"/>
      <c r="G23" s="24"/>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5"/>
      <c r="AJ23" s="24"/>
      <c r="AK23" s="24"/>
      <c r="AL23" s="24"/>
      <c r="AM23" s="24"/>
      <c r="AN23" s="24"/>
      <c r="AO23" s="24"/>
      <c r="AP23" s="24"/>
      <c r="AQ23" s="24"/>
      <c r="AR23" s="24"/>
      <c r="AS23" s="24"/>
      <c r="AT23" s="24"/>
      <c r="AU23" s="24"/>
      <c r="AV23" s="24"/>
      <c r="AW23" s="24"/>
      <c r="AX23" s="24"/>
    </row>
    <row r="24" spans="1:50" ht="30" customHeight="1" x14ac:dyDescent="0.3">
      <c r="A24" s="24"/>
      <c r="B24" s="24"/>
      <c r="C24" s="24"/>
      <c r="D24" s="24"/>
      <c r="E24" s="24"/>
      <c r="F24" s="24"/>
      <c r="G24" s="24"/>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5"/>
      <c r="AJ24" s="24"/>
      <c r="AK24" s="24"/>
      <c r="AL24" s="24"/>
      <c r="AM24" s="24"/>
      <c r="AN24" s="24"/>
      <c r="AO24" s="24"/>
      <c r="AP24" s="24"/>
      <c r="AQ24" s="24"/>
      <c r="AR24" s="24"/>
      <c r="AS24" s="24"/>
      <c r="AT24" s="24"/>
      <c r="AU24" s="24"/>
      <c r="AV24" s="24"/>
      <c r="AW24" s="24"/>
      <c r="AX24" s="24"/>
    </row>
    <row r="25" spans="1:50" ht="30" customHeight="1" x14ac:dyDescent="0.3">
      <c r="A25" s="24"/>
      <c r="B25" s="24"/>
      <c r="C25" s="24"/>
      <c r="D25" s="24"/>
      <c r="E25" s="24"/>
      <c r="F25" s="24"/>
      <c r="G25" s="24"/>
      <c r="H25" s="146" t="s">
        <v>1240</v>
      </c>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8"/>
      <c r="AI25" s="5"/>
      <c r="AJ25" s="24"/>
      <c r="AK25" s="24"/>
      <c r="AL25" s="24"/>
      <c r="AM25" s="24"/>
      <c r="AN25" s="24"/>
      <c r="AO25" s="24"/>
      <c r="AP25" s="24"/>
      <c r="AQ25" s="24"/>
      <c r="AR25" s="24"/>
      <c r="AS25" s="24"/>
      <c r="AT25" s="24"/>
      <c r="AU25" s="24"/>
      <c r="AV25" s="24"/>
      <c r="AW25" s="24"/>
      <c r="AX25" s="24"/>
    </row>
    <row r="26" spans="1:50" ht="30" customHeight="1" x14ac:dyDescent="0.3">
      <c r="A26" s="24"/>
      <c r="B26" s="24"/>
      <c r="C26" s="24"/>
      <c r="D26" s="24"/>
      <c r="E26" s="24"/>
      <c r="F26" s="24"/>
      <c r="G26" s="24"/>
      <c r="H26" s="149" t="s">
        <v>1303</v>
      </c>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5"/>
      <c r="AJ26" s="24"/>
      <c r="AK26" s="24"/>
      <c r="AL26" s="24"/>
      <c r="AM26" s="24"/>
      <c r="AN26" s="24"/>
      <c r="AO26" s="24"/>
      <c r="AP26" s="24"/>
      <c r="AQ26" s="24"/>
      <c r="AR26" s="24"/>
      <c r="AS26" s="24"/>
      <c r="AT26" s="24"/>
      <c r="AU26" s="24"/>
      <c r="AV26" s="24"/>
      <c r="AW26" s="24"/>
      <c r="AX26" s="24"/>
    </row>
    <row r="27" spans="1:50" ht="30" customHeight="1" x14ac:dyDescent="0.3">
      <c r="A27" s="24"/>
      <c r="B27" s="24"/>
      <c r="C27" s="24"/>
      <c r="D27" s="24"/>
      <c r="E27" s="24"/>
      <c r="F27" s="24"/>
      <c r="G27" s="24"/>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5"/>
      <c r="AJ27" s="24"/>
      <c r="AK27" s="24"/>
      <c r="AL27" s="24"/>
      <c r="AM27" s="24"/>
      <c r="AN27" s="24"/>
      <c r="AO27" s="24"/>
      <c r="AP27" s="24"/>
      <c r="AQ27" s="24"/>
      <c r="AR27" s="24"/>
      <c r="AS27" s="24"/>
      <c r="AT27" s="24"/>
      <c r="AU27" s="24"/>
      <c r="AV27" s="24"/>
      <c r="AW27" s="24"/>
      <c r="AX27" s="24"/>
    </row>
    <row r="28" spans="1:50" ht="30" customHeight="1" x14ac:dyDescent="0.3">
      <c r="A28" s="24"/>
      <c r="B28" s="24"/>
      <c r="C28" s="24"/>
      <c r="D28" s="24"/>
      <c r="E28" s="24"/>
      <c r="F28" s="24"/>
      <c r="G28" s="24"/>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5"/>
      <c r="AJ28" s="24"/>
      <c r="AK28" s="24"/>
      <c r="AL28" s="24"/>
      <c r="AM28" s="24"/>
      <c r="AN28" s="24"/>
      <c r="AO28" s="24"/>
      <c r="AP28" s="24"/>
      <c r="AQ28" s="24"/>
      <c r="AR28" s="24"/>
      <c r="AS28" s="24"/>
      <c r="AT28" s="24"/>
      <c r="AU28" s="24"/>
      <c r="AV28" s="24"/>
      <c r="AW28" s="24"/>
      <c r="AX28" s="24"/>
    </row>
    <row r="29" spans="1:50" ht="30" customHeight="1" x14ac:dyDescent="0.3">
      <c r="A29" s="24"/>
      <c r="B29" s="24"/>
      <c r="C29" s="24"/>
      <c r="D29" s="24"/>
      <c r="E29" s="24"/>
      <c r="F29" s="24"/>
      <c r="G29" s="24"/>
      <c r="H29" s="146" t="s">
        <v>1241</v>
      </c>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8"/>
      <c r="AI29" s="5"/>
      <c r="AJ29" s="24"/>
      <c r="AK29" s="24"/>
      <c r="AL29" s="24"/>
      <c r="AM29" s="24"/>
      <c r="AN29" s="24"/>
      <c r="AO29" s="24"/>
      <c r="AP29" s="24"/>
      <c r="AQ29" s="24"/>
      <c r="AR29" s="24"/>
      <c r="AS29" s="24"/>
      <c r="AT29" s="24"/>
      <c r="AU29" s="24"/>
      <c r="AV29" s="24"/>
      <c r="AW29" s="24"/>
      <c r="AX29" s="24"/>
    </row>
    <row r="30" spans="1:50" ht="30" customHeight="1" x14ac:dyDescent="0.3">
      <c r="A30" s="24"/>
      <c r="B30" s="24"/>
      <c r="C30" s="24"/>
      <c r="D30" s="24"/>
      <c r="E30" s="24"/>
      <c r="F30" s="24"/>
      <c r="G30" s="24"/>
      <c r="H30" s="150" t="s">
        <v>1302</v>
      </c>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5"/>
      <c r="AJ30" s="24"/>
      <c r="AK30" s="24"/>
      <c r="AL30" s="24"/>
      <c r="AM30" s="24"/>
      <c r="AN30" s="24"/>
      <c r="AO30" s="24"/>
      <c r="AP30" s="24"/>
      <c r="AQ30" s="24"/>
      <c r="AR30" s="24"/>
      <c r="AS30" s="24"/>
      <c r="AT30" s="24"/>
      <c r="AU30" s="24"/>
      <c r="AV30" s="24"/>
      <c r="AW30" s="24"/>
      <c r="AX30" s="24"/>
    </row>
    <row r="31" spans="1:50" ht="30" customHeight="1" x14ac:dyDescent="0.3">
      <c r="A31" s="24"/>
      <c r="B31" s="24"/>
      <c r="C31" s="24"/>
      <c r="D31" s="24"/>
      <c r="E31" s="24"/>
      <c r="F31" s="24"/>
      <c r="G31" s="24"/>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5"/>
      <c r="AJ31" s="24"/>
      <c r="AK31" s="24"/>
      <c r="AL31" s="24"/>
      <c r="AM31" s="24"/>
      <c r="AN31" s="24"/>
      <c r="AO31" s="24"/>
      <c r="AP31" s="24"/>
      <c r="AQ31" s="24"/>
      <c r="AR31" s="24"/>
      <c r="AS31" s="24"/>
      <c r="AT31" s="24"/>
      <c r="AU31" s="24"/>
      <c r="AV31" s="24"/>
      <c r="AW31" s="24"/>
      <c r="AX31" s="24"/>
    </row>
    <row r="32" spans="1:50" ht="30" customHeight="1" x14ac:dyDescent="0.3">
      <c r="A32" s="24"/>
      <c r="B32" s="24"/>
      <c r="C32" s="24"/>
      <c r="D32" s="24"/>
      <c r="E32" s="24"/>
      <c r="F32" s="24"/>
      <c r="G32" s="24"/>
      <c r="H32" s="146" t="s">
        <v>1242</v>
      </c>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8"/>
      <c r="AI32" s="5"/>
      <c r="AJ32" s="24"/>
      <c r="AK32" s="24"/>
      <c r="AL32" s="24"/>
      <c r="AM32" s="24"/>
      <c r="AN32" s="24"/>
      <c r="AO32" s="24"/>
      <c r="AP32" s="24"/>
      <c r="AQ32" s="24"/>
      <c r="AR32" s="24"/>
      <c r="AS32" s="24"/>
      <c r="AT32" s="24"/>
      <c r="AU32" s="24"/>
      <c r="AV32" s="24"/>
      <c r="AW32" s="24"/>
      <c r="AX32" s="24"/>
    </row>
    <row r="33" spans="1:50" ht="30" customHeight="1" x14ac:dyDescent="0.3">
      <c r="A33" s="24"/>
      <c r="B33" s="24"/>
      <c r="C33" s="24"/>
      <c r="D33" s="24"/>
      <c r="E33" s="24"/>
      <c r="F33" s="24"/>
      <c r="G33" s="24"/>
      <c r="H33" s="150" t="s">
        <v>1301</v>
      </c>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5"/>
      <c r="AJ33" s="24"/>
      <c r="AK33" s="24"/>
      <c r="AL33" s="24"/>
      <c r="AM33" s="24"/>
      <c r="AN33" s="24"/>
      <c r="AO33" s="24"/>
      <c r="AP33" s="24"/>
      <c r="AQ33" s="24"/>
      <c r="AR33" s="24"/>
      <c r="AS33" s="24"/>
      <c r="AT33" s="24"/>
      <c r="AU33" s="24"/>
      <c r="AV33" s="24"/>
      <c r="AW33" s="24"/>
      <c r="AX33" s="24"/>
    </row>
    <row r="34" spans="1:50" ht="30" customHeight="1" x14ac:dyDescent="0.3">
      <c r="A34" s="24"/>
      <c r="B34" s="24"/>
      <c r="C34" s="24"/>
      <c r="D34" s="24"/>
      <c r="E34" s="24"/>
      <c r="F34" s="24"/>
      <c r="G34" s="24"/>
      <c r="H34" s="150"/>
      <c r="I34" s="150"/>
      <c r="J34" s="150"/>
      <c r="K34" s="150"/>
      <c r="L34" s="150"/>
      <c r="M34" s="150"/>
      <c r="N34" s="150"/>
      <c r="O34" s="150"/>
      <c r="P34" s="150"/>
      <c r="Q34" s="150"/>
      <c r="R34" s="150"/>
      <c r="S34" s="150"/>
      <c r="T34" s="150"/>
      <c r="U34" s="150"/>
      <c r="V34" s="150"/>
      <c r="W34" s="150"/>
      <c r="X34" s="150"/>
      <c r="Y34" s="150"/>
      <c r="Z34" s="150"/>
      <c r="AA34" s="150"/>
      <c r="AB34" s="150"/>
      <c r="AC34" s="150"/>
      <c r="AD34" s="150"/>
      <c r="AE34" s="150"/>
      <c r="AF34" s="150"/>
      <c r="AG34" s="150"/>
      <c r="AH34" s="150"/>
      <c r="AI34" s="5"/>
      <c r="AJ34" s="24"/>
      <c r="AK34" s="24"/>
      <c r="AL34" s="24"/>
      <c r="AM34" s="24"/>
      <c r="AN34" s="24"/>
      <c r="AO34" s="24"/>
      <c r="AP34" s="24"/>
      <c r="AQ34" s="24"/>
      <c r="AR34" s="24"/>
      <c r="AS34" s="24"/>
      <c r="AT34" s="24"/>
      <c r="AU34" s="24"/>
      <c r="AV34" s="24"/>
      <c r="AW34" s="24"/>
      <c r="AX34" s="24"/>
    </row>
    <row r="35" spans="1:50" ht="30" customHeight="1" x14ac:dyDescent="0.3">
      <c r="A35" s="24"/>
      <c r="B35" s="24"/>
      <c r="C35" s="24"/>
      <c r="D35" s="24"/>
      <c r="E35" s="24"/>
      <c r="F35" s="24"/>
      <c r="G35" s="24"/>
      <c r="H35" s="146" t="s">
        <v>1313</v>
      </c>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8"/>
      <c r="AI35" s="5"/>
      <c r="AJ35" s="24"/>
      <c r="AK35" s="24"/>
      <c r="AL35" s="24"/>
      <c r="AM35" s="24"/>
      <c r="AN35" s="24"/>
      <c r="AO35" s="24"/>
      <c r="AP35" s="24"/>
      <c r="AQ35" s="24"/>
      <c r="AR35" s="24"/>
      <c r="AS35" s="24"/>
      <c r="AT35" s="24"/>
      <c r="AU35" s="24"/>
      <c r="AV35" s="24"/>
      <c r="AW35" s="24"/>
      <c r="AX35" s="24"/>
    </row>
    <row r="36" spans="1:50" ht="30" customHeight="1" x14ac:dyDescent="0.3">
      <c r="A36" s="24"/>
      <c r="B36" s="24"/>
      <c r="C36" s="24"/>
      <c r="D36" s="24"/>
      <c r="E36" s="24"/>
      <c r="F36" s="24"/>
      <c r="G36" s="24"/>
      <c r="H36" s="150" t="s">
        <v>1300</v>
      </c>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5"/>
      <c r="AJ36" s="24"/>
      <c r="AK36" s="24"/>
      <c r="AL36" s="24"/>
      <c r="AM36" s="24"/>
      <c r="AN36" s="24"/>
      <c r="AO36" s="24"/>
      <c r="AP36" s="24"/>
      <c r="AQ36" s="24"/>
      <c r="AR36" s="24"/>
      <c r="AS36" s="24"/>
      <c r="AT36" s="24"/>
      <c r="AU36" s="24"/>
      <c r="AV36" s="24"/>
      <c r="AW36" s="24"/>
      <c r="AX36" s="24"/>
    </row>
    <row r="37" spans="1:50" ht="30" customHeight="1" x14ac:dyDescent="0.3">
      <c r="A37" s="24"/>
      <c r="B37" s="24"/>
      <c r="C37" s="24"/>
      <c r="D37" s="24"/>
      <c r="E37" s="24"/>
      <c r="F37" s="24"/>
      <c r="G37" s="24"/>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5"/>
      <c r="AJ37" s="24"/>
      <c r="AK37" s="24"/>
      <c r="AL37" s="24"/>
      <c r="AM37" s="24"/>
      <c r="AN37" s="24"/>
      <c r="AO37" s="24"/>
      <c r="AP37" s="24"/>
      <c r="AQ37" s="24"/>
      <c r="AR37" s="24"/>
      <c r="AS37" s="24"/>
      <c r="AT37" s="24"/>
      <c r="AU37" s="24"/>
      <c r="AV37" s="24"/>
      <c r="AW37" s="24"/>
      <c r="AX37" s="24"/>
    </row>
    <row r="38" spans="1:50" ht="30" customHeight="1" x14ac:dyDescent="0.3">
      <c r="A38" s="24"/>
      <c r="B38" s="24"/>
      <c r="C38" s="24"/>
      <c r="D38" s="24"/>
      <c r="E38" s="24"/>
      <c r="F38" s="24"/>
      <c r="G38" s="24"/>
      <c r="H38" s="146" t="s">
        <v>995</v>
      </c>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8"/>
      <c r="AI38" s="5"/>
      <c r="AJ38" s="24"/>
      <c r="AK38" s="24"/>
      <c r="AL38" s="24"/>
      <c r="AM38" s="24"/>
      <c r="AN38" s="24"/>
      <c r="AO38" s="24"/>
      <c r="AP38" s="24"/>
      <c r="AQ38" s="24"/>
      <c r="AR38" s="24"/>
      <c r="AS38" s="24"/>
      <c r="AT38" s="24"/>
      <c r="AU38" s="24"/>
      <c r="AV38" s="24"/>
      <c r="AW38" s="24"/>
      <c r="AX38" s="24"/>
    </row>
    <row r="39" spans="1:50" ht="30" customHeight="1" x14ac:dyDescent="0.3">
      <c r="A39" s="24"/>
      <c r="B39" s="24"/>
      <c r="C39" s="24"/>
      <c r="D39" s="24"/>
      <c r="E39" s="24"/>
      <c r="F39" s="24"/>
      <c r="G39" s="24"/>
      <c r="H39" s="150" t="s">
        <v>1299</v>
      </c>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5"/>
      <c r="AJ39" s="24"/>
      <c r="AK39" s="24"/>
      <c r="AL39" s="24"/>
      <c r="AM39" s="24"/>
      <c r="AN39" s="24"/>
      <c r="AO39" s="24"/>
      <c r="AP39" s="24"/>
      <c r="AQ39" s="24"/>
      <c r="AR39" s="24"/>
      <c r="AS39" s="24"/>
      <c r="AT39" s="24"/>
      <c r="AU39" s="24"/>
      <c r="AV39" s="24"/>
      <c r="AW39" s="24"/>
      <c r="AX39" s="24"/>
    </row>
    <row r="40" spans="1:50" ht="30" customHeight="1" x14ac:dyDescent="0.3">
      <c r="A40" s="24"/>
      <c r="B40" s="24"/>
      <c r="C40" s="24"/>
      <c r="D40" s="24"/>
      <c r="E40" s="24"/>
      <c r="F40" s="24"/>
      <c r="G40" s="24"/>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5"/>
      <c r="AJ40" s="24"/>
      <c r="AK40" s="24"/>
      <c r="AL40" s="24"/>
      <c r="AM40" s="24"/>
      <c r="AN40" s="24"/>
      <c r="AO40" s="24"/>
      <c r="AP40" s="24"/>
      <c r="AQ40" s="24"/>
      <c r="AR40" s="24"/>
      <c r="AS40" s="24"/>
      <c r="AT40" s="24"/>
      <c r="AU40" s="24"/>
      <c r="AV40" s="24"/>
      <c r="AW40" s="24"/>
      <c r="AX40" s="24"/>
    </row>
    <row r="41" spans="1:50" ht="30" customHeight="1" x14ac:dyDescent="0.3">
      <c r="A41" s="24"/>
      <c r="B41" s="24"/>
      <c r="C41" s="24"/>
      <c r="D41" s="24"/>
      <c r="E41" s="24"/>
      <c r="F41" s="24"/>
      <c r="G41" s="24"/>
      <c r="H41" s="146" t="s">
        <v>1243</v>
      </c>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8"/>
      <c r="AI41" s="5"/>
      <c r="AJ41" s="24"/>
      <c r="AK41" s="24"/>
      <c r="AL41" s="24"/>
      <c r="AM41" s="24"/>
      <c r="AN41" s="24"/>
      <c r="AO41" s="24"/>
      <c r="AP41" s="24"/>
      <c r="AQ41" s="24"/>
      <c r="AR41" s="24"/>
      <c r="AS41" s="24"/>
      <c r="AT41" s="24"/>
      <c r="AU41" s="24"/>
      <c r="AV41" s="24"/>
      <c r="AW41" s="24"/>
      <c r="AX41" s="24"/>
    </row>
    <row r="42" spans="1:50" ht="30" customHeight="1" x14ac:dyDescent="0.3">
      <c r="A42" s="24"/>
      <c r="B42" s="24"/>
      <c r="C42" s="24"/>
      <c r="D42" s="24"/>
      <c r="E42" s="24"/>
      <c r="F42" s="24"/>
      <c r="G42" s="24"/>
      <c r="H42" s="150" t="s">
        <v>1298</v>
      </c>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5"/>
      <c r="AJ42" s="24"/>
      <c r="AK42" s="24"/>
      <c r="AL42" s="24"/>
      <c r="AM42" s="24"/>
      <c r="AN42" s="24"/>
      <c r="AO42" s="24"/>
      <c r="AP42" s="24"/>
      <c r="AQ42" s="24"/>
      <c r="AR42" s="24"/>
      <c r="AS42" s="24"/>
      <c r="AT42" s="24"/>
      <c r="AU42" s="24"/>
      <c r="AV42" s="24"/>
      <c r="AW42" s="24"/>
      <c r="AX42" s="24"/>
    </row>
    <row r="43" spans="1:50" ht="30" customHeight="1" x14ac:dyDescent="0.3">
      <c r="A43" s="24"/>
      <c r="B43" s="24"/>
      <c r="C43" s="24"/>
      <c r="D43" s="24"/>
      <c r="E43" s="24"/>
      <c r="F43" s="24"/>
      <c r="G43" s="24"/>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5"/>
      <c r="AJ43" s="24"/>
      <c r="AK43" s="24"/>
      <c r="AL43" s="24"/>
      <c r="AM43" s="24"/>
      <c r="AN43" s="24"/>
      <c r="AO43" s="24"/>
      <c r="AP43" s="24"/>
      <c r="AQ43" s="24"/>
      <c r="AR43" s="24"/>
      <c r="AS43" s="24"/>
      <c r="AT43" s="24"/>
      <c r="AU43" s="24"/>
      <c r="AV43" s="24"/>
      <c r="AW43" s="24"/>
      <c r="AX43" s="24"/>
    </row>
    <row r="44" spans="1:50" ht="30" customHeight="1" x14ac:dyDescent="0.3">
      <c r="A44" s="24"/>
      <c r="B44" s="24"/>
      <c r="C44" s="24"/>
      <c r="D44" s="24"/>
      <c r="E44" s="24"/>
      <c r="F44" s="24"/>
      <c r="G44" s="24"/>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24"/>
      <c r="AK44" s="24"/>
      <c r="AL44" s="24"/>
      <c r="AM44" s="24"/>
      <c r="AN44" s="24"/>
      <c r="AO44" s="24"/>
      <c r="AP44" s="24"/>
      <c r="AQ44" s="24"/>
      <c r="AR44" s="24"/>
      <c r="AS44" s="24"/>
      <c r="AT44" s="24"/>
      <c r="AU44" s="24"/>
      <c r="AV44" s="24"/>
      <c r="AW44" s="24"/>
      <c r="AX44" s="24"/>
    </row>
    <row r="45" spans="1:50" ht="30" customHeight="1" x14ac:dyDescent="0.3">
      <c r="A45" s="24"/>
      <c r="B45" s="24"/>
      <c r="C45" s="24"/>
      <c r="D45" s="24"/>
      <c r="E45" s="24"/>
      <c r="F45" s="24"/>
      <c r="G45" s="24"/>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24"/>
      <c r="AK45" s="24"/>
      <c r="AL45" s="24"/>
      <c r="AM45" s="24"/>
      <c r="AN45" s="24"/>
      <c r="AO45" s="24"/>
      <c r="AP45" s="24"/>
      <c r="AQ45" s="24"/>
      <c r="AR45" s="24"/>
      <c r="AS45" s="24"/>
      <c r="AT45" s="24"/>
      <c r="AU45" s="24"/>
      <c r="AV45" s="24"/>
      <c r="AW45" s="24"/>
      <c r="AX45" s="24"/>
    </row>
  </sheetData>
  <sheetProtection algorithmName="SHA-512" hashValue="tf6wqkQFwEaTGZVH5GOdmDK4vIB5jzeTr0GUJq1vqRxLDu8OYX498dq0eEvgaH1b9JqemKA186lqki4KK5Cohg==" saltValue="QSQEax3XpleTYN1T2Uvv0g==" spinCount="100000" sheet="1" objects="1" scenarios="1" formatCells="0" formatColumns="0" formatRows="0"/>
  <mergeCells count="28">
    <mergeCell ref="H1:AH2"/>
    <mergeCell ref="H9:AH9"/>
    <mergeCell ref="H18:AH18"/>
    <mergeCell ref="H21:AH21"/>
    <mergeCell ref="H16:AH17"/>
    <mergeCell ref="H19:AH20"/>
    <mergeCell ref="H15:AH15"/>
    <mergeCell ref="H11:AH11"/>
    <mergeCell ref="H14:AH14"/>
    <mergeCell ref="H10:AH10"/>
    <mergeCell ref="H4:AH4"/>
    <mergeCell ref="H12:AH12"/>
    <mergeCell ref="H13:AH13"/>
    <mergeCell ref="H5:AH8"/>
    <mergeCell ref="H3:AH3"/>
    <mergeCell ref="H42:AH43"/>
    <mergeCell ref="H33:AH34"/>
    <mergeCell ref="H32:AH32"/>
    <mergeCell ref="H36:AH37"/>
    <mergeCell ref="H35:AH35"/>
    <mergeCell ref="H38:AH38"/>
    <mergeCell ref="H39:AH40"/>
    <mergeCell ref="H41:AH41"/>
    <mergeCell ref="H29:AH29"/>
    <mergeCell ref="H26:AH28"/>
    <mergeCell ref="H30:AH31"/>
    <mergeCell ref="H22:AH24"/>
    <mergeCell ref="H25:AH2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193E-72F1-461F-9925-5A6791AAE00B}">
  <sheetPr codeName="Sheet14">
    <tabColor theme="6"/>
  </sheetPr>
  <dimension ref="A1:BK85"/>
  <sheetViews>
    <sheetView zoomScale="80" zoomScaleNormal="80" workbookViewId="0"/>
  </sheetViews>
  <sheetFormatPr defaultColWidth="8.6640625" defaultRowHeight="15.6" x14ac:dyDescent="0.3"/>
  <cols>
    <col min="1" max="63" width="6.6640625" style="8" customWidth="1"/>
    <col min="64" max="16384" width="8.6640625" style="8"/>
  </cols>
  <sheetData>
    <row r="1" spans="1:63" ht="30" customHeight="1" x14ac:dyDescent="0.3">
      <c r="A1" s="17"/>
      <c r="B1" s="17"/>
      <c r="C1" s="17"/>
      <c r="D1" s="17"/>
      <c r="E1" s="17"/>
      <c r="F1" s="17"/>
      <c r="G1" s="17"/>
      <c r="H1" s="152" t="s">
        <v>1117</v>
      </c>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c r="BF1" s="152"/>
      <c r="BG1" s="152"/>
      <c r="BH1" s="152"/>
      <c r="BI1" s="152"/>
      <c r="BJ1" s="17"/>
      <c r="BK1" s="17"/>
    </row>
    <row r="2" spans="1:63" ht="30" customHeight="1" x14ac:dyDescent="0.3">
      <c r="A2" s="17"/>
      <c r="B2" s="17"/>
      <c r="C2" s="17"/>
      <c r="D2" s="17"/>
      <c r="E2" s="17"/>
      <c r="F2" s="17"/>
      <c r="G2" s="17"/>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7"/>
      <c r="BK2" s="17"/>
    </row>
    <row r="3" spans="1:63" ht="30" customHeight="1" x14ac:dyDescent="0.3">
      <c r="A3" s="17"/>
      <c r="B3" s="17"/>
      <c r="C3" s="17"/>
      <c r="D3" s="17"/>
      <c r="E3" s="17"/>
      <c r="F3" s="17"/>
      <c r="G3" s="17"/>
      <c r="H3" s="568" t="s">
        <v>1019</v>
      </c>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569"/>
      <c r="AJ3" s="569"/>
      <c r="AK3" s="569"/>
      <c r="AL3" s="569"/>
      <c r="AM3" s="569"/>
      <c r="AN3" s="569"/>
      <c r="AO3" s="569"/>
      <c r="AP3" s="569"/>
      <c r="AQ3" s="569"/>
      <c r="AR3" s="569"/>
      <c r="AS3" s="569"/>
      <c r="AT3" s="569"/>
      <c r="AU3" s="569"/>
      <c r="AV3" s="569"/>
      <c r="AW3" s="569"/>
      <c r="AX3" s="569"/>
      <c r="AY3" s="569"/>
      <c r="AZ3" s="569"/>
      <c r="BA3" s="569"/>
      <c r="BB3" s="569"/>
      <c r="BC3" s="569"/>
      <c r="BD3" s="569"/>
      <c r="BE3" s="569"/>
      <c r="BF3" s="569"/>
      <c r="BG3" s="569"/>
      <c r="BH3" s="569"/>
      <c r="BI3" s="570"/>
      <c r="BJ3" s="17"/>
      <c r="BK3" s="17"/>
    </row>
    <row r="4" spans="1:63" ht="30" customHeight="1" x14ac:dyDescent="0.3">
      <c r="A4" s="17"/>
      <c r="B4" s="17"/>
      <c r="C4" s="17"/>
      <c r="D4" s="17"/>
      <c r="E4" s="17"/>
      <c r="F4" s="17"/>
      <c r="G4" s="17"/>
      <c r="H4" s="571" t="s">
        <v>1209</v>
      </c>
      <c r="I4" s="571"/>
      <c r="J4" s="571"/>
      <c r="K4" s="571"/>
      <c r="L4" s="571"/>
      <c r="M4" s="571"/>
      <c r="N4" s="571"/>
      <c r="O4" s="571"/>
      <c r="P4" s="571"/>
      <c r="Q4" s="571"/>
      <c r="R4" s="571"/>
      <c r="S4" s="571"/>
      <c r="T4" s="571"/>
      <c r="U4" s="571"/>
      <c r="V4" s="571"/>
      <c r="W4" s="571"/>
      <c r="X4" s="571"/>
      <c r="Y4" s="571"/>
      <c r="Z4" s="571"/>
      <c r="AA4" s="571"/>
      <c r="AB4" s="571"/>
      <c r="AC4" s="571"/>
      <c r="AD4" s="571"/>
      <c r="AE4" s="571"/>
      <c r="AF4" s="571"/>
      <c r="AG4" s="571"/>
      <c r="AH4" s="571"/>
      <c r="AI4" s="571"/>
      <c r="AJ4" s="571"/>
      <c r="AK4" s="571"/>
      <c r="AL4" s="571"/>
      <c r="AM4" s="571"/>
      <c r="AN4" s="571"/>
      <c r="AO4" s="571"/>
      <c r="AP4" s="571"/>
      <c r="AQ4" s="571"/>
      <c r="AR4" s="571"/>
      <c r="AS4" s="571"/>
      <c r="AT4" s="571"/>
      <c r="AU4" s="571"/>
      <c r="AV4" s="571"/>
      <c r="AW4" s="571"/>
      <c r="AX4" s="571"/>
      <c r="AY4" s="571"/>
      <c r="AZ4" s="571"/>
      <c r="BA4" s="571"/>
      <c r="BB4" s="571"/>
      <c r="BC4" s="571"/>
      <c r="BD4" s="571"/>
      <c r="BE4" s="571"/>
      <c r="BF4" s="571"/>
      <c r="BG4" s="571"/>
      <c r="BH4" s="571"/>
      <c r="BI4" s="571"/>
      <c r="BJ4" s="17"/>
      <c r="BK4" s="17"/>
    </row>
    <row r="5" spans="1:63" ht="30" customHeight="1" x14ac:dyDescent="0.3">
      <c r="A5" s="17"/>
      <c r="B5" s="17"/>
      <c r="C5" s="17"/>
      <c r="D5" s="17"/>
      <c r="E5" s="17"/>
      <c r="F5" s="17"/>
      <c r="G5" s="17"/>
      <c r="H5" s="572"/>
      <c r="I5" s="572"/>
      <c r="J5" s="572"/>
      <c r="K5" s="572"/>
      <c r="L5" s="572"/>
      <c r="M5" s="572"/>
      <c r="N5" s="572"/>
      <c r="O5" s="572"/>
      <c r="P5" s="572"/>
      <c r="Q5" s="572"/>
      <c r="R5" s="572"/>
      <c r="S5" s="572"/>
      <c r="T5" s="572"/>
      <c r="U5" s="572"/>
      <c r="V5" s="572"/>
      <c r="W5" s="572"/>
      <c r="X5" s="572"/>
      <c r="Y5" s="572"/>
      <c r="Z5" s="572"/>
      <c r="AA5" s="572"/>
      <c r="AB5" s="572"/>
      <c r="AC5" s="572"/>
      <c r="AD5" s="572"/>
      <c r="AE5" s="572"/>
      <c r="AF5" s="572"/>
      <c r="AG5" s="572"/>
      <c r="AH5" s="572"/>
      <c r="AI5" s="572"/>
      <c r="AJ5" s="572"/>
      <c r="AK5" s="572"/>
      <c r="AL5" s="572"/>
      <c r="AM5" s="572"/>
      <c r="AN5" s="572"/>
      <c r="AO5" s="572"/>
      <c r="AP5" s="572"/>
      <c r="AQ5" s="572"/>
      <c r="AR5" s="572"/>
      <c r="AS5" s="572"/>
      <c r="AT5" s="572"/>
      <c r="AU5" s="572"/>
      <c r="AV5" s="572"/>
      <c r="AW5" s="572"/>
      <c r="AX5" s="572"/>
      <c r="AY5" s="572"/>
      <c r="AZ5" s="572"/>
      <c r="BA5" s="572"/>
      <c r="BB5" s="572"/>
      <c r="BC5" s="572"/>
      <c r="BD5" s="572"/>
      <c r="BE5" s="572"/>
      <c r="BF5" s="572"/>
      <c r="BG5" s="572"/>
      <c r="BH5" s="572"/>
      <c r="BI5" s="572"/>
      <c r="BJ5" s="17"/>
      <c r="BK5" s="17"/>
    </row>
    <row r="6" spans="1:63" ht="30" customHeight="1" x14ac:dyDescent="0.3">
      <c r="A6" s="17"/>
      <c r="B6" s="17"/>
      <c r="C6" s="17"/>
      <c r="D6" s="17"/>
      <c r="E6" s="17"/>
      <c r="F6" s="17"/>
      <c r="G6" s="17"/>
      <c r="H6" s="567" t="s">
        <v>116</v>
      </c>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7"/>
      <c r="AY6" s="567"/>
      <c r="AZ6" s="567"/>
      <c r="BA6" s="567"/>
      <c r="BB6" s="567"/>
      <c r="BC6" s="567"/>
      <c r="BD6" s="567"/>
      <c r="BE6" s="567"/>
      <c r="BF6" s="567"/>
      <c r="BG6" s="567"/>
      <c r="BH6" s="567"/>
      <c r="BI6" s="567"/>
      <c r="BJ6" s="17"/>
      <c r="BK6" s="17"/>
    </row>
    <row r="7" spans="1:63" ht="30" customHeight="1" x14ac:dyDescent="0.3">
      <c r="A7" s="17"/>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row>
    <row r="8" spans="1:63" ht="30" customHeight="1" x14ac:dyDescent="0.3">
      <c r="A8" s="17"/>
      <c r="B8" s="17"/>
      <c r="C8" s="17"/>
      <c r="D8" s="17"/>
      <c r="E8" s="17"/>
      <c r="F8" s="17"/>
      <c r="G8" s="17"/>
      <c r="H8" s="601" t="s">
        <v>0</v>
      </c>
      <c r="I8" s="602"/>
      <c r="J8" s="602"/>
      <c r="K8" s="602"/>
      <c r="L8" s="602"/>
      <c r="M8" s="602"/>
      <c r="N8" s="602"/>
      <c r="O8" s="602"/>
      <c r="P8" s="603"/>
      <c r="Q8" s="634" t="s">
        <v>1037</v>
      </c>
      <c r="R8" s="635"/>
      <c r="S8" s="636"/>
      <c r="T8" s="640" t="s">
        <v>1038</v>
      </c>
      <c r="U8" s="627"/>
      <c r="V8" s="627"/>
      <c r="W8" s="627"/>
      <c r="X8" s="627"/>
      <c r="Y8" s="628"/>
      <c r="Z8" s="626" t="s">
        <v>922</v>
      </c>
      <c r="AA8" s="627"/>
      <c r="AB8" s="627"/>
      <c r="AC8" s="627"/>
      <c r="AD8" s="627"/>
      <c r="AE8" s="628"/>
      <c r="AF8" s="626" t="s">
        <v>924</v>
      </c>
      <c r="AG8" s="627"/>
      <c r="AH8" s="627"/>
      <c r="AI8" s="627"/>
      <c r="AJ8" s="627"/>
      <c r="AK8" s="628"/>
      <c r="AL8" s="626" t="s">
        <v>926</v>
      </c>
      <c r="AM8" s="627"/>
      <c r="AN8" s="627"/>
      <c r="AO8" s="627"/>
      <c r="AP8" s="627"/>
      <c r="AQ8" s="628"/>
      <c r="AR8" s="626" t="s">
        <v>925</v>
      </c>
      <c r="AS8" s="627"/>
      <c r="AT8" s="627"/>
      <c r="AU8" s="627"/>
      <c r="AV8" s="627"/>
      <c r="AW8" s="628"/>
      <c r="AX8" s="626" t="s">
        <v>1039</v>
      </c>
      <c r="AY8" s="627"/>
      <c r="AZ8" s="627"/>
      <c r="BA8" s="627"/>
      <c r="BB8" s="627"/>
      <c r="BC8" s="627"/>
      <c r="BD8" s="654" t="s">
        <v>1040</v>
      </c>
      <c r="BE8" s="655"/>
      <c r="BF8" s="655"/>
      <c r="BG8" s="655"/>
      <c r="BH8" s="655"/>
      <c r="BI8" s="640"/>
      <c r="BJ8" s="17"/>
      <c r="BK8" s="17"/>
    </row>
    <row r="9" spans="1:63" ht="30" customHeight="1" x14ac:dyDescent="0.3">
      <c r="A9" s="17"/>
      <c r="B9" s="17"/>
      <c r="C9" s="17"/>
      <c r="D9" s="17"/>
      <c r="E9" s="17"/>
      <c r="F9" s="17"/>
      <c r="G9" s="17"/>
      <c r="H9" s="604"/>
      <c r="I9" s="605"/>
      <c r="J9" s="605"/>
      <c r="K9" s="605"/>
      <c r="L9" s="605"/>
      <c r="M9" s="605"/>
      <c r="N9" s="605"/>
      <c r="O9" s="605"/>
      <c r="P9" s="606"/>
      <c r="Q9" s="637"/>
      <c r="R9" s="638"/>
      <c r="S9" s="639"/>
      <c r="T9" s="644" t="s">
        <v>985</v>
      </c>
      <c r="U9" s="625"/>
      <c r="V9" s="625"/>
      <c r="W9" s="645" t="s">
        <v>982</v>
      </c>
      <c r="X9" s="645"/>
      <c r="Y9" s="646"/>
      <c r="Z9" s="630" t="s">
        <v>985</v>
      </c>
      <c r="AA9" s="625"/>
      <c r="AB9" s="625"/>
      <c r="AC9" s="625" t="s">
        <v>982</v>
      </c>
      <c r="AD9" s="625"/>
      <c r="AE9" s="629"/>
      <c r="AF9" s="630" t="s">
        <v>985</v>
      </c>
      <c r="AG9" s="625"/>
      <c r="AH9" s="625"/>
      <c r="AI9" s="625" t="s">
        <v>982</v>
      </c>
      <c r="AJ9" s="625"/>
      <c r="AK9" s="629"/>
      <c r="AL9" s="630" t="s">
        <v>985</v>
      </c>
      <c r="AM9" s="625"/>
      <c r="AN9" s="625"/>
      <c r="AO9" s="625" t="s">
        <v>982</v>
      </c>
      <c r="AP9" s="625"/>
      <c r="AQ9" s="629"/>
      <c r="AR9" s="630" t="s">
        <v>985</v>
      </c>
      <c r="AS9" s="625"/>
      <c r="AT9" s="625"/>
      <c r="AU9" s="625" t="s">
        <v>982</v>
      </c>
      <c r="AV9" s="625"/>
      <c r="AW9" s="629"/>
      <c r="AX9" s="630" t="s">
        <v>985</v>
      </c>
      <c r="AY9" s="625"/>
      <c r="AZ9" s="625"/>
      <c r="BA9" s="625" t="s">
        <v>982</v>
      </c>
      <c r="BB9" s="625"/>
      <c r="BC9" s="625"/>
      <c r="BD9" s="630" t="s">
        <v>985</v>
      </c>
      <c r="BE9" s="625"/>
      <c r="BF9" s="625"/>
      <c r="BG9" s="625" t="s">
        <v>982</v>
      </c>
      <c r="BH9" s="625"/>
      <c r="BI9" s="625"/>
      <c r="BJ9" s="17"/>
      <c r="BK9" s="17"/>
    </row>
    <row r="10" spans="1:63" ht="30" customHeight="1" x14ac:dyDescent="0.3">
      <c r="A10" s="17"/>
      <c r="B10" s="17"/>
      <c r="C10" s="17"/>
      <c r="D10" s="17"/>
      <c r="E10" s="17"/>
      <c r="F10" s="17"/>
      <c r="G10" s="17"/>
      <c r="H10" s="607" t="s">
        <v>28</v>
      </c>
      <c r="I10" s="608"/>
      <c r="J10" s="608"/>
      <c r="K10" s="608"/>
      <c r="L10" s="608"/>
      <c r="M10" s="608"/>
      <c r="N10" s="608"/>
      <c r="O10" s="608"/>
      <c r="P10" s="609"/>
      <c r="Q10" s="641">
        <f>SUMIFS('FTSE | FTFE'!$P$8:$P$77,'FTSE | FTFE'!$H$8:$H$77,H10)</f>
        <v>2551</v>
      </c>
      <c r="R10" s="642"/>
      <c r="S10" s="643"/>
      <c r="T10" s="610">
        <f>ROUND(SUMIFS(Input[Instruction Uses],Input[Institution Name],H10),0)</f>
        <v>1649792843</v>
      </c>
      <c r="U10" s="598"/>
      <c r="V10" s="598"/>
      <c r="W10" s="598">
        <f>ROUND(T10/$Q10,0)</f>
        <v>646724</v>
      </c>
      <c r="X10" s="598"/>
      <c r="Y10" s="599"/>
      <c r="Z10" s="600">
        <f>ROUND(SUMIFS(Input[Research Uses],Input[Institution Name],H10),0)</f>
        <v>640832700</v>
      </c>
      <c r="AA10" s="598"/>
      <c r="AB10" s="598"/>
      <c r="AC10" s="598">
        <f>ROUND(Z10/$Q10,0)</f>
        <v>251208</v>
      </c>
      <c r="AD10" s="598"/>
      <c r="AE10" s="599"/>
      <c r="AF10" s="600">
        <f>ROUND(SUMIFS(Input[Academic Uses],Input[Institution Name],H10),0)</f>
        <v>122231790</v>
      </c>
      <c r="AG10" s="598"/>
      <c r="AH10" s="598"/>
      <c r="AI10" s="598">
        <f>ROUND(AF10/$Q10,0)</f>
        <v>47915</v>
      </c>
      <c r="AJ10" s="598"/>
      <c r="AK10" s="599"/>
      <c r="AL10" s="600">
        <f>ROUND(SUMIFS(Input[Institutional Uses],Input[Institution Name],H10),0)</f>
        <v>141595395</v>
      </c>
      <c r="AM10" s="598"/>
      <c r="AN10" s="598"/>
      <c r="AO10" s="598">
        <f>ROUND(AL10/$Q10,0)</f>
        <v>55506</v>
      </c>
      <c r="AP10" s="598"/>
      <c r="AQ10" s="599"/>
      <c r="AR10" s="600">
        <f>ROUND(SUMIFS(Input[Student Uses],Input[Institution Name],H10),0)</f>
        <v>2301852</v>
      </c>
      <c r="AS10" s="598"/>
      <c r="AT10" s="598"/>
      <c r="AU10" s="598">
        <f>ROUND(AR10/$Q10,0)</f>
        <v>902</v>
      </c>
      <c r="AV10" s="598"/>
      <c r="AW10" s="599"/>
      <c r="AX10" s="600">
        <f>ROUND(SUMIFS(Input[Other Uses],Input[Institution Name],H10),0)</f>
        <v>2000708</v>
      </c>
      <c r="AY10" s="598"/>
      <c r="AZ10" s="598"/>
      <c r="BA10" s="598">
        <f>ROUND(AX10/$Q10,0)</f>
        <v>784</v>
      </c>
      <c r="BB10" s="598"/>
      <c r="BC10" s="598"/>
      <c r="BD10" s="600">
        <f>ROUND(SUM(T10,Z10,AF10,AL10,AR10,AX10),0)</f>
        <v>2558755288</v>
      </c>
      <c r="BE10" s="598"/>
      <c r="BF10" s="598"/>
      <c r="BG10" s="598">
        <f>ROUND(BD10/$Q10,0)</f>
        <v>1003040</v>
      </c>
      <c r="BH10" s="598"/>
      <c r="BI10" s="598"/>
      <c r="BJ10" s="17"/>
      <c r="BK10" s="17"/>
    </row>
    <row r="11" spans="1:63" ht="30" customHeight="1" x14ac:dyDescent="0.3">
      <c r="A11" s="17"/>
      <c r="B11" s="17"/>
      <c r="C11" s="17"/>
      <c r="D11" s="17"/>
      <c r="E11" s="17"/>
      <c r="F11" s="17"/>
      <c r="G11" s="17"/>
      <c r="H11" s="579" t="s">
        <v>30</v>
      </c>
      <c r="I11" s="580"/>
      <c r="J11" s="580"/>
      <c r="K11" s="580"/>
      <c r="L11" s="580"/>
      <c r="M11" s="580"/>
      <c r="N11" s="580"/>
      <c r="O11" s="580"/>
      <c r="P11" s="581"/>
      <c r="Q11" s="582">
        <f>SUMIFS('FTSE | FTFE'!$P$8:$P$77,'FTSE | FTFE'!$H$8:$H$77,H11)</f>
        <v>3678</v>
      </c>
      <c r="R11" s="583"/>
      <c r="S11" s="586"/>
      <c r="T11" s="582">
        <f>ROUND(SUMIFS(Input[Instruction Uses],Input[Institution Name],H11),0)</f>
        <v>546073895</v>
      </c>
      <c r="U11" s="583"/>
      <c r="V11" s="584"/>
      <c r="W11" s="585">
        <f t="shared" ref="W11:W23" si="0">ROUND(T11/$Q11,0)</f>
        <v>148470</v>
      </c>
      <c r="X11" s="583"/>
      <c r="Y11" s="586"/>
      <c r="Z11" s="582">
        <f>ROUND(SUMIFS(Input[Research Uses],Input[Institution Name],H11),0)</f>
        <v>171296035</v>
      </c>
      <c r="AA11" s="583"/>
      <c r="AB11" s="584"/>
      <c r="AC11" s="585">
        <f t="shared" ref="AC11:AC23" si="1">ROUND(Z11/$Q11,0)</f>
        <v>46573</v>
      </c>
      <c r="AD11" s="583"/>
      <c r="AE11" s="586"/>
      <c r="AF11" s="582">
        <f>ROUND(SUMIFS(Input[Academic Uses],Input[Institution Name],H11),0)</f>
        <v>81283017</v>
      </c>
      <c r="AG11" s="583"/>
      <c r="AH11" s="584"/>
      <c r="AI11" s="585">
        <f t="shared" ref="AI11:AI23" si="2">ROUND(AF11/$Q11,0)</f>
        <v>22100</v>
      </c>
      <c r="AJ11" s="583"/>
      <c r="AK11" s="586"/>
      <c r="AL11" s="582">
        <f>ROUND(SUMIFS(Input[Institutional Uses],Input[Institution Name],H11),0)</f>
        <v>98193840</v>
      </c>
      <c r="AM11" s="583"/>
      <c r="AN11" s="584"/>
      <c r="AO11" s="585">
        <f t="shared" ref="AO11:AO23" si="3">ROUND(AL11/$Q11,0)</f>
        <v>26698</v>
      </c>
      <c r="AP11" s="583"/>
      <c r="AQ11" s="586"/>
      <c r="AR11" s="582">
        <f>ROUND(SUMIFS(Input[Student Uses],Input[Institution Name],H11),0)</f>
        <v>9637780</v>
      </c>
      <c r="AS11" s="583"/>
      <c r="AT11" s="584"/>
      <c r="AU11" s="585">
        <f t="shared" ref="AU11:AU23" si="4">ROUND(AR11/$Q11,0)</f>
        <v>2620</v>
      </c>
      <c r="AV11" s="583"/>
      <c r="AW11" s="586"/>
      <c r="AX11" s="582">
        <f>ROUND(SUMIFS(Input[Other Uses],Input[Institution Name],H11),0)</f>
        <v>5274732</v>
      </c>
      <c r="AY11" s="583"/>
      <c r="AZ11" s="584"/>
      <c r="BA11" s="585">
        <f t="shared" ref="BA11:BA23" si="5">ROUND(AX11/$Q11,0)</f>
        <v>1434</v>
      </c>
      <c r="BB11" s="583"/>
      <c r="BC11" s="584"/>
      <c r="BD11" s="582">
        <f t="shared" ref="BD11:BD23" si="6">ROUND(SUM(T11,Z11,AF11,AL11,AR11,AX11),0)</f>
        <v>911759299</v>
      </c>
      <c r="BE11" s="583"/>
      <c r="BF11" s="584"/>
      <c r="BG11" s="585">
        <f t="shared" ref="BG11:BG23" si="7">ROUND(BD11/$Q11,0)</f>
        <v>247895</v>
      </c>
      <c r="BH11" s="583"/>
      <c r="BI11" s="584"/>
      <c r="BJ11" s="17"/>
      <c r="BK11" s="17"/>
    </row>
    <row r="12" spans="1:63" ht="30" customHeight="1" x14ac:dyDescent="0.3">
      <c r="A12" s="17"/>
      <c r="B12" s="17"/>
      <c r="C12" s="17"/>
      <c r="D12" s="17"/>
      <c r="E12" s="17"/>
      <c r="F12" s="17"/>
      <c r="G12" s="17"/>
      <c r="H12" s="587" t="s">
        <v>31</v>
      </c>
      <c r="I12" s="588"/>
      <c r="J12" s="588"/>
      <c r="K12" s="588"/>
      <c r="L12" s="588"/>
      <c r="M12" s="588"/>
      <c r="N12" s="588"/>
      <c r="O12" s="588"/>
      <c r="P12" s="589"/>
      <c r="Q12" s="576">
        <f>SUMIFS('FTSE | FTFE'!$P$8:$P$77,'FTSE | FTFE'!$H$8:$H$77,H12)</f>
        <v>4684</v>
      </c>
      <c r="R12" s="574"/>
      <c r="S12" s="575"/>
      <c r="T12" s="576">
        <f>ROUND(SUMIFS(Input[Instruction Uses],Input[Institution Name],H12),0)</f>
        <v>1145998625</v>
      </c>
      <c r="U12" s="574"/>
      <c r="V12" s="577"/>
      <c r="W12" s="573">
        <f t="shared" si="0"/>
        <v>244662</v>
      </c>
      <c r="X12" s="574"/>
      <c r="Y12" s="575"/>
      <c r="Z12" s="576">
        <f>ROUND(SUMIFS(Input[Research Uses],Input[Institution Name],H12),0)</f>
        <v>397617910</v>
      </c>
      <c r="AA12" s="574"/>
      <c r="AB12" s="577"/>
      <c r="AC12" s="573">
        <f t="shared" si="1"/>
        <v>84889</v>
      </c>
      <c r="AD12" s="574"/>
      <c r="AE12" s="575"/>
      <c r="AF12" s="576">
        <f>ROUND(SUMIFS(Input[Academic Uses],Input[Institution Name],H12),0)</f>
        <v>78372818</v>
      </c>
      <c r="AG12" s="574"/>
      <c r="AH12" s="577"/>
      <c r="AI12" s="573">
        <f t="shared" si="2"/>
        <v>16732</v>
      </c>
      <c r="AJ12" s="574"/>
      <c r="AK12" s="575"/>
      <c r="AL12" s="576">
        <f>ROUND(SUMIFS(Input[Institutional Uses],Input[Institution Name],H12),0)</f>
        <v>116346766</v>
      </c>
      <c r="AM12" s="574"/>
      <c r="AN12" s="577"/>
      <c r="AO12" s="573">
        <f t="shared" si="3"/>
        <v>24839</v>
      </c>
      <c r="AP12" s="574"/>
      <c r="AQ12" s="575"/>
      <c r="AR12" s="576">
        <f>ROUND(SUMIFS(Input[Student Uses],Input[Institution Name],H12),0)</f>
        <v>14255184</v>
      </c>
      <c r="AS12" s="574"/>
      <c r="AT12" s="577"/>
      <c r="AU12" s="573">
        <f t="shared" si="4"/>
        <v>3043</v>
      </c>
      <c r="AV12" s="574"/>
      <c r="AW12" s="575"/>
      <c r="AX12" s="576">
        <f>ROUND(SUMIFS(Input[Other Uses],Input[Institution Name],H12),0)</f>
        <v>2917847</v>
      </c>
      <c r="AY12" s="574"/>
      <c r="AZ12" s="577"/>
      <c r="BA12" s="573">
        <f t="shared" si="5"/>
        <v>623</v>
      </c>
      <c r="BB12" s="574"/>
      <c r="BC12" s="577"/>
      <c r="BD12" s="576">
        <f t="shared" si="6"/>
        <v>1755509150</v>
      </c>
      <c r="BE12" s="574"/>
      <c r="BF12" s="577"/>
      <c r="BG12" s="573">
        <f t="shared" si="7"/>
        <v>374788</v>
      </c>
      <c r="BH12" s="574"/>
      <c r="BI12" s="577"/>
      <c r="BJ12" s="17"/>
      <c r="BK12" s="17"/>
    </row>
    <row r="13" spans="1:63" ht="30" customHeight="1" x14ac:dyDescent="0.3">
      <c r="A13" s="17"/>
      <c r="B13" s="17"/>
      <c r="C13" s="17"/>
      <c r="D13" s="17"/>
      <c r="E13" s="17"/>
      <c r="F13" s="17"/>
      <c r="G13" s="17"/>
      <c r="H13" s="579" t="s">
        <v>32</v>
      </c>
      <c r="I13" s="580"/>
      <c r="J13" s="580"/>
      <c r="K13" s="580"/>
      <c r="L13" s="580"/>
      <c r="M13" s="580"/>
      <c r="N13" s="580"/>
      <c r="O13" s="580"/>
      <c r="P13" s="581"/>
      <c r="Q13" s="582">
        <f>SUMIFS('FTSE | FTFE'!$P$8:$P$77,'FTSE | FTFE'!$H$8:$H$77,H13)</f>
        <v>4277</v>
      </c>
      <c r="R13" s="583"/>
      <c r="S13" s="586"/>
      <c r="T13" s="582">
        <f>ROUND(SUMIFS(Input[Instruction Uses],Input[Institution Name],H13),0)</f>
        <v>614615572</v>
      </c>
      <c r="U13" s="583"/>
      <c r="V13" s="584"/>
      <c r="W13" s="585">
        <f t="shared" si="0"/>
        <v>143702</v>
      </c>
      <c r="X13" s="583"/>
      <c r="Y13" s="586"/>
      <c r="Z13" s="582">
        <f>ROUND(SUMIFS(Input[Research Uses],Input[Institution Name],H13),0)</f>
        <v>254459984</v>
      </c>
      <c r="AA13" s="583"/>
      <c r="AB13" s="584"/>
      <c r="AC13" s="585">
        <f t="shared" si="1"/>
        <v>59495</v>
      </c>
      <c r="AD13" s="583"/>
      <c r="AE13" s="586"/>
      <c r="AF13" s="582">
        <f>ROUND(SUMIFS(Input[Academic Uses],Input[Institution Name],H13),0)</f>
        <v>71610301</v>
      </c>
      <c r="AG13" s="583"/>
      <c r="AH13" s="584"/>
      <c r="AI13" s="585">
        <f t="shared" si="2"/>
        <v>16743</v>
      </c>
      <c r="AJ13" s="583"/>
      <c r="AK13" s="586"/>
      <c r="AL13" s="582">
        <f>ROUND(SUMIFS(Input[Institutional Uses],Input[Institution Name],H13),0)</f>
        <v>85372067</v>
      </c>
      <c r="AM13" s="583"/>
      <c r="AN13" s="584"/>
      <c r="AO13" s="585">
        <f t="shared" si="3"/>
        <v>19961</v>
      </c>
      <c r="AP13" s="583"/>
      <c r="AQ13" s="586"/>
      <c r="AR13" s="582">
        <f>ROUND(SUMIFS(Input[Student Uses],Input[Institution Name],H13),0)</f>
        <v>3274543</v>
      </c>
      <c r="AS13" s="583"/>
      <c r="AT13" s="584"/>
      <c r="AU13" s="585">
        <f t="shared" si="4"/>
        <v>766</v>
      </c>
      <c r="AV13" s="583"/>
      <c r="AW13" s="586"/>
      <c r="AX13" s="582">
        <f>ROUND(SUMIFS(Input[Other Uses],Input[Institution Name],H13),0)</f>
        <v>2641688</v>
      </c>
      <c r="AY13" s="583"/>
      <c r="AZ13" s="584"/>
      <c r="BA13" s="585">
        <f t="shared" si="5"/>
        <v>618</v>
      </c>
      <c r="BB13" s="583"/>
      <c r="BC13" s="584"/>
      <c r="BD13" s="582">
        <f t="shared" si="6"/>
        <v>1031974155</v>
      </c>
      <c r="BE13" s="583"/>
      <c r="BF13" s="584"/>
      <c r="BG13" s="585">
        <f t="shared" si="7"/>
        <v>241285</v>
      </c>
      <c r="BH13" s="583"/>
      <c r="BI13" s="584"/>
      <c r="BJ13" s="17"/>
      <c r="BK13" s="17"/>
    </row>
    <row r="14" spans="1:63" ht="30" customHeight="1" x14ac:dyDescent="0.3">
      <c r="A14" s="17"/>
      <c r="B14" s="17"/>
      <c r="C14" s="17"/>
      <c r="D14" s="17"/>
      <c r="E14" s="17"/>
      <c r="F14" s="17"/>
      <c r="G14" s="17"/>
      <c r="H14" s="587" t="s">
        <v>165</v>
      </c>
      <c r="I14" s="588"/>
      <c r="J14" s="588"/>
      <c r="K14" s="588"/>
      <c r="L14" s="588"/>
      <c r="M14" s="588"/>
      <c r="N14" s="588"/>
      <c r="O14" s="588"/>
      <c r="P14" s="589"/>
      <c r="Q14" s="576">
        <f>SUMIFS('FTSE | FTFE'!$P$8:$P$77,'FTSE | FTFE'!$H$8:$H$77,H14)</f>
        <v>303</v>
      </c>
      <c r="R14" s="574"/>
      <c r="S14" s="575"/>
      <c r="T14" s="576">
        <f>ROUND(SUMIFS(Input[Instruction Uses],Input[Institution Name],H14),0)</f>
        <v>37989133</v>
      </c>
      <c r="U14" s="574"/>
      <c r="V14" s="577"/>
      <c r="W14" s="573">
        <f t="shared" si="0"/>
        <v>125377</v>
      </c>
      <c r="X14" s="574"/>
      <c r="Y14" s="575"/>
      <c r="Z14" s="576">
        <f>ROUND(SUMIFS(Input[Research Uses],Input[Institution Name],H14),0)</f>
        <v>22545514</v>
      </c>
      <c r="AA14" s="574"/>
      <c r="AB14" s="577"/>
      <c r="AC14" s="573">
        <f t="shared" si="1"/>
        <v>74408</v>
      </c>
      <c r="AD14" s="574"/>
      <c r="AE14" s="575"/>
      <c r="AF14" s="576">
        <f>ROUND(SUMIFS(Input[Academic Uses],Input[Institution Name],H14),0)</f>
        <v>23076691</v>
      </c>
      <c r="AG14" s="574"/>
      <c r="AH14" s="577"/>
      <c r="AI14" s="573">
        <f t="shared" si="2"/>
        <v>76161</v>
      </c>
      <c r="AJ14" s="574"/>
      <c r="AK14" s="575"/>
      <c r="AL14" s="576">
        <f>ROUND(SUMIFS(Input[Institutional Uses],Input[Institution Name],H14),0)</f>
        <v>85154</v>
      </c>
      <c r="AM14" s="574"/>
      <c r="AN14" s="577"/>
      <c r="AO14" s="573">
        <f t="shared" si="3"/>
        <v>281</v>
      </c>
      <c r="AP14" s="574"/>
      <c r="AQ14" s="575"/>
      <c r="AR14" s="576">
        <f>ROUND(SUMIFS(Input[Student Uses],Input[Institution Name],H14),0)</f>
        <v>2667643</v>
      </c>
      <c r="AS14" s="574"/>
      <c r="AT14" s="577"/>
      <c r="AU14" s="573">
        <f t="shared" si="4"/>
        <v>8804</v>
      </c>
      <c r="AV14" s="574"/>
      <c r="AW14" s="575"/>
      <c r="AX14" s="576">
        <f>ROUND(SUMIFS(Input[Other Uses],Input[Institution Name],H14),0)</f>
        <v>340875</v>
      </c>
      <c r="AY14" s="574"/>
      <c r="AZ14" s="577"/>
      <c r="BA14" s="573">
        <f t="shared" si="5"/>
        <v>1125</v>
      </c>
      <c r="BB14" s="574"/>
      <c r="BC14" s="577"/>
      <c r="BD14" s="576">
        <f t="shared" si="6"/>
        <v>86705010</v>
      </c>
      <c r="BE14" s="574"/>
      <c r="BF14" s="577"/>
      <c r="BG14" s="573">
        <f t="shared" si="7"/>
        <v>286155</v>
      </c>
      <c r="BH14" s="574"/>
      <c r="BI14" s="577"/>
      <c r="BJ14" s="17"/>
      <c r="BK14" s="17"/>
    </row>
    <row r="15" spans="1:63" ht="30" customHeight="1" x14ac:dyDescent="0.3">
      <c r="A15" s="17"/>
      <c r="B15" s="17"/>
      <c r="C15" s="17"/>
      <c r="D15" s="17"/>
      <c r="E15" s="17"/>
      <c r="F15" s="17"/>
      <c r="G15" s="17"/>
      <c r="H15" s="579" t="s">
        <v>33</v>
      </c>
      <c r="I15" s="580"/>
      <c r="J15" s="580"/>
      <c r="K15" s="580"/>
      <c r="L15" s="580"/>
      <c r="M15" s="580"/>
      <c r="N15" s="580"/>
      <c r="O15" s="580"/>
      <c r="P15" s="581"/>
      <c r="Q15" s="582">
        <f>SUMIFS('FTSE | FTFE'!$P$8:$P$77,'FTSE | FTFE'!$H$8:$H$77,H15)</f>
        <v>394</v>
      </c>
      <c r="R15" s="583"/>
      <c r="S15" s="586"/>
      <c r="T15" s="582">
        <f>ROUND(SUMIFS(Input[Instruction Uses],Input[Institution Name],H15),0)</f>
        <v>106485255</v>
      </c>
      <c r="U15" s="583"/>
      <c r="V15" s="584"/>
      <c r="W15" s="585">
        <f t="shared" si="0"/>
        <v>270267</v>
      </c>
      <c r="X15" s="583"/>
      <c r="Y15" s="586"/>
      <c r="Z15" s="582">
        <f>ROUND(SUMIFS(Input[Research Uses],Input[Institution Name],H15),0)</f>
        <v>1176090714</v>
      </c>
      <c r="AA15" s="583"/>
      <c r="AB15" s="584"/>
      <c r="AC15" s="585">
        <f t="shared" si="1"/>
        <v>2985002</v>
      </c>
      <c r="AD15" s="583"/>
      <c r="AE15" s="586"/>
      <c r="AF15" s="582">
        <f>ROUND(SUMIFS(Input[Academic Uses],Input[Institution Name],H15),0)</f>
        <v>201142998</v>
      </c>
      <c r="AG15" s="583"/>
      <c r="AH15" s="584"/>
      <c r="AI15" s="585">
        <f t="shared" si="2"/>
        <v>510515</v>
      </c>
      <c r="AJ15" s="583"/>
      <c r="AK15" s="586"/>
      <c r="AL15" s="582">
        <f>ROUND(SUMIFS(Input[Institutional Uses],Input[Institution Name],H15),0)</f>
        <v>200278550</v>
      </c>
      <c r="AM15" s="583"/>
      <c r="AN15" s="584"/>
      <c r="AO15" s="585">
        <f t="shared" si="3"/>
        <v>508321</v>
      </c>
      <c r="AP15" s="583"/>
      <c r="AQ15" s="586"/>
      <c r="AR15" s="582">
        <f>ROUND(SUMIFS(Input[Student Uses],Input[Institution Name],H15),0)</f>
        <v>3095503</v>
      </c>
      <c r="AS15" s="583"/>
      <c r="AT15" s="584"/>
      <c r="AU15" s="585">
        <f t="shared" si="4"/>
        <v>7857</v>
      </c>
      <c r="AV15" s="583"/>
      <c r="AW15" s="586"/>
      <c r="AX15" s="582">
        <f>ROUND(SUMIFS(Input[Other Uses],Input[Institution Name],H15),0)</f>
        <v>6779140</v>
      </c>
      <c r="AY15" s="583"/>
      <c r="AZ15" s="584"/>
      <c r="BA15" s="585">
        <f t="shared" si="5"/>
        <v>17206</v>
      </c>
      <c r="BB15" s="583"/>
      <c r="BC15" s="584"/>
      <c r="BD15" s="582">
        <f t="shared" si="6"/>
        <v>1693872160</v>
      </c>
      <c r="BE15" s="583"/>
      <c r="BF15" s="584"/>
      <c r="BG15" s="585">
        <f t="shared" si="7"/>
        <v>4299168</v>
      </c>
      <c r="BH15" s="583"/>
      <c r="BI15" s="584"/>
      <c r="BJ15" s="17"/>
      <c r="BK15" s="17"/>
    </row>
    <row r="16" spans="1:63" ht="30" customHeight="1" x14ac:dyDescent="0.3">
      <c r="A16" s="17"/>
      <c r="B16" s="17"/>
      <c r="C16" s="17"/>
      <c r="D16" s="17"/>
      <c r="E16" s="17"/>
      <c r="F16" s="17"/>
      <c r="G16" s="17"/>
      <c r="H16" s="587" t="s">
        <v>34</v>
      </c>
      <c r="I16" s="588"/>
      <c r="J16" s="588"/>
      <c r="K16" s="588"/>
      <c r="L16" s="588"/>
      <c r="M16" s="588"/>
      <c r="N16" s="588"/>
      <c r="O16" s="588"/>
      <c r="P16" s="589"/>
      <c r="Q16" s="576">
        <f>SUMIFS('FTSE | FTFE'!$P$8:$P$77,'FTSE | FTFE'!$H$8:$H$77,H16)</f>
        <v>196</v>
      </c>
      <c r="R16" s="574"/>
      <c r="S16" s="575"/>
      <c r="T16" s="576">
        <f>ROUND(SUMIFS(Input[Instruction Uses],Input[Institution Name],H16),0)</f>
        <v>144474757</v>
      </c>
      <c r="U16" s="574"/>
      <c r="V16" s="577"/>
      <c r="W16" s="573">
        <f t="shared" si="0"/>
        <v>737116</v>
      </c>
      <c r="X16" s="574"/>
      <c r="Y16" s="575"/>
      <c r="Z16" s="576">
        <f>ROUND(SUMIFS(Input[Research Uses],Input[Institution Name],H16),0)</f>
        <v>23476439</v>
      </c>
      <c r="AA16" s="574"/>
      <c r="AB16" s="577"/>
      <c r="AC16" s="573">
        <f t="shared" si="1"/>
        <v>119778</v>
      </c>
      <c r="AD16" s="574"/>
      <c r="AE16" s="575"/>
      <c r="AF16" s="576">
        <f>ROUND(SUMIFS(Input[Academic Uses],Input[Institution Name],H16),0)</f>
        <v>5849066</v>
      </c>
      <c r="AG16" s="574"/>
      <c r="AH16" s="577"/>
      <c r="AI16" s="573">
        <f t="shared" si="2"/>
        <v>29842</v>
      </c>
      <c r="AJ16" s="574"/>
      <c r="AK16" s="575"/>
      <c r="AL16" s="576">
        <f>ROUND(SUMIFS(Input[Institutional Uses],Input[Institution Name],H16),0)</f>
        <v>18051219</v>
      </c>
      <c r="AM16" s="574"/>
      <c r="AN16" s="577"/>
      <c r="AO16" s="573">
        <f t="shared" si="3"/>
        <v>92098</v>
      </c>
      <c r="AP16" s="574"/>
      <c r="AQ16" s="575"/>
      <c r="AR16" s="576">
        <f>ROUND(SUMIFS(Input[Student Uses],Input[Institution Name],H16),0)</f>
        <v>2111847</v>
      </c>
      <c r="AS16" s="574"/>
      <c r="AT16" s="577"/>
      <c r="AU16" s="573">
        <f t="shared" si="4"/>
        <v>10775</v>
      </c>
      <c r="AV16" s="574"/>
      <c r="AW16" s="575"/>
      <c r="AX16" s="576">
        <f>ROUND(SUMIFS(Input[Other Uses],Input[Institution Name],H16),0)</f>
        <v>79052</v>
      </c>
      <c r="AY16" s="574"/>
      <c r="AZ16" s="577"/>
      <c r="BA16" s="573">
        <f t="shared" si="5"/>
        <v>403</v>
      </c>
      <c r="BB16" s="574"/>
      <c r="BC16" s="577"/>
      <c r="BD16" s="576">
        <f t="shared" si="6"/>
        <v>194042380</v>
      </c>
      <c r="BE16" s="574"/>
      <c r="BF16" s="577"/>
      <c r="BG16" s="573">
        <f t="shared" si="7"/>
        <v>990012</v>
      </c>
      <c r="BH16" s="574"/>
      <c r="BI16" s="577"/>
      <c r="BJ16" s="17"/>
      <c r="BK16" s="17"/>
    </row>
    <row r="17" spans="1:63" ht="30" customHeight="1" x14ac:dyDescent="0.3">
      <c r="A17" s="17"/>
      <c r="B17" s="17"/>
      <c r="C17" s="17"/>
      <c r="D17" s="17"/>
      <c r="E17" s="17"/>
      <c r="F17" s="17"/>
      <c r="G17" s="17"/>
      <c r="H17" s="579" t="s">
        <v>41</v>
      </c>
      <c r="I17" s="580"/>
      <c r="J17" s="580"/>
      <c r="K17" s="580"/>
      <c r="L17" s="580"/>
      <c r="M17" s="580"/>
      <c r="N17" s="580"/>
      <c r="O17" s="580"/>
      <c r="P17" s="581"/>
      <c r="Q17" s="582">
        <f>SUMIFS('FTSE | FTFE'!$P$8:$P$77,'FTSE | FTFE'!$H$8:$H$77,H17)</f>
        <v>203</v>
      </c>
      <c r="R17" s="583"/>
      <c r="S17" s="586"/>
      <c r="T17" s="582">
        <f>ROUND(SUMIFS(Input[Instruction Uses],Input[Institution Name],H17),0)</f>
        <v>8495001</v>
      </c>
      <c r="U17" s="583"/>
      <c r="V17" s="584"/>
      <c r="W17" s="585">
        <f t="shared" si="0"/>
        <v>41847</v>
      </c>
      <c r="X17" s="583"/>
      <c r="Y17" s="586"/>
      <c r="Z17" s="582">
        <f>ROUND(SUMIFS(Input[Research Uses],Input[Institution Name],H17),0)</f>
        <v>49068550</v>
      </c>
      <c r="AA17" s="583"/>
      <c r="AB17" s="584"/>
      <c r="AC17" s="585">
        <f t="shared" si="1"/>
        <v>241717</v>
      </c>
      <c r="AD17" s="583"/>
      <c r="AE17" s="586"/>
      <c r="AF17" s="582">
        <f>ROUND(SUMIFS(Input[Academic Uses],Input[Institution Name],H17),0)</f>
        <v>65656497</v>
      </c>
      <c r="AG17" s="583"/>
      <c r="AH17" s="584"/>
      <c r="AI17" s="585">
        <f t="shared" si="2"/>
        <v>323431</v>
      </c>
      <c r="AJ17" s="583"/>
      <c r="AK17" s="586"/>
      <c r="AL17" s="582">
        <f>ROUND(SUMIFS(Input[Institutional Uses],Input[Institution Name],H17),0)</f>
        <v>33143511</v>
      </c>
      <c r="AM17" s="583"/>
      <c r="AN17" s="584"/>
      <c r="AO17" s="585">
        <f t="shared" si="3"/>
        <v>163269</v>
      </c>
      <c r="AP17" s="583"/>
      <c r="AQ17" s="586"/>
      <c r="AR17" s="582">
        <f>ROUND(SUMIFS(Input[Student Uses],Input[Institution Name],H17),0)</f>
        <v>9767</v>
      </c>
      <c r="AS17" s="583"/>
      <c r="AT17" s="584"/>
      <c r="AU17" s="585">
        <f t="shared" si="4"/>
        <v>48</v>
      </c>
      <c r="AV17" s="583"/>
      <c r="AW17" s="586"/>
      <c r="AX17" s="582">
        <f>ROUND(SUMIFS(Input[Other Uses],Input[Institution Name],H17),0)</f>
        <v>0</v>
      </c>
      <c r="AY17" s="583"/>
      <c r="AZ17" s="584"/>
      <c r="BA17" s="585">
        <f t="shared" si="5"/>
        <v>0</v>
      </c>
      <c r="BB17" s="583"/>
      <c r="BC17" s="584"/>
      <c r="BD17" s="582">
        <f t="shared" si="6"/>
        <v>156373326</v>
      </c>
      <c r="BE17" s="583"/>
      <c r="BF17" s="584"/>
      <c r="BG17" s="585">
        <f t="shared" si="7"/>
        <v>770312</v>
      </c>
      <c r="BH17" s="583"/>
      <c r="BI17" s="584"/>
      <c r="BJ17" s="17"/>
      <c r="BK17" s="17"/>
    </row>
    <row r="18" spans="1:63" ht="30" customHeight="1" x14ac:dyDescent="0.3">
      <c r="A18" s="17"/>
      <c r="B18" s="17"/>
      <c r="C18" s="17"/>
      <c r="D18" s="17"/>
      <c r="E18" s="17"/>
      <c r="F18" s="17"/>
      <c r="G18" s="17"/>
      <c r="H18" s="587" t="s">
        <v>60</v>
      </c>
      <c r="I18" s="588"/>
      <c r="J18" s="588"/>
      <c r="K18" s="588"/>
      <c r="L18" s="588"/>
      <c r="M18" s="588"/>
      <c r="N18" s="588"/>
      <c r="O18" s="588"/>
      <c r="P18" s="589"/>
      <c r="Q18" s="576">
        <f>SUMIFS('FTSE | FTFE'!$P$8:$P$77,'FTSE | FTFE'!$H$8:$H$77,H18)</f>
        <v>4236</v>
      </c>
      <c r="R18" s="574"/>
      <c r="S18" s="575"/>
      <c r="T18" s="576">
        <f>ROUND(SUMIFS(Input[Instruction Uses],Input[Institution Name],H18),0)</f>
        <v>182547278</v>
      </c>
      <c r="U18" s="574"/>
      <c r="V18" s="577"/>
      <c r="W18" s="573">
        <f t="shared" si="0"/>
        <v>43094</v>
      </c>
      <c r="X18" s="574"/>
      <c r="Y18" s="575"/>
      <c r="Z18" s="576">
        <f>ROUND(SUMIFS(Input[Research Uses],Input[Institution Name],H18),0)</f>
        <v>118663954</v>
      </c>
      <c r="AA18" s="574"/>
      <c r="AB18" s="577"/>
      <c r="AC18" s="573">
        <f t="shared" si="1"/>
        <v>28013</v>
      </c>
      <c r="AD18" s="574"/>
      <c r="AE18" s="575"/>
      <c r="AF18" s="576">
        <f>ROUND(SUMIFS(Input[Academic Uses],Input[Institution Name],H18),0)</f>
        <v>50479686</v>
      </c>
      <c r="AG18" s="574"/>
      <c r="AH18" s="577"/>
      <c r="AI18" s="573">
        <f t="shared" si="2"/>
        <v>11917</v>
      </c>
      <c r="AJ18" s="574"/>
      <c r="AK18" s="575"/>
      <c r="AL18" s="576">
        <f>ROUND(SUMIFS(Input[Institutional Uses],Input[Institution Name],H18),0)</f>
        <v>21648016</v>
      </c>
      <c r="AM18" s="574"/>
      <c r="AN18" s="577"/>
      <c r="AO18" s="573">
        <f t="shared" si="3"/>
        <v>5110</v>
      </c>
      <c r="AP18" s="574"/>
      <c r="AQ18" s="575"/>
      <c r="AR18" s="576">
        <f>ROUND(SUMIFS(Input[Student Uses],Input[Institution Name],H18),0)</f>
        <v>12791768</v>
      </c>
      <c r="AS18" s="574"/>
      <c r="AT18" s="577"/>
      <c r="AU18" s="573">
        <f t="shared" si="4"/>
        <v>3020</v>
      </c>
      <c r="AV18" s="574"/>
      <c r="AW18" s="575"/>
      <c r="AX18" s="576">
        <f>ROUND(SUMIFS(Input[Other Uses],Input[Institution Name],H18),0)</f>
        <v>2217647</v>
      </c>
      <c r="AY18" s="574"/>
      <c r="AZ18" s="577"/>
      <c r="BA18" s="573">
        <f t="shared" si="5"/>
        <v>524</v>
      </c>
      <c r="BB18" s="574"/>
      <c r="BC18" s="577"/>
      <c r="BD18" s="576">
        <f t="shared" si="6"/>
        <v>388348349</v>
      </c>
      <c r="BE18" s="574"/>
      <c r="BF18" s="577"/>
      <c r="BG18" s="573">
        <f t="shared" si="7"/>
        <v>91678</v>
      </c>
      <c r="BH18" s="574"/>
      <c r="BI18" s="577"/>
      <c r="BJ18" s="17"/>
      <c r="BK18" s="17"/>
    </row>
    <row r="19" spans="1:63" ht="30" customHeight="1" x14ac:dyDescent="0.3">
      <c r="A19" s="17"/>
      <c r="B19" s="17"/>
      <c r="C19" s="17"/>
      <c r="D19" s="17"/>
      <c r="E19" s="17"/>
      <c r="F19" s="17"/>
      <c r="G19" s="17"/>
      <c r="H19" s="579" t="s">
        <v>35</v>
      </c>
      <c r="I19" s="580"/>
      <c r="J19" s="580"/>
      <c r="K19" s="580"/>
      <c r="L19" s="580"/>
      <c r="M19" s="580"/>
      <c r="N19" s="580"/>
      <c r="O19" s="580"/>
      <c r="P19" s="581"/>
      <c r="Q19" s="582">
        <f>SUMIFS('FTSE | FTFE'!$P$8:$P$77,'FTSE | FTFE'!$H$8:$H$77,H19)</f>
        <v>2716</v>
      </c>
      <c r="R19" s="583"/>
      <c r="S19" s="586"/>
      <c r="T19" s="582">
        <f>ROUND(SUMIFS(Input[Instruction Uses],Input[Institution Name],H19),0)</f>
        <v>91000713</v>
      </c>
      <c r="U19" s="583"/>
      <c r="V19" s="584"/>
      <c r="W19" s="585">
        <f t="shared" si="0"/>
        <v>33505</v>
      </c>
      <c r="X19" s="583"/>
      <c r="Y19" s="586"/>
      <c r="Z19" s="582">
        <f>ROUND(SUMIFS(Input[Research Uses],Input[Institution Name],H19),0)</f>
        <v>102608987</v>
      </c>
      <c r="AA19" s="583"/>
      <c r="AB19" s="584"/>
      <c r="AC19" s="585">
        <f t="shared" si="1"/>
        <v>37779</v>
      </c>
      <c r="AD19" s="583"/>
      <c r="AE19" s="586"/>
      <c r="AF19" s="582">
        <f>ROUND(SUMIFS(Input[Academic Uses],Input[Institution Name],H19),0)</f>
        <v>40548869</v>
      </c>
      <c r="AG19" s="583"/>
      <c r="AH19" s="584"/>
      <c r="AI19" s="585">
        <f t="shared" si="2"/>
        <v>14930</v>
      </c>
      <c r="AJ19" s="583"/>
      <c r="AK19" s="586"/>
      <c r="AL19" s="582">
        <f>ROUND(SUMIFS(Input[Institutional Uses],Input[Institution Name],H19),0)</f>
        <v>18632281</v>
      </c>
      <c r="AM19" s="583"/>
      <c r="AN19" s="584"/>
      <c r="AO19" s="585">
        <f t="shared" si="3"/>
        <v>6860</v>
      </c>
      <c r="AP19" s="583"/>
      <c r="AQ19" s="586"/>
      <c r="AR19" s="582">
        <f>ROUND(SUMIFS(Input[Student Uses],Input[Institution Name],H19),0)</f>
        <v>8806492</v>
      </c>
      <c r="AS19" s="583"/>
      <c r="AT19" s="584"/>
      <c r="AU19" s="585">
        <f t="shared" si="4"/>
        <v>3242</v>
      </c>
      <c r="AV19" s="583"/>
      <c r="AW19" s="586"/>
      <c r="AX19" s="582">
        <f>ROUND(SUMIFS(Input[Other Uses],Input[Institution Name],H19),0)</f>
        <v>826127</v>
      </c>
      <c r="AY19" s="583"/>
      <c r="AZ19" s="584"/>
      <c r="BA19" s="585">
        <f t="shared" si="5"/>
        <v>304</v>
      </c>
      <c r="BB19" s="583"/>
      <c r="BC19" s="584"/>
      <c r="BD19" s="582">
        <f t="shared" si="6"/>
        <v>262423469</v>
      </c>
      <c r="BE19" s="583"/>
      <c r="BF19" s="584"/>
      <c r="BG19" s="585">
        <f t="shared" si="7"/>
        <v>96621</v>
      </c>
      <c r="BH19" s="583"/>
      <c r="BI19" s="584"/>
      <c r="BJ19" s="17"/>
      <c r="BK19" s="17"/>
    </row>
    <row r="20" spans="1:63" ht="30" customHeight="1" x14ac:dyDescent="0.3">
      <c r="A20" s="17"/>
      <c r="B20" s="17"/>
      <c r="C20" s="17"/>
      <c r="D20" s="17"/>
      <c r="E20" s="17"/>
      <c r="F20" s="17"/>
      <c r="G20" s="17"/>
      <c r="H20" s="587" t="s">
        <v>36</v>
      </c>
      <c r="I20" s="588"/>
      <c r="J20" s="588"/>
      <c r="K20" s="588"/>
      <c r="L20" s="588"/>
      <c r="M20" s="588"/>
      <c r="N20" s="588"/>
      <c r="O20" s="588"/>
      <c r="P20" s="589"/>
      <c r="Q20" s="576">
        <f>SUMIFS('FTSE | FTFE'!$P$8:$P$77,'FTSE | FTFE'!$H$8:$H$77,H20)</f>
        <v>6038</v>
      </c>
      <c r="R20" s="574"/>
      <c r="S20" s="575"/>
      <c r="T20" s="576">
        <f>ROUND(SUMIFS(Input[Instruction Uses],Input[Institution Name],H20),0)</f>
        <v>259354606</v>
      </c>
      <c r="U20" s="574"/>
      <c r="V20" s="577"/>
      <c r="W20" s="573">
        <f t="shared" si="0"/>
        <v>42954</v>
      </c>
      <c r="X20" s="574"/>
      <c r="Y20" s="575"/>
      <c r="Z20" s="576">
        <f>ROUND(SUMIFS(Input[Research Uses],Input[Institution Name],H20),0)</f>
        <v>49811826</v>
      </c>
      <c r="AA20" s="574"/>
      <c r="AB20" s="577"/>
      <c r="AC20" s="573">
        <f t="shared" si="1"/>
        <v>8250</v>
      </c>
      <c r="AD20" s="574"/>
      <c r="AE20" s="575"/>
      <c r="AF20" s="576">
        <f>ROUND(SUMIFS(Input[Academic Uses],Input[Institution Name],H20),0)</f>
        <v>154082182</v>
      </c>
      <c r="AG20" s="574"/>
      <c r="AH20" s="577"/>
      <c r="AI20" s="573">
        <f t="shared" si="2"/>
        <v>25519</v>
      </c>
      <c r="AJ20" s="574"/>
      <c r="AK20" s="575"/>
      <c r="AL20" s="576">
        <f>ROUND(SUMIFS(Input[Institutional Uses],Input[Institution Name],H20),0)</f>
        <v>41743642</v>
      </c>
      <c r="AM20" s="574"/>
      <c r="AN20" s="577"/>
      <c r="AO20" s="573">
        <f t="shared" si="3"/>
        <v>6913</v>
      </c>
      <c r="AP20" s="574"/>
      <c r="AQ20" s="575"/>
      <c r="AR20" s="576">
        <f>ROUND(SUMIFS(Input[Student Uses],Input[Institution Name],H20),0)</f>
        <v>28660597</v>
      </c>
      <c r="AS20" s="574"/>
      <c r="AT20" s="577"/>
      <c r="AU20" s="573">
        <f t="shared" si="4"/>
        <v>4747</v>
      </c>
      <c r="AV20" s="574"/>
      <c r="AW20" s="575"/>
      <c r="AX20" s="576">
        <f>ROUND(SUMIFS(Input[Other Uses],Input[Institution Name],H20),0)</f>
        <v>1806268</v>
      </c>
      <c r="AY20" s="574"/>
      <c r="AZ20" s="577"/>
      <c r="BA20" s="573">
        <f t="shared" si="5"/>
        <v>299</v>
      </c>
      <c r="BB20" s="574"/>
      <c r="BC20" s="577"/>
      <c r="BD20" s="576">
        <f t="shared" si="6"/>
        <v>535459121</v>
      </c>
      <c r="BE20" s="574"/>
      <c r="BF20" s="577"/>
      <c r="BG20" s="573">
        <f t="shared" si="7"/>
        <v>88682</v>
      </c>
      <c r="BH20" s="574"/>
      <c r="BI20" s="577"/>
      <c r="BJ20" s="17"/>
      <c r="BK20" s="17"/>
    </row>
    <row r="21" spans="1:63" ht="30" customHeight="1" x14ac:dyDescent="0.3">
      <c r="A21" s="17"/>
      <c r="B21" s="17"/>
      <c r="C21" s="17"/>
      <c r="D21" s="17"/>
      <c r="E21" s="17"/>
      <c r="F21" s="17"/>
      <c r="G21" s="17"/>
      <c r="H21" s="579" t="s">
        <v>37</v>
      </c>
      <c r="I21" s="580"/>
      <c r="J21" s="580"/>
      <c r="K21" s="580"/>
      <c r="L21" s="580"/>
      <c r="M21" s="580"/>
      <c r="N21" s="580"/>
      <c r="O21" s="580"/>
      <c r="P21" s="581"/>
      <c r="Q21" s="582">
        <f>SUMIFS('FTSE | FTFE'!$P$8:$P$77,'FTSE | FTFE'!$H$8:$H$77,H21)</f>
        <v>1090</v>
      </c>
      <c r="R21" s="583"/>
      <c r="S21" s="586"/>
      <c r="T21" s="582">
        <f>ROUND(SUMIFS(Input[Instruction Uses],Input[Institution Name],H21),0)</f>
        <v>141995857</v>
      </c>
      <c r="U21" s="583"/>
      <c r="V21" s="584"/>
      <c r="W21" s="585">
        <f t="shared" si="0"/>
        <v>130271</v>
      </c>
      <c r="X21" s="583"/>
      <c r="Y21" s="586"/>
      <c r="Z21" s="582">
        <f>ROUND(SUMIFS(Input[Research Uses],Input[Institution Name],H21),0)</f>
        <v>11780221</v>
      </c>
      <c r="AA21" s="583"/>
      <c r="AB21" s="584"/>
      <c r="AC21" s="585">
        <f t="shared" si="1"/>
        <v>10808</v>
      </c>
      <c r="AD21" s="583"/>
      <c r="AE21" s="586"/>
      <c r="AF21" s="582">
        <f>ROUND(SUMIFS(Input[Academic Uses],Input[Institution Name],H21),0)</f>
        <v>57116284</v>
      </c>
      <c r="AG21" s="583"/>
      <c r="AH21" s="584"/>
      <c r="AI21" s="585">
        <f t="shared" si="2"/>
        <v>52400</v>
      </c>
      <c r="AJ21" s="583"/>
      <c r="AK21" s="586"/>
      <c r="AL21" s="582">
        <f>ROUND(SUMIFS(Input[Institutional Uses],Input[Institution Name],H21),0)</f>
        <v>22688559</v>
      </c>
      <c r="AM21" s="583"/>
      <c r="AN21" s="584"/>
      <c r="AO21" s="585">
        <f t="shared" si="3"/>
        <v>20815</v>
      </c>
      <c r="AP21" s="583"/>
      <c r="AQ21" s="586"/>
      <c r="AR21" s="582">
        <f>ROUND(SUMIFS(Input[Student Uses],Input[Institution Name],H21),0)</f>
        <v>5905593</v>
      </c>
      <c r="AS21" s="583"/>
      <c r="AT21" s="584"/>
      <c r="AU21" s="585">
        <f t="shared" si="4"/>
        <v>5418</v>
      </c>
      <c r="AV21" s="583"/>
      <c r="AW21" s="586"/>
      <c r="AX21" s="582">
        <f>ROUND(SUMIFS(Input[Other Uses],Input[Institution Name],H21),0)</f>
        <v>868322</v>
      </c>
      <c r="AY21" s="583"/>
      <c r="AZ21" s="584"/>
      <c r="BA21" s="585">
        <f t="shared" si="5"/>
        <v>797</v>
      </c>
      <c r="BB21" s="583"/>
      <c r="BC21" s="584"/>
      <c r="BD21" s="582">
        <f t="shared" si="6"/>
        <v>240354836</v>
      </c>
      <c r="BE21" s="583"/>
      <c r="BF21" s="584"/>
      <c r="BG21" s="585">
        <f t="shared" si="7"/>
        <v>220509</v>
      </c>
      <c r="BH21" s="583"/>
      <c r="BI21" s="584"/>
      <c r="BJ21" s="17"/>
      <c r="BK21" s="17"/>
    </row>
    <row r="22" spans="1:63" ht="30" customHeight="1" x14ac:dyDescent="0.3">
      <c r="A22" s="17"/>
      <c r="B22" s="17"/>
      <c r="C22" s="17"/>
      <c r="D22" s="17"/>
      <c r="E22" s="17"/>
      <c r="F22" s="17"/>
      <c r="G22" s="17"/>
      <c r="H22" s="587" t="s">
        <v>44</v>
      </c>
      <c r="I22" s="588"/>
      <c r="J22" s="588"/>
      <c r="K22" s="588"/>
      <c r="L22" s="588"/>
      <c r="M22" s="588"/>
      <c r="N22" s="588"/>
      <c r="O22" s="588"/>
      <c r="P22" s="589"/>
      <c r="Q22" s="576">
        <f>SUMIFS('FTSE | FTFE'!$P$8:$P$77,'FTSE | FTFE'!$H$8:$H$77,H22)</f>
        <v>206</v>
      </c>
      <c r="R22" s="574"/>
      <c r="S22" s="575"/>
      <c r="T22" s="576">
        <f>ROUND(SUMIFS(Input[Instruction Uses],Input[Institution Name],H22),0)</f>
        <v>10934935</v>
      </c>
      <c r="U22" s="574"/>
      <c r="V22" s="577"/>
      <c r="W22" s="573">
        <f t="shared" si="0"/>
        <v>53082</v>
      </c>
      <c r="X22" s="574"/>
      <c r="Y22" s="575"/>
      <c r="Z22" s="576">
        <f>ROUND(SUMIFS(Input[Research Uses],Input[Institution Name],H22),0)</f>
        <v>2427591</v>
      </c>
      <c r="AA22" s="574"/>
      <c r="AB22" s="577"/>
      <c r="AC22" s="573">
        <f t="shared" si="1"/>
        <v>11784</v>
      </c>
      <c r="AD22" s="574"/>
      <c r="AE22" s="575"/>
      <c r="AF22" s="576">
        <f>ROUND(SUMIFS(Input[Academic Uses],Input[Institution Name],H22),0)</f>
        <v>16283873</v>
      </c>
      <c r="AG22" s="574"/>
      <c r="AH22" s="577"/>
      <c r="AI22" s="573">
        <f t="shared" si="2"/>
        <v>79048</v>
      </c>
      <c r="AJ22" s="574"/>
      <c r="AK22" s="575"/>
      <c r="AL22" s="576">
        <f>ROUND(SUMIFS(Input[Institutional Uses],Input[Institution Name],H22),0)</f>
        <v>37726</v>
      </c>
      <c r="AM22" s="574"/>
      <c r="AN22" s="577"/>
      <c r="AO22" s="573">
        <f t="shared" si="3"/>
        <v>183</v>
      </c>
      <c r="AP22" s="574"/>
      <c r="AQ22" s="575"/>
      <c r="AR22" s="576">
        <f>ROUND(SUMIFS(Input[Student Uses],Input[Institution Name],H22),0)</f>
        <v>0</v>
      </c>
      <c r="AS22" s="574"/>
      <c r="AT22" s="577"/>
      <c r="AU22" s="573">
        <f t="shared" si="4"/>
        <v>0</v>
      </c>
      <c r="AV22" s="574"/>
      <c r="AW22" s="575"/>
      <c r="AX22" s="576">
        <f>ROUND(SUMIFS(Input[Other Uses],Input[Institution Name],H22),0)</f>
        <v>0</v>
      </c>
      <c r="AY22" s="574"/>
      <c r="AZ22" s="577"/>
      <c r="BA22" s="573">
        <f t="shared" si="5"/>
        <v>0</v>
      </c>
      <c r="BB22" s="574"/>
      <c r="BC22" s="577"/>
      <c r="BD22" s="576">
        <f t="shared" si="6"/>
        <v>29684125</v>
      </c>
      <c r="BE22" s="574"/>
      <c r="BF22" s="577"/>
      <c r="BG22" s="573">
        <f t="shared" si="7"/>
        <v>144098</v>
      </c>
      <c r="BH22" s="574"/>
      <c r="BI22" s="577"/>
      <c r="BJ22" s="17"/>
      <c r="BK22" s="17"/>
    </row>
    <row r="23" spans="1:63" ht="30" customHeight="1" thickBot="1" x14ac:dyDescent="0.35">
      <c r="A23" s="17"/>
      <c r="B23" s="17"/>
      <c r="C23" s="17"/>
      <c r="D23" s="17"/>
      <c r="E23" s="17"/>
      <c r="F23" s="17"/>
      <c r="G23" s="17"/>
      <c r="H23" s="631" t="s">
        <v>45</v>
      </c>
      <c r="I23" s="632"/>
      <c r="J23" s="632"/>
      <c r="K23" s="632"/>
      <c r="L23" s="632"/>
      <c r="M23" s="632"/>
      <c r="N23" s="632"/>
      <c r="O23" s="632"/>
      <c r="P23" s="633"/>
      <c r="Q23" s="595">
        <f>SUMIFS('FTSE | FTFE'!$P$8:$P$77,'FTSE | FTFE'!$H$8:$H$77,H23)</f>
        <v>574</v>
      </c>
      <c r="R23" s="596"/>
      <c r="S23" s="624"/>
      <c r="T23" s="595">
        <f>ROUND(SUMIFS(Input[Instruction Uses],Input[Institution Name],H23),0)</f>
        <v>13502488</v>
      </c>
      <c r="U23" s="596"/>
      <c r="V23" s="597"/>
      <c r="W23" s="623">
        <f t="shared" si="0"/>
        <v>23523</v>
      </c>
      <c r="X23" s="596"/>
      <c r="Y23" s="624"/>
      <c r="Z23" s="595">
        <f>ROUND(SUMIFS(Input[Research Uses],Input[Institution Name],H23),0)</f>
        <v>1535995</v>
      </c>
      <c r="AA23" s="596"/>
      <c r="AB23" s="597"/>
      <c r="AC23" s="623">
        <f t="shared" si="1"/>
        <v>2676</v>
      </c>
      <c r="AD23" s="596"/>
      <c r="AE23" s="624"/>
      <c r="AF23" s="595">
        <f>ROUND(SUMIFS(Input[Academic Uses],Input[Institution Name],H23),0)</f>
        <v>7917179</v>
      </c>
      <c r="AG23" s="596"/>
      <c r="AH23" s="597"/>
      <c r="AI23" s="623">
        <f t="shared" si="2"/>
        <v>13793</v>
      </c>
      <c r="AJ23" s="596"/>
      <c r="AK23" s="624"/>
      <c r="AL23" s="595">
        <f>ROUND(SUMIFS(Input[Institutional Uses],Input[Institution Name],H23),0)</f>
        <v>1297839</v>
      </c>
      <c r="AM23" s="596"/>
      <c r="AN23" s="597"/>
      <c r="AO23" s="623">
        <f t="shared" si="3"/>
        <v>2261</v>
      </c>
      <c r="AP23" s="596"/>
      <c r="AQ23" s="624"/>
      <c r="AR23" s="595">
        <f>ROUND(SUMIFS(Input[Student Uses],Input[Institution Name],H23),0)</f>
        <v>2034669</v>
      </c>
      <c r="AS23" s="596"/>
      <c r="AT23" s="597"/>
      <c r="AU23" s="623">
        <f t="shared" si="4"/>
        <v>3545</v>
      </c>
      <c r="AV23" s="596"/>
      <c r="AW23" s="624"/>
      <c r="AX23" s="595">
        <f>ROUND(SUMIFS(Input[Other Uses],Input[Institution Name],H23),0)</f>
        <v>0</v>
      </c>
      <c r="AY23" s="596"/>
      <c r="AZ23" s="597"/>
      <c r="BA23" s="623">
        <f t="shared" si="5"/>
        <v>0</v>
      </c>
      <c r="BB23" s="596"/>
      <c r="BC23" s="597"/>
      <c r="BD23" s="595">
        <f t="shared" si="6"/>
        <v>26288170</v>
      </c>
      <c r="BE23" s="596"/>
      <c r="BF23" s="597"/>
      <c r="BG23" s="623">
        <f t="shared" si="7"/>
        <v>45798</v>
      </c>
      <c r="BH23" s="596"/>
      <c r="BI23" s="597"/>
      <c r="BJ23" s="17"/>
      <c r="BK23" s="17"/>
    </row>
    <row r="24" spans="1:63" ht="30" customHeight="1" thickTop="1" x14ac:dyDescent="0.3">
      <c r="A24" s="17"/>
      <c r="B24" s="17"/>
      <c r="C24" s="17"/>
      <c r="D24" s="17"/>
      <c r="E24" s="17"/>
      <c r="F24" s="17"/>
      <c r="G24" s="17"/>
      <c r="H24" s="564"/>
      <c r="I24" s="565"/>
      <c r="J24" s="565"/>
      <c r="K24" s="565"/>
      <c r="L24" s="565"/>
      <c r="M24" s="565"/>
      <c r="N24" s="565"/>
      <c r="O24" s="565"/>
      <c r="P24" s="566"/>
      <c r="Q24" s="593">
        <f>SUM(Q10:S23)</f>
        <v>31146</v>
      </c>
      <c r="R24" s="647"/>
      <c r="S24" s="648"/>
      <c r="T24" s="593">
        <f>SUM(T10:V23)</f>
        <v>4953260958</v>
      </c>
      <c r="U24" s="591"/>
      <c r="V24" s="594"/>
      <c r="W24" s="590">
        <f>SUM(W10:Y23)</f>
        <v>2684594</v>
      </c>
      <c r="X24" s="591"/>
      <c r="Y24" s="592"/>
      <c r="Z24" s="593">
        <f>SUM(Z10:AB23)</f>
        <v>3022216420</v>
      </c>
      <c r="AA24" s="591"/>
      <c r="AB24" s="594"/>
      <c r="AC24" s="590">
        <f>SUM(AC10:AE23)</f>
        <v>3962380</v>
      </c>
      <c r="AD24" s="591"/>
      <c r="AE24" s="592"/>
      <c r="AF24" s="593">
        <f>SUM(AF10:AH23)</f>
        <v>975651251</v>
      </c>
      <c r="AG24" s="591"/>
      <c r="AH24" s="594"/>
      <c r="AI24" s="590">
        <f>SUM(AI10:AK23)</f>
        <v>1241046</v>
      </c>
      <c r="AJ24" s="591"/>
      <c r="AK24" s="592"/>
      <c r="AL24" s="593">
        <f>SUM(AL10:AN23)</f>
        <v>799114565</v>
      </c>
      <c r="AM24" s="591"/>
      <c r="AN24" s="594"/>
      <c r="AO24" s="590">
        <f>SUM(AO10:AQ23)</f>
        <v>933115</v>
      </c>
      <c r="AP24" s="591"/>
      <c r="AQ24" s="592"/>
      <c r="AR24" s="593">
        <f>SUM(AR10:AT23)</f>
        <v>95553238</v>
      </c>
      <c r="AS24" s="591"/>
      <c r="AT24" s="594"/>
      <c r="AU24" s="590">
        <f>SUM(AU10:AW23)</f>
        <v>54787</v>
      </c>
      <c r="AV24" s="591"/>
      <c r="AW24" s="592"/>
      <c r="AX24" s="593">
        <f>SUM(AX10:AZ23)</f>
        <v>25752406</v>
      </c>
      <c r="AY24" s="591"/>
      <c r="AZ24" s="594"/>
      <c r="BA24" s="590">
        <f>SUM(BA10:BC23)</f>
        <v>24117</v>
      </c>
      <c r="BB24" s="591"/>
      <c r="BC24" s="594"/>
      <c r="BD24" s="593">
        <f>SUM(BD10:BF23)</f>
        <v>9871548838</v>
      </c>
      <c r="BE24" s="591"/>
      <c r="BF24" s="594"/>
      <c r="BG24" s="590">
        <f>SUM(BG10:BI23)</f>
        <v>8900041</v>
      </c>
      <c r="BH24" s="591"/>
      <c r="BI24" s="594"/>
      <c r="BJ24" s="17"/>
      <c r="BK24" s="17"/>
    </row>
    <row r="25" spans="1:63" ht="30" customHeight="1" x14ac:dyDescent="0.3">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row>
    <row r="26" spans="1:63" ht="30" customHeight="1"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row>
    <row r="27" spans="1:63" ht="30" customHeight="1" x14ac:dyDescent="0.3">
      <c r="A27" s="17"/>
      <c r="B27" s="17"/>
      <c r="C27" s="17"/>
      <c r="D27" s="17"/>
      <c r="E27" s="17"/>
      <c r="F27" s="17"/>
      <c r="G27" s="17"/>
      <c r="H27" s="567" t="s">
        <v>130</v>
      </c>
      <c r="I27" s="567"/>
      <c r="J27" s="567"/>
      <c r="K27" s="567"/>
      <c r="L27" s="567"/>
      <c r="M27" s="567"/>
      <c r="N27" s="567"/>
      <c r="O27" s="567"/>
      <c r="P27" s="567"/>
      <c r="Q27" s="567"/>
      <c r="R27" s="567"/>
      <c r="S27" s="567"/>
      <c r="T27" s="567"/>
      <c r="U27" s="567"/>
      <c r="V27" s="567"/>
      <c r="W27" s="567"/>
      <c r="X27" s="567"/>
      <c r="Y27" s="567"/>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7"/>
      <c r="AY27" s="567"/>
      <c r="AZ27" s="567"/>
      <c r="BA27" s="567"/>
      <c r="BB27" s="567"/>
      <c r="BC27" s="567"/>
      <c r="BD27" s="567"/>
      <c r="BE27" s="567"/>
      <c r="BF27" s="567"/>
      <c r="BG27" s="567"/>
      <c r="BH27" s="567"/>
      <c r="BI27" s="567"/>
      <c r="BJ27" s="17"/>
      <c r="BK27" s="17"/>
    </row>
    <row r="28" spans="1:63" ht="30" customHeight="1" x14ac:dyDescent="0.4">
      <c r="A28" s="17"/>
      <c r="B28" s="17"/>
      <c r="C28" s="17"/>
      <c r="D28" s="17"/>
      <c r="E28" s="17"/>
      <c r="F28" s="17"/>
      <c r="G28" s="17"/>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7"/>
      <c r="BE28" s="17"/>
      <c r="BF28" s="17"/>
      <c r="BG28" s="17"/>
      <c r="BH28" s="17"/>
      <c r="BI28" s="17"/>
      <c r="BJ28" s="17"/>
      <c r="BK28" s="17"/>
    </row>
    <row r="29" spans="1:63" ht="30" customHeight="1" x14ac:dyDescent="0.3">
      <c r="A29" s="17"/>
      <c r="B29" s="17"/>
      <c r="C29" s="17"/>
      <c r="D29" s="17"/>
      <c r="E29" s="17"/>
      <c r="F29" s="17"/>
      <c r="G29" s="17"/>
      <c r="H29" s="601" t="s">
        <v>0</v>
      </c>
      <c r="I29" s="602"/>
      <c r="J29" s="602"/>
      <c r="K29" s="602"/>
      <c r="L29" s="602"/>
      <c r="M29" s="602"/>
      <c r="N29" s="602"/>
      <c r="O29" s="602"/>
      <c r="P29" s="603"/>
      <c r="Q29" s="634" t="s">
        <v>1037</v>
      </c>
      <c r="R29" s="635"/>
      <c r="S29" s="636"/>
      <c r="T29" s="640" t="s">
        <v>1038</v>
      </c>
      <c r="U29" s="627"/>
      <c r="V29" s="627"/>
      <c r="W29" s="627"/>
      <c r="X29" s="627"/>
      <c r="Y29" s="628"/>
      <c r="Z29" s="626" t="s">
        <v>922</v>
      </c>
      <c r="AA29" s="627"/>
      <c r="AB29" s="627"/>
      <c r="AC29" s="627"/>
      <c r="AD29" s="627"/>
      <c r="AE29" s="628"/>
      <c r="AF29" s="626" t="s">
        <v>924</v>
      </c>
      <c r="AG29" s="627"/>
      <c r="AH29" s="627"/>
      <c r="AI29" s="627"/>
      <c r="AJ29" s="627"/>
      <c r="AK29" s="628"/>
      <c r="AL29" s="626" t="s">
        <v>926</v>
      </c>
      <c r="AM29" s="627"/>
      <c r="AN29" s="627"/>
      <c r="AO29" s="627"/>
      <c r="AP29" s="627"/>
      <c r="AQ29" s="628"/>
      <c r="AR29" s="626" t="s">
        <v>925</v>
      </c>
      <c r="AS29" s="627"/>
      <c r="AT29" s="627"/>
      <c r="AU29" s="627"/>
      <c r="AV29" s="627"/>
      <c r="AW29" s="628"/>
      <c r="AX29" s="626" t="s">
        <v>1039</v>
      </c>
      <c r="AY29" s="627"/>
      <c r="AZ29" s="627"/>
      <c r="BA29" s="627"/>
      <c r="BB29" s="627"/>
      <c r="BC29" s="627"/>
      <c r="BD29" s="654" t="s">
        <v>1040</v>
      </c>
      <c r="BE29" s="655"/>
      <c r="BF29" s="655"/>
      <c r="BG29" s="655"/>
      <c r="BH29" s="655"/>
      <c r="BI29" s="640"/>
      <c r="BJ29" s="17"/>
      <c r="BK29" s="17"/>
    </row>
    <row r="30" spans="1:63" ht="30" customHeight="1" x14ac:dyDescent="0.3">
      <c r="A30" s="17"/>
      <c r="B30" s="17"/>
      <c r="C30" s="17"/>
      <c r="D30" s="17"/>
      <c r="E30" s="17"/>
      <c r="F30" s="17"/>
      <c r="G30" s="17"/>
      <c r="H30" s="604"/>
      <c r="I30" s="605"/>
      <c r="J30" s="605"/>
      <c r="K30" s="605"/>
      <c r="L30" s="605"/>
      <c r="M30" s="605"/>
      <c r="N30" s="605"/>
      <c r="O30" s="605"/>
      <c r="P30" s="606"/>
      <c r="Q30" s="637"/>
      <c r="R30" s="638"/>
      <c r="S30" s="639"/>
      <c r="T30" s="644" t="s">
        <v>985</v>
      </c>
      <c r="U30" s="625"/>
      <c r="V30" s="625"/>
      <c r="W30" s="645" t="s">
        <v>982</v>
      </c>
      <c r="X30" s="645"/>
      <c r="Y30" s="646"/>
      <c r="Z30" s="630" t="s">
        <v>985</v>
      </c>
      <c r="AA30" s="625"/>
      <c r="AB30" s="625"/>
      <c r="AC30" s="625" t="s">
        <v>982</v>
      </c>
      <c r="AD30" s="625"/>
      <c r="AE30" s="629"/>
      <c r="AF30" s="630" t="s">
        <v>985</v>
      </c>
      <c r="AG30" s="625"/>
      <c r="AH30" s="625"/>
      <c r="AI30" s="625" t="s">
        <v>982</v>
      </c>
      <c r="AJ30" s="625"/>
      <c r="AK30" s="629"/>
      <c r="AL30" s="630" t="s">
        <v>985</v>
      </c>
      <c r="AM30" s="625"/>
      <c r="AN30" s="625"/>
      <c r="AO30" s="625" t="s">
        <v>982</v>
      </c>
      <c r="AP30" s="625"/>
      <c r="AQ30" s="629"/>
      <c r="AR30" s="630" t="s">
        <v>985</v>
      </c>
      <c r="AS30" s="625"/>
      <c r="AT30" s="625"/>
      <c r="AU30" s="625" t="s">
        <v>982</v>
      </c>
      <c r="AV30" s="625"/>
      <c r="AW30" s="629"/>
      <c r="AX30" s="630" t="s">
        <v>985</v>
      </c>
      <c r="AY30" s="625"/>
      <c r="AZ30" s="625"/>
      <c r="BA30" s="625" t="s">
        <v>982</v>
      </c>
      <c r="BB30" s="625"/>
      <c r="BC30" s="625"/>
      <c r="BD30" s="630" t="s">
        <v>985</v>
      </c>
      <c r="BE30" s="625"/>
      <c r="BF30" s="625"/>
      <c r="BG30" s="625" t="s">
        <v>982</v>
      </c>
      <c r="BH30" s="625"/>
      <c r="BI30" s="625"/>
      <c r="BJ30" s="17"/>
      <c r="BK30" s="17"/>
    </row>
    <row r="31" spans="1:63" ht="30" customHeight="1" x14ac:dyDescent="0.3">
      <c r="A31" s="17"/>
      <c r="B31" s="17"/>
      <c r="C31" s="17"/>
      <c r="D31" s="17"/>
      <c r="E31" s="17"/>
      <c r="F31" s="17"/>
      <c r="G31" s="17"/>
      <c r="H31" s="620" t="s">
        <v>38</v>
      </c>
      <c r="I31" s="621"/>
      <c r="J31" s="621"/>
      <c r="K31" s="621"/>
      <c r="L31" s="621"/>
      <c r="M31" s="621"/>
      <c r="N31" s="621"/>
      <c r="O31" s="621"/>
      <c r="P31" s="622"/>
      <c r="Q31" s="641">
        <f>SUMIFS('FTSE | FTFE'!$O$88:$O$96,'FTSE | FTFE'!$H$88:$H$96,H31)</f>
        <v>3487</v>
      </c>
      <c r="R31" s="642"/>
      <c r="S31" s="643"/>
      <c r="T31" s="610">
        <f>ROUND(SUMIFS(Input[Instruction Uses],Input[Institution Name],H31),0)</f>
        <v>16805179</v>
      </c>
      <c r="U31" s="598"/>
      <c r="V31" s="598"/>
      <c r="W31" s="598">
        <f>ROUND(T31/$Q31,0)</f>
        <v>4819</v>
      </c>
      <c r="X31" s="598"/>
      <c r="Y31" s="599"/>
      <c r="Z31" s="600">
        <f>ROUND(SUMIFS(Input[Research Uses],Input[Institution Name],H31),0)</f>
        <v>0</v>
      </c>
      <c r="AA31" s="598"/>
      <c r="AB31" s="598"/>
      <c r="AC31" s="598">
        <f>ROUND(Z31/$Q31,0)</f>
        <v>0</v>
      </c>
      <c r="AD31" s="598"/>
      <c r="AE31" s="599"/>
      <c r="AF31" s="600">
        <f>ROUND(SUMIFS(Input[Academic Uses],Input[Institution Name],H31),0)</f>
        <v>3228230</v>
      </c>
      <c r="AG31" s="598"/>
      <c r="AH31" s="598"/>
      <c r="AI31" s="598">
        <f>ROUND(AF31/$Q31,0)</f>
        <v>926</v>
      </c>
      <c r="AJ31" s="598"/>
      <c r="AK31" s="599"/>
      <c r="AL31" s="600">
        <f>ROUND(SUMIFS(Input[Institutional Uses],Input[Institution Name],H31),0)</f>
        <v>6850699</v>
      </c>
      <c r="AM31" s="598"/>
      <c r="AN31" s="598"/>
      <c r="AO31" s="598">
        <f>ROUND(AL31/$Q31,0)</f>
        <v>1965</v>
      </c>
      <c r="AP31" s="598"/>
      <c r="AQ31" s="599"/>
      <c r="AR31" s="600">
        <f>ROUND(SUMIFS(Input[Student Uses],Input[Institution Name],H31),0)</f>
        <v>2092345</v>
      </c>
      <c r="AS31" s="598"/>
      <c r="AT31" s="598"/>
      <c r="AU31" s="598">
        <f>ROUND(AR31/$Q31,0)</f>
        <v>600</v>
      </c>
      <c r="AV31" s="598"/>
      <c r="AW31" s="599"/>
      <c r="AX31" s="600">
        <f>ROUND(SUMIFS(Input[Other Uses],Input[Institution Name],H31),0)</f>
        <v>5462504</v>
      </c>
      <c r="AY31" s="598"/>
      <c r="AZ31" s="598"/>
      <c r="BA31" s="598">
        <f>ROUND(AX31/$Q31,0)</f>
        <v>1567</v>
      </c>
      <c r="BB31" s="598"/>
      <c r="BC31" s="598"/>
      <c r="BD31" s="600">
        <f>ROUND(SUM(T31,Z31,AF31,AL31,AR31,AX31),0)</f>
        <v>34438957</v>
      </c>
      <c r="BE31" s="598"/>
      <c r="BF31" s="598"/>
      <c r="BG31" s="598">
        <f>ROUND(BD31/$Q31,0)</f>
        <v>9876</v>
      </c>
      <c r="BH31" s="598"/>
      <c r="BI31" s="598"/>
      <c r="BJ31" s="17"/>
      <c r="BK31" s="17"/>
    </row>
    <row r="32" spans="1:63" ht="30" customHeight="1" x14ac:dyDescent="0.3">
      <c r="A32" s="17"/>
      <c r="B32" s="17"/>
      <c r="C32" s="17"/>
      <c r="D32" s="17"/>
      <c r="E32" s="17"/>
      <c r="F32" s="17"/>
      <c r="G32" s="17"/>
      <c r="H32" s="579" t="s">
        <v>39</v>
      </c>
      <c r="I32" s="580"/>
      <c r="J32" s="580"/>
      <c r="K32" s="580"/>
      <c r="L32" s="580"/>
      <c r="M32" s="580"/>
      <c r="N32" s="580"/>
      <c r="O32" s="580"/>
      <c r="P32" s="619"/>
      <c r="Q32" s="582">
        <f>SUMIFS('FTSE | FTFE'!$O$88:$O$96,'FTSE | FTFE'!$H$88:$H$96,H32)</f>
        <v>2060</v>
      </c>
      <c r="R32" s="583"/>
      <c r="S32" s="586"/>
      <c r="T32" s="582">
        <f>ROUND(SUMIFS(Input[Instruction Uses],Input[Institution Name],H32),0)</f>
        <v>8414305</v>
      </c>
      <c r="U32" s="583"/>
      <c r="V32" s="584"/>
      <c r="W32" s="585">
        <f t="shared" ref="W32:W39" si="8">ROUND(T32/$Q32,0)</f>
        <v>4085</v>
      </c>
      <c r="X32" s="583"/>
      <c r="Y32" s="586"/>
      <c r="Z32" s="582">
        <f>ROUND(SUMIFS(Input[Research Uses],Input[Institution Name],H32),0)</f>
        <v>0</v>
      </c>
      <c r="AA32" s="583"/>
      <c r="AB32" s="584"/>
      <c r="AC32" s="585">
        <f t="shared" ref="AC32:AC39" si="9">ROUND(Z32/$Q32,0)</f>
        <v>0</v>
      </c>
      <c r="AD32" s="583"/>
      <c r="AE32" s="586"/>
      <c r="AF32" s="582">
        <f>ROUND(SUMIFS(Input[Academic Uses],Input[Institution Name],H32),0)</f>
        <v>3482175</v>
      </c>
      <c r="AG32" s="583"/>
      <c r="AH32" s="584"/>
      <c r="AI32" s="585">
        <f t="shared" ref="AI32:AI39" si="10">ROUND(AF32/$Q32,0)</f>
        <v>1690</v>
      </c>
      <c r="AJ32" s="583"/>
      <c r="AK32" s="586"/>
      <c r="AL32" s="582">
        <f>ROUND(SUMIFS(Input[Institutional Uses],Input[Institution Name],H32),0)</f>
        <v>5650853</v>
      </c>
      <c r="AM32" s="583"/>
      <c r="AN32" s="584"/>
      <c r="AO32" s="585">
        <f t="shared" ref="AO32:AO39" si="11">ROUND(AL32/$Q32,0)</f>
        <v>2743</v>
      </c>
      <c r="AP32" s="583"/>
      <c r="AQ32" s="586"/>
      <c r="AR32" s="582">
        <f>ROUND(SUMIFS(Input[Student Uses],Input[Institution Name],H32),0)</f>
        <v>2266273</v>
      </c>
      <c r="AS32" s="583"/>
      <c r="AT32" s="584"/>
      <c r="AU32" s="585">
        <f t="shared" ref="AU32:AU39" si="12">ROUND(AR32/$Q32,0)</f>
        <v>1100</v>
      </c>
      <c r="AV32" s="583"/>
      <c r="AW32" s="586"/>
      <c r="AX32" s="582">
        <f>ROUND(SUMIFS(Input[Other Uses],Input[Institution Name],H32),0)</f>
        <v>0</v>
      </c>
      <c r="AY32" s="583"/>
      <c r="AZ32" s="584"/>
      <c r="BA32" s="585">
        <f t="shared" ref="BA32:BA39" si="13">ROUND(AX32/$Q32,0)</f>
        <v>0</v>
      </c>
      <c r="BB32" s="583"/>
      <c r="BC32" s="584"/>
      <c r="BD32" s="582">
        <f t="shared" ref="BD32:BD39" si="14">ROUND(SUM(T32,Z32,AF32,AL32,AR32,AX32),0)</f>
        <v>19813606</v>
      </c>
      <c r="BE32" s="583"/>
      <c r="BF32" s="584"/>
      <c r="BG32" s="585">
        <f t="shared" ref="BG32:BG39" si="15">ROUND(BD32/$Q32,0)</f>
        <v>9618</v>
      </c>
      <c r="BH32" s="583"/>
      <c r="BI32" s="584"/>
      <c r="BJ32" s="17"/>
      <c r="BK32" s="17"/>
    </row>
    <row r="33" spans="1:63" ht="30" customHeight="1" x14ac:dyDescent="0.3">
      <c r="A33" s="17"/>
      <c r="B33" s="17"/>
      <c r="C33" s="17"/>
      <c r="D33" s="17"/>
      <c r="E33" s="17"/>
      <c r="F33" s="17"/>
      <c r="G33" s="17"/>
      <c r="H33" s="616" t="s">
        <v>42</v>
      </c>
      <c r="I33" s="617"/>
      <c r="J33" s="617"/>
      <c r="K33" s="617"/>
      <c r="L33" s="617"/>
      <c r="M33" s="617"/>
      <c r="N33" s="617"/>
      <c r="O33" s="617"/>
      <c r="P33" s="618"/>
      <c r="Q33" s="576">
        <f>SUMIFS('FTSE | FTFE'!$O$88:$O$96,'FTSE | FTFE'!$H$88:$H$96,H33)</f>
        <v>2668</v>
      </c>
      <c r="R33" s="574"/>
      <c r="S33" s="575"/>
      <c r="T33" s="576">
        <f>ROUND(SUMIFS(Input[Instruction Uses],Input[Institution Name],H33),0)</f>
        <v>14830044</v>
      </c>
      <c r="U33" s="574"/>
      <c r="V33" s="577"/>
      <c r="W33" s="573">
        <f t="shared" si="8"/>
        <v>5558</v>
      </c>
      <c r="X33" s="574"/>
      <c r="Y33" s="575"/>
      <c r="Z33" s="576">
        <f>ROUND(SUMIFS(Input[Research Uses],Input[Institution Name],H33),0)</f>
        <v>0</v>
      </c>
      <c r="AA33" s="574"/>
      <c r="AB33" s="577"/>
      <c r="AC33" s="573">
        <f t="shared" si="9"/>
        <v>0</v>
      </c>
      <c r="AD33" s="574"/>
      <c r="AE33" s="575"/>
      <c r="AF33" s="576">
        <f>ROUND(SUMIFS(Input[Academic Uses],Input[Institution Name],H33),0)</f>
        <v>4517398</v>
      </c>
      <c r="AG33" s="574"/>
      <c r="AH33" s="577"/>
      <c r="AI33" s="573">
        <f t="shared" si="10"/>
        <v>1693</v>
      </c>
      <c r="AJ33" s="574"/>
      <c r="AK33" s="575"/>
      <c r="AL33" s="576">
        <f>ROUND(SUMIFS(Input[Institutional Uses],Input[Institution Name],H33),0)</f>
        <v>4837919</v>
      </c>
      <c r="AM33" s="574"/>
      <c r="AN33" s="577"/>
      <c r="AO33" s="573">
        <f t="shared" si="11"/>
        <v>1813</v>
      </c>
      <c r="AP33" s="574"/>
      <c r="AQ33" s="575"/>
      <c r="AR33" s="576">
        <f>ROUND(SUMIFS(Input[Student Uses],Input[Institution Name],H33),0)</f>
        <v>1591973</v>
      </c>
      <c r="AS33" s="574"/>
      <c r="AT33" s="577"/>
      <c r="AU33" s="573">
        <f t="shared" si="12"/>
        <v>597</v>
      </c>
      <c r="AV33" s="574"/>
      <c r="AW33" s="575"/>
      <c r="AX33" s="576">
        <f>ROUND(SUMIFS(Input[Other Uses],Input[Institution Name],H33),0)</f>
        <v>0</v>
      </c>
      <c r="AY33" s="574"/>
      <c r="AZ33" s="577"/>
      <c r="BA33" s="573">
        <f t="shared" si="13"/>
        <v>0</v>
      </c>
      <c r="BB33" s="574"/>
      <c r="BC33" s="577"/>
      <c r="BD33" s="576">
        <f t="shared" si="14"/>
        <v>25777334</v>
      </c>
      <c r="BE33" s="574"/>
      <c r="BF33" s="577"/>
      <c r="BG33" s="573">
        <f t="shared" si="15"/>
        <v>9662</v>
      </c>
      <c r="BH33" s="574"/>
      <c r="BI33" s="577"/>
      <c r="BJ33" s="17"/>
      <c r="BK33" s="17"/>
    </row>
    <row r="34" spans="1:63" ht="30" customHeight="1" x14ac:dyDescent="0.3">
      <c r="A34" s="17"/>
      <c r="B34" s="17"/>
      <c r="C34" s="17"/>
      <c r="D34" s="17"/>
      <c r="E34" s="17"/>
      <c r="F34" s="17"/>
      <c r="G34" s="17"/>
      <c r="H34" s="579" t="s">
        <v>43</v>
      </c>
      <c r="I34" s="580"/>
      <c r="J34" s="580"/>
      <c r="K34" s="580"/>
      <c r="L34" s="580"/>
      <c r="M34" s="580"/>
      <c r="N34" s="580"/>
      <c r="O34" s="580"/>
      <c r="P34" s="619"/>
      <c r="Q34" s="582">
        <f>SUMIFS('FTSE | FTFE'!$O$88:$O$96,'FTSE | FTFE'!$H$88:$H$96,H34)</f>
        <v>1321</v>
      </c>
      <c r="R34" s="583"/>
      <c r="S34" s="586"/>
      <c r="T34" s="582">
        <f>ROUND(SUMIFS(Input[Instruction Uses],Input[Institution Name],H34),0)</f>
        <v>30312035</v>
      </c>
      <c r="U34" s="583"/>
      <c r="V34" s="584"/>
      <c r="W34" s="585">
        <f t="shared" si="8"/>
        <v>22946</v>
      </c>
      <c r="X34" s="583"/>
      <c r="Y34" s="586"/>
      <c r="Z34" s="582">
        <f>ROUND(SUMIFS(Input[Research Uses],Input[Institution Name],H34),0)</f>
        <v>2806</v>
      </c>
      <c r="AA34" s="583"/>
      <c r="AB34" s="584"/>
      <c r="AC34" s="585">
        <f t="shared" si="9"/>
        <v>2</v>
      </c>
      <c r="AD34" s="583"/>
      <c r="AE34" s="586"/>
      <c r="AF34" s="582">
        <f>ROUND(SUMIFS(Input[Academic Uses],Input[Institution Name],H34),0)</f>
        <v>5635155</v>
      </c>
      <c r="AG34" s="583"/>
      <c r="AH34" s="584"/>
      <c r="AI34" s="585">
        <f t="shared" si="10"/>
        <v>4266</v>
      </c>
      <c r="AJ34" s="583"/>
      <c r="AK34" s="586"/>
      <c r="AL34" s="582">
        <f>ROUND(SUMIFS(Input[Institutional Uses],Input[Institution Name],H34),0)</f>
        <v>5776238</v>
      </c>
      <c r="AM34" s="583"/>
      <c r="AN34" s="584"/>
      <c r="AO34" s="585">
        <f t="shared" si="11"/>
        <v>4373</v>
      </c>
      <c r="AP34" s="583"/>
      <c r="AQ34" s="586"/>
      <c r="AR34" s="582">
        <f>ROUND(SUMIFS(Input[Student Uses],Input[Institution Name],H34),0)</f>
        <v>8280318</v>
      </c>
      <c r="AS34" s="583"/>
      <c r="AT34" s="584"/>
      <c r="AU34" s="585">
        <f t="shared" si="12"/>
        <v>6268</v>
      </c>
      <c r="AV34" s="583"/>
      <c r="AW34" s="586"/>
      <c r="AX34" s="582">
        <f>ROUND(SUMIFS(Input[Other Uses],Input[Institution Name],H34),0)</f>
        <v>2371595</v>
      </c>
      <c r="AY34" s="583"/>
      <c r="AZ34" s="584"/>
      <c r="BA34" s="585">
        <f t="shared" si="13"/>
        <v>1795</v>
      </c>
      <c r="BB34" s="583"/>
      <c r="BC34" s="584"/>
      <c r="BD34" s="582">
        <f t="shared" si="14"/>
        <v>52378147</v>
      </c>
      <c r="BE34" s="583"/>
      <c r="BF34" s="584"/>
      <c r="BG34" s="585">
        <f t="shared" si="15"/>
        <v>39650</v>
      </c>
      <c r="BH34" s="583"/>
      <c r="BI34" s="584"/>
      <c r="BJ34" s="17"/>
      <c r="BK34" s="17"/>
    </row>
    <row r="35" spans="1:63" ht="30" customHeight="1" x14ac:dyDescent="0.3">
      <c r="A35" s="17"/>
      <c r="B35" s="17"/>
      <c r="C35" s="17"/>
      <c r="D35" s="17"/>
      <c r="E35" s="17"/>
      <c r="F35" s="17"/>
      <c r="G35" s="17"/>
      <c r="H35" s="616" t="s">
        <v>46</v>
      </c>
      <c r="I35" s="617"/>
      <c r="J35" s="617"/>
      <c r="K35" s="617"/>
      <c r="L35" s="617"/>
      <c r="M35" s="617"/>
      <c r="N35" s="617"/>
      <c r="O35" s="617"/>
      <c r="P35" s="618"/>
      <c r="Q35" s="576">
        <f>SUMIFS('FTSE | FTFE'!$O$88:$O$96,'FTSE | FTFE'!$H$88:$H$96,H35)</f>
        <v>656</v>
      </c>
      <c r="R35" s="574"/>
      <c r="S35" s="575"/>
      <c r="T35" s="576">
        <f>ROUND(SUMIFS(Input[Instruction Uses],Input[Institution Name],H35),0)</f>
        <v>14392925</v>
      </c>
      <c r="U35" s="574"/>
      <c r="V35" s="577"/>
      <c r="W35" s="573">
        <f t="shared" si="8"/>
        <v>21940</v>
      </c>
      <c r="X35" s="574"/>
      <c r="Y35" s="575"/>
      <c r="Z35" s="576">
        <f>ROUND(SUMIFS(Input[Research Uses],Input[Institution Name],H35),0)</f>
        <v>163</v>
      </c>
      <c r="AA35" s="574"/>
      <c r="AB35" s="577"/>
      <c r="AC35" s="573">
        <f t="shared" si="9"/>
        <v>0</v>
      </c>
      <c r="AD35" s="574"/>
      <c r="AE35" s="575"/>
      <c r="AF35" s="576">
        <f>ROUND(SUMIFS(Input[Academic Uses],Input[Institution Name],H35),0)</f>
        <v>2296596</v>
      </c>
      <c r="AG35" s="574"/>
      <c r="AH35" s="577"/>
      <c r="AI35" s="573">
        <f t="shared" si="10"/>
        <v>3501</v>
      </c>
      <c r="AJ35" s="574"/>
      <c r="AK35" s="575"/>
      <c r="AL35" s="576">
        <f>ROUND(SUMIFS(Input[Institutional Uses],Input[Institution Name],H35),0)</f>
        <v>3154244</v>
      </c>
      <c r="AM35" s="574"/>
      <c r="AN35" s="577"/>
      <c r="AO35" s="573">
        <f t="shared" si="11"/>
        <v>4808</v>
      </c>
      <c r="AP35" s="574"/>
      <c r="AQ35" s="575"/>
      <c r="AR35" s="576">
        <f>ROUND(SUMIFS(Input[Student Uses],Input[Institution Name],H35),0)</f>
        <v>3449120</v>
      </c>
      <c r="AS35" s="574"/>
      <c r="AT35" s="577"/>
      <c r="AU35" s="573">
        <f t="shared" si="12"/>
        <v>5258</v>
      </c>
      <c r="AV35" s="574"/>
      <c r="AW35" s="575"/>
      <c r="AX35" s="576">
        <f>ROUND(SUMIFS(Input[Other Uses],Input[Institution Name],H35),0)</f>
        <v>2638832</v>
      </c>
      <c r="AY35" s="574"/>
      <c r="AZ35" s="577"/>
      <c r="BA35" s="573">
        <f t="shared" si="13"/>
        <v>4023</v>
      </c>
      <c r="BB35" s="574"/>
      <c r="BC35" s="577"/>
      <c r="BD35" s="576">
        <f t="shared" si="14"/>
        <v>25931880</v>
      </c>
      <c r="BE35" s="574"/>
      <c r="BF35" s="577"/>
      <c r="BG35" s="573">
        <f t="shared" si="15"/>
        <v>39530</v>
      </c>
      <c r="BH35" s="574"/>
      <c r="BI35" s="577"/>
      <c r="BJ35" s="17"/>
      <c r="BK35" s="17"/>
    </row>
    <row r="36" spans="1:63" ht="30" customHeight="1" x14ac:dyDescent="0.3">
      <c r="A36" s="17"/>
      <c r="B36" s="17"/>
      <c r="C36" s="17"/>
      <c r="D36" s="17"/>
      <c r="E36" s="17"/>
      <c r="F36" s="17"/>
      <c r="G36" s="17"/>
      <c r="H36" s="579" t="s">
        <v>47</v>
      </c>
      <c r="I36" s="580"/>
      <c r="J36" s="580"/>
      <c r="K36" s="580"/>
      <c r="L36" s="580"/>
      <c r="M36" s="580"/>
      <c r="N36" s="580"/>
      <c r="O36" s="580"/>
      <c r="P36" s="619"/>
      <c r="Q36" s="582">
        <f>SUMIFS('FTSE | FTFE'!$O$88:$O$96,'FTSE | FTFE'!$H$88:$H$96,H36)</f>
        <v>455</v>
      </c>
      <c r="R36" s="583"/>
      <c r="S36" s="586"/>
      <c r="T36" s="582">
        <f>ROUND(SUMIFS(Input[Instruction Uses],Input[Institution Name],H36),0)</f>
        <v>6689677</v>
      </c>
      <c r="U36" s="583"/>
      <c r="V36" s="584"/>
      <c r="W36" s="585">
        <f t="shared" si="8"/>
        <v>14703</v>
      </c>
      <c r="X36" s="583"/>
      <c r="Y36" s="586"/>
      <c r="Z36" s="582">
        <f>ROUND(SUMIFS(Input[Research Uses],Input[Institution Name],H36),0)</f>
        <v>0</v>
      </c>
      <c r="AA36" s="583"/>
      <c r="AB36" s="584"/>
      <c r="AC36" s="585">
        <f t="shared" si="9"/>
        <v>0</v>
      </c>
      <c r="AD36" s="583"/>
      <c r="AE36" s="586"/>
      <c r="AF36" s="582">
        <f>ROUND(SUMIFS(Input[Academic Uses],Input[Institution Name],H36),0)</f>
        <v>1089835</v>
      </c>
      <c r="AG36" s="583"/>
      <c r="AH36" s="584"/>
      <c r="AI36" s="585">
        <f t="shared" si="10"/>
        <v>2395</v>
      </c>
      <c r="AJ36" s="583"/>
      <c r="AK36" s="586"/>
      <c r="AL36" s="582">
        <f>ROUND(SUMIFS(Input[Institutional Uses],Input[Institution Name],H36),0)</f>
        <v>1024253</v>
      </c>
      <c r="AM36" s="583"/>
      <c r="AN36" s="584"/>
      <c r="AO36" s="585">
        <f t="shared" si="11"/>
        <v>2251</v>
      </c>
      <c r="AP36" s="583"/>
      <c r="AQ36" s="586"/>
      <c r="AR36" s="582">
        <f>ROUND(SUMIFS(Input[Student Uses],Input[Institution Name],H36),0)</f>
        <v>2844982</v>
      </c>
      <c r="AS36" s="583"/>
      <c r="AT36" s="584"/>
      <c r="AU36" s="585">
        <f t="shared" si="12"/>
        <v>6253</v>
      </c>
      <c r="AV36" s="583"/>
      <c r="AW36" s="586"/>
      <c r="AX36" s="582">
        <f>ROUND(SUMIFS(Input[Other Uses],Input[Institution Name],H36),0)</f>
        <v>645744</v>
      </c>
      <c r="AY36" s="583"/>
      <c r="AZ36" s="584"/>
      <c r="BA36" s="585">
        <f t="shared" si="13"/>
        <v>1419</v>
      </c>
      <c r="BB36" s="583"/>
      <c r="BC36" s="584"/>
      <c r="BD36" s="582">
        <f t="shared" si="14"/>
        <v>12294491</v>
      </c>
      <c r="BE36" s="583"/>
      <c r="BF36" s="584"/>
      <c r="BG36" s="585">
        <f t="shared" si="15"/>
        <v>27021</v>
      </c>
      <c r="BH36" s="583"/>
      <c r="BI36" s="584"/>
      <c r="BJ36" s="17"/>
      <c r="BK36" s="17"/>
    </row>
    <row r="37" spans="1:63" ht="30" customHeight="1" x14ac:dyDescent="0.3">
      <c r="A37" s="17"/>
      <c r="B37" s="17"/>
      <c r="C37" s="17"/>
      <c r="D37" s="17"/>
      <c r="E37" s="17"/>
      <c r="F37" s="17"/>
      <c r="G37" s="17"/>
      <c r="H37" s="616" t="s">
        <v>48</v>
      </c>
      <c r="I37" s="617"/>
      <c r="J37" s="617"/>
      <c r="K37" s="617"/>
      <c r="L37" s="617"/>
      <c r="M37" s="617"/>
      <c r="N37" s="617"/>
      <c r="O37" s="617"/>
      <c r="P37" s="618"/>
      <c r="Q37" s="576">
        <f>SUMIFS('FTSE | FTFE'!$O$88:$O$96,'FTSE | FTFE'!$H$88:$H$96,H37)</f>
        <v>5960</v>
      </c>
      <c r="R37" s="574"/>
      <c r="S37" s="575"/>
      <c r="T37" s="576">
        <f>ROUND(SUMIFS(Input[Instruction Uses],Input[Institution Name],H37),0)</f>
        <v>47404687</v>
      </c>
      <c r="U37" s="574"/>
      <c r="V37" s="577"/>
      <c r="W37" s="573">
        <f t="shared" si="8"/>
        <v>7954</v>
      </c>
      <c r="X37" s="574"/>
      <c r="Y37" s="575"/>
      <c r="Z37" s="576">
        <f>ROUND(SUMIFS(Input[Research Uses],Input[Institution Name],H37),0)</f>
        <v>92198</v>
      </c>
      <c r="AA37" s="574"/>
      <c r="AB37" s="577"/>
      <c r="AC37" s="573">
        <f t="shared" si="9"/>
        <v>15</v>
      </c>
      <c r="AD37" s="574"/>
      <c r="AE37" s="575"/>
      <c r="AF37" s="576">
        <f>ROUND(SUMIFS(Input[Academic Uses],Input[Institution Name],H37),0)</f>
        <v>12761430</v>
      </c>
      <c r="AG37" s="574"/>
      <c r="AH37" s="577"/>
      <c r="AI37" s="573">
        <f t="shared" si="10"/>
        <v>2141</v>
      </c>
      <c r="AJ37" s="574"/>
      <c r="AK37" s="575"/>
      <c r="AL37" s="576">
        <f>ROUND(SUMIFS(Input[Institutional Uses],Input[Institution Name],H37),0)</f>
        <v>13714745</v>
      </c>
      <c r="AM37" s="574"/>
      <c r="AN37" s="577"/>
      <c r="AO37" s="573">
        <f t="shared" si="11"/>
        <v>2301</v>
      </c>
      <c r="AP37" s="574"/>
      <c r="AQ37" s="575"/>
      <c r="AR37" s="576">
        <f>ROUND(SUMIFS(Input[Student Uses],Input[Institution Name],H37),0)</f>
        <v>8438735</v>
      </c>
      <c r="AS37" s="574"/>
      <c r="AT37" s="577"/>
      <c r="AU37" s="573">
        <f t="shared" si="12"/>
        <v>1416</v>
      </c>
      <c r="AV37" s="574"/>
      <c r="AW37" s="575"/>
      <c r="AX37" s="576">
        <f>ROUND(SUMIFS(Input[Other Uses],Input[Institution Name],H37),0)</f>
        <v>2625631</v>
      </c>
      <c r="AY37" s="574"/>
      <c r="AZ37" s="577"/>
      <c r="BA37" s="573">
        <f t="shared" si="13"/>
        <v>441</v>
      </c>
      <c r="BB37" s="574"/>
      <c r="BC37" s="577"/>
      <c r="BD37" s="576">
        <f t="shared" si="14"/>
        <v>85037426</v>
      </c>
      <c r="BE37" s="574"/>
      <c r="BF37" s="577"/>
      <c r="BG37" s="573">
        <f t="shared" si="15"/>
        <v>14268</v>
      </c>
      <c r="BH37" s="574"/>
      <c r="BI37" s="577"/>
      <c r="BJ37" s="17"/>
      <c r="BK37" s="17"/>
    </row>
    <row r="38" spans="1:63" ht="30" customHeight="1" x14ac:dyDescent="0.3">
      <c r="A38" s="17"/>
      <c r="B38" s="17"/>
      <c r="C38" s="17"/>
      <c r="D38" s="17"/>
      <c r="E38" s="17"/>
      <c r="F38" s="17"/>
      <c r="G38" s="17"/>
      <c r="H38" s="579" t="s">
        <v>50</v>
      </c>
      <c r="I38" s="580"/>
      <c r="J38" s="580"/>
      <c r="K38" s="580"/>
      <c r="L38" s="580"/>
      <c r="M38" s="580"/>
      <c r="N38" s="580"/>
      <c r="O38" s="580"/>
      <c r="P38" s="619"/>
      <c r="Q38" s="582">
        <f>SUMIFS('FTSE | FTFE'!$O$88:$O$96,'FTSE | FTFE'!$H$88:$H$96,H38)</f>
        <v>758</v>
      </c>
      <c r="R38" s="583"/>
      <c r="S38" s="586"/>
      <c r="T38" s="582">
        <f>ROUND(SUMIFS(Input[Instruction Uses],Input[Institution Name],H38),0)</f>
        <v>7612784</v>
      </c>
      <c r="U38" s="583"/>
      <c r="V38" s="584"/>
      <c r="W38" s="585">
        <f t="shared" si="8"/>
        <v>10043</v>
      </c>
      <c r="X38" s="583"/>
      <c r="Y38" s="586"/>
      <c r="Z38" s="582">
        <f>ROUND(SUMIFS(Input[Research Uses],Input[Institution Name],H38),0)</f>
        <v>464</v>
      </c>
      <c r="AA38" s="583"/>
      <c r="AB38" s="584"/>
      <c r="AC38" s="585">
        <f t="shared" si="9"/>
        <v>1</v>
      </c>
      <c r="AD38" s="583"/>
      <c r="AE38" s="586"/>
      <c r="AF38" s="582">
        <f>ROUND(SUMIFS(Input[Academic Uses],Input[Institution Name],H38),0)</f>
        <v>1618256</v>
      </c>
      <c r="AG38" s="583"/>
      <c r="AH38" s="584"/>
      <c r="AI38" s="585">
        <f t="shared" si="10"/>
        <v>2135</v>
      </c>
      <c r="AJ38" s="583"/>
      <c r="AK38" s="586"/>
      <c r="AL38" s="582">
        <f>ROUND(SUMIFS(Input[Institutional Uses],Input[Institution Name],H38),0)</f>
        <v>1158985</v>
      </c>
      <c r="AM38" s="583"/>
      <c r="AN38" s="584"/>
      <c r="AO38" s="585">
        <f t="shared" si="11"/>
        <v>1529</v>
      </c>
      <c r="AP38" s="583"/>
      <c r="AQ38" s="586"/>
      <c r="AR38" s="582">
        <f>ROUND(SUMIFS(Input[Student Uses],Input[Institution Name],H38),0)</f>
        <v>1869782</v>
      </c>
      <c r="AS38" s="583"/>
      <c r="AT38" s="584"/>
      <c r="AU38" s="585">
        <f t="shared" si="12"/>
        <v>2467</v>
      </c>
      <c r="AV38" s="583"/>
      <c r="AW38" s="586"/>
      <c r="AX38" s="582">
        <f>ROUND(SUMIFS(Input[Other Uses],Input[Institution Name],H38),0)</f>
        <v>1136028</v>
      </c>
      <c r="AY38" s="583"/>
      <c r="AZ38" s="584"/>
      <c r="BA38" s="585">
        <f t="shared" si="13"/>
        <v>1499</v>
      </c>
      <c r="BB38" s="583"/>
      <c r="BC38" s="584"/>
      <c r="BD38" s="582">
        <f t="shared" si="14"/>
        <v>13396299</v>
      </c>
      <c r="BE38" s="583"/>
      <c r="BF38" s="584"/>
      <c r="BG38" s="585">
        <f t="shared" si="15"/>
        <v>17673</v>
      </c>
      <c r="BH38" s="583"/>
      <c r="BI38" s="584"/>
      <c r="BJ38" s="17"/>
      <c r="BK38" s="17"/>
    </row>
    <row r="39" spans="1:63" ht="30" customHeight="1" thickBot="1" x14ac:dyDescent="0.35">
      <c r="A39" s="17"/>
      <c r="B39" s="17"/>
      <c r="C39" s="17"/>
      <c r="D39" s="17"/>
      <c r="E39" s="17"/>
      <c r="F39" s="17"/>
      <c r="G39" s="17"/>
      <c r="H39" s="616" t="s">
        <v>49</v>
      </c>
      <c r="I39" s="617"/>
      <c r="J39" s="617"/>
      <c r="K39" s="617"/>
      <c r="L39" s="617"/>
      <c r="M39" s="617"/>
      <c r="N39" s="617"/>
      <c r="O39" s="617"/>
      <c r="P39" s="618"/>
      <c r="Q39" s="614">
        <f>SUMIFS('FTSE | FTFE'!$O$88:$O$96,'FTSE | FTFE'!$H$88:$H$96,H39)</f>
        <v>334</v>
      </c>
      <c r="R39" s="612"/>
      <c r="S39" s="613"/>
      <c r="T39" s="614">
        <f>ROUND(SUMIFS(Input[Instruction Uses],Input[Institution Name],H39),0)</f>
        <v>4932920</v>
      </c>
      <c r="U39" s="612"/>
      <c r="V39" s="615"/>
      <c r="W39" s="573">
        <f t="shared" si="8"/>
        <v>14769</v>
      </c>
      <c r="X39" s="574"/>
      <c r="Y39" s="575"/>
      <c r="Z39" s="614">
        <f>ROUND(SUMIFS(Input[Research Uses],Input[Institution Name],H39),0)</f>
        <v>226</v>
      </c>
      <c r="AA39" s="612"/>
      <c r="AB39" s="615"/>
      <c r="AC39" s="573">
        <f t="shared" si="9"/>
        <v>1</v>
      </c>
      <c r="AD39" s="574"/>
      <c r="AE39" s="575"/>
      <c r="AF39" s="614">
        <f>ROUND(SUMIFS(Input[Academic Uses],Input[Institution Name],H39),0)</f>
        <v>615738</v>
      </c>
      <c r="AG39" s="612"/>
      <c r="AH39" s="615"/>
      <c r="AI39" s="573">
        <f t="shared" si="10"/>
        <v>1844</v>
      </c>
      <c r="AJ39" s="574"/>
      <c r="AK39" s="575"/>
      <c r="AL39" s="614">
        <f>ROUND(SUMIFS(Input[Institutional Uses],Input[Institution Name],H39),0)</f>
        <v>1395356</v>
      </c>
      <c r="AM39" s="612"/>
      <c r="AN39" s="615"/>
      <c r="AO39" s="573">
        <f t="shared" si="11"/>
        <v>4178</v>
      </c>
      <c r="AP39" s="574"/>
      <c r="AQ39" s="575"/>
      <c r="AR39" s="614">
        <f>ROUND(SUMIFS(Input[Student Uses],Input[Institution Name],H39),0)</f>
        <v>1043541</v>
      </c>
      <c r="AS39" s="612"/>
      <c r="AT39" s="615"/>
      <c r="AU39" s="573">
        <f t="shared" si="12"/>
        <v>3124</v>
      </c>
      <c r="AV39" s="574"/>
      <c r="AW39" s="575"/>
      <c r="AX39" s="614">
        <f>ROUND(SUMIFS(Input[Other Uses],Input[Institution Name],H39),0)</f>
        <v>261451</v>
      </c>
      <c r="AY39" s="612"/>
      <c r="AZ39" s="615"/>
      <c r="BA39" s="573">
        <f t="shared" si="13"/>
        <v>783</v>
      </c>
      <c r="BB39" s="574"/>
      <c r="BC39" s="577"/>
      <c r="BD39" s="614">
        <f t="shared" si="14"/>
        <v>8249232</v>
      </c>
      <c r="BE39" s="612"/>
      <c r="BF39" s="615"/>
      <c r="BG39" s="573">
        <f t="shared" si="15"/>
        <v>24698</v>
      </c>
      <c r="BH39" s="574"/>
      <c r="BI39" s="577"/>
      <c r="BJ39" s="17"/>
      <c r="BK39" s="17"/>
    </row>
    <row r="40" spans="1:63" ht="30" customHeight="1" thickTop="1" x14ac:dyDescent="0.3">
      <c r="A40" s="17"/>
      <c r="B40" s="17"/>
      <c r="C40" s="17"/>
      <c r="D40" s="17"/>
      <c r="E40" s="17"/>
      <c r="F40" s="17"/>
      <c r="G40" s="17"/>
      <c r="H40" s="564"/>
      <c r="I40" s="565"/>
      <c r="J40" s="565"/>
      <c r="K40" s="565"/>
      <c r="L40" s="565"/>
      <c r="M40" s="565"/>
      <c r="N40" s="565"/>
      <c r="O40" s="565"/>
      <c r="P40" s="566"/>
      <c r="Q40" s="593">
        <f>SUM(Q31:S39)</f>
        <v>17699</v>
      </c>
      <c r="R40" s="591"/>
      <c r="S40" s="592"/>
      <c r="T40" s="593">
        <f>SUM(T31:V39)</f>
        <v>151394556</v>
      </c>
      <c r="U40" s="591"/>
      <c r="V40" s="594"/>
      <c r="W40" s="590">
        <f>SUM(W31:Y39)</f>
        <v>106817</v>
      </c>
      <c r="X40" s="591"/>
      <c r="Y40" s="592"/>
      <c r="Z40" s="593">
        <f>SUM(Z31:AB39)</f>
        <v>95857</v>
      </c>
      <c r="AA40" s="591"/>
      <c r="AB40" s="594"/>
      <c r="AC40" s="590">
        <f>SUM(AC31:AE39)</f>
        <v>19</v>
      </c>
      <c r="AD40" s="591"/>
      <c r="AE40" s="592"/>
      <c r="AF40" s="593">
        <f>SUM(AF31:AH39)</f>
        <v>35244813</v>
      </c>
      <c r="AG40" s="591"/>
      <c r="AH40" s="594"/>
      <c r="AI40" s="590">
        <f>SUM(AI31:AK39)</f>
        <v>20591</v>
      </c>
      <c r="AJ40" s="591"/>
      <c r="AK40" s="592"/>
      <c r="AL40" s="593">
        <f>SUM(AL31:AN39)</f>
        <v>43563292</v>
      </c>
      <c r="AM40" s="591"/>
      <c r="AN40" s="594"/>
      <c r="AO40" s="590">
        <f>SUM(AO31:AQ39)</f>
        <v>25961</v>
      </c>
      <c r="AP40" s="591"/>
      <c r="AQ40" s="592"/>
      <c r="AR40" s="593">
        <f>SUM(AR31:AT39)</f>
        <v>31877069</v>
      </c>
      <c r="AS40" s="591"/>
      <c r="AT40" s="594"/>
      <c r="AU40" s="590">
        <f>SUM(AU31:AW39)</f>
        <v>27083</v>
      </c>
      <c r="AV40" s="591"/>
      <c r="AW40" s="592"/>
      <c r="AX40" s="593">
        <f>SUM(AX31:AZ39)</f>
        <v>15141785</v>
      </c>
      <c r="AY40" s="591"/>
      <c r="AZ40" s="594"/>
      <c r="BA40" s="590">
        <f>SUM(BA31:BC39)</f>
        <v>11527</v>
      </c>
      <c r="BB40" s="591"/>
      <c r="BC40" s="594"/>
      <c r="BD40" s="593">
        <f>SUM(BD31:BF39)</f>
        <v>277317372</v>
      </c>
      <c r="BE40" s="591"/>
      <c r="BF40" s="594"/>
      <c r="BG40" s="590">
        <f>SUM(BG31:BI39)</f>
        <v>191996</v>
      </c>
      <c r="BH40" s="591"/>
      <c r="BI40" s="594"/>
      <c r="BJ40" s="17"/>
      <c r="BK40" s="17"/>
    </row>
    <row r="41" spans="1:63" ht="30" customHeight="1" x14ac:dyDescent="0.3">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row>
    <row r="42" spans="1:63" ht="30" customHeight="1" x14ac:dyDescent="0.3">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row>
    <row r="43" spans="1:63" ht="30" customHeight="1" x14ac:dyDescent="0.3">
      <c r="A43" s="17"/>
      <c r="B43" s="17"/>
      <c r="C43" s="17"/>
      <c r="D43" s="17"/>
      <c r="E43" s="17"/>
      <c r="F43" s="17"/>
      <c r="G43" s="17"/>
      <c r="H43" s="567" t="s">
        <v>108</v>
      </c>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567"/>
      <c r="AO43" s="567"/>
      <c r="AP43" s="567"/>
      <c r="AQ43" s="567"/>
      <c r="AR43" s="567"/>
      <c r="AS43" s="567"/>
      <c r="AT43" s="567"/>
      <c r="AU43" s="567"/>
      <c r="AV43" s="567"/>
      <c r="AW43" s="567"/>
      <c r="AX43" s="567"/>
      <c r="AY43" s="567"/>
      <c r="AZ43" s="567"/>
      <c r="BA43" s="567"/>
      <c r="BB43" s="567"/>
      <c r="BC43" s="567"/>
      <c r="BD43" s="567"/>
      <c r="BE43" s="567"/>
      <c r="BF43" s="567"/>
      <c r="BG43" s="567"/>
      <c r="BH43" s="567"/>
      <c r="BI43" s="567"/>
      <c r="BJ43" s="17"/>
      <c r="BK43" s="17"/>
    </row>
    <row r="44" spans="1:63" ht="30" customHeight="1" x14ac:dyDescent="0.3">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row>
    <row r="45" spans="1:63" ht="30" customHeight="1" x14ac:dyDescent="0.3">
      <c r="A45" s="17"/>
      <c r="B45" s="17"/>
      <c r="C45" s="17"/>
      <c r="D45" s="17"/>
      <c r="E45" s="17"/>
      <c r="F45" s="17"/>
      <c r="G45" s="17"/>
      <c r="H45" s="601" t="s">
        <v>0</v>
      </c>
      <c r="I45" s="602"/>
      <c r="J45" s="602"/>
      <c r="K45" s="602"/>
      <c r="L45" s="602"/>
      <c r="M45" s="602"/>
      <c r="N45" s="602"/>
      <c r="O45" s="602"/>
      <c r="P45" s="603"/>
      <c r="Q45" s="634" t="s">
        <v>1037</v>
      </c>
      <c r="R45" s="635"/>
      <c r="S45" s="636"/>
      <c r="T45" s="640" t="s">
        <v>1038</v>
      </c>
      <c r="U45" s="627"/>
      <c r="V45" s="627"/>
      <c r="W45" s="627"/>
      <c r="X45" s="627"/>
      <c r="Y45" s="628"/>
      <c r="Z45" s="626" t="s">
        <v>922</v>
      </c>
      <c r="AA45" s="627"/>
      <c r="AB45" s="627"/>
      <c r="AC45" s="627"/>
      <c r="AD45" s="627"/>
      <c r="AE45" s="628"/>
      <c r="AF45" s="626" t="s">
        <v>924</v>
      </c>
      <c r="AG45" s="627"/>
      <c r="AH45" s="627"/>
      <c r="AI45" s="627"/>
      <c r="AJ45" s="627"/>
      <c r="AK45" s="628"/>
      <c r="AL45" s="626" t="s">
        <v>926</v>
      </c>
      <c r="AM45" s="627"/>
      <c r="AN45" s="627"/>
      <c r="AO45" s="627"/>
      <c r="AP45" s="627"/>
      <c r="AQ45" s="628"/>
      <c r="AR45" s="626" t="s">
        <v>925</v>
      </c>
      <c r="AS45" s="627"/>
      <c r="AT45" s="627"/>
      <c r="AU45" s="627"/>
      <c r="AV45" s="627"/>
      <c r="AW45" s="628"/>
      <c r="AX45" s="626" t="s">
        <v>1039</v>
      </c>
      <c r="AY45" s="627"/>
      <c r="AZ45" s="627"/>
      <c r="BA45" s="627"/>
      <c r="BB45" s="627"/>
      <c r="BC45" s="627"/>
      <c r="BD45" s="654" t="s">
        <v>1040</v>
      </c>
      <c r="BE45" s="655"/>
      <c r="BF45" s="655"/>
      <c r="BG45" s="655"/>
      <c r="BH45" s="655"/>
      <c r="BI45" s="640"/>
      <c r="BJ45" s="17"/>
      <c r="BK45" s="17"/>
    </row>
    <row r="46" spans="1:63" ht="30" customHeight="1" x14ac:dyDescent="0.3">
      <c r="A46" s="17"/>
      <c r="B46" s="17"/>
      <c r="C46" s="17"/>
      <c r="D46" s="17"/>
      <c r="E46" s="17"/>
      <c r="F46" s="17"/>
      <c r="G46" s="17"/>
      <c r="H46" s="604"/>
      <c r="I46" s="605"/>
      <c r="J46" s="605"/>
      <c r="K46" s="605"/>
      <c r="L46" s="605"/>
      <c r="M46" s="605"/>
      <c r="N46" s="605"/>
      <c r="O46" s="605"/>
      <c r="P46" s="606"/>
      <c r="Q46" s="637"/>
      <c r="R46" s="638"/>
      <c r="S46" s="639"/>
      <c r="T46" s="644" t="s">
        <v>985</v>
      </c>
      <c r="U46" s="625"/>
      <c r="V46" s="625"/>
      <c r="W46" s="645" t="s">
        <v>982</v>
      </c>
      <c r="X46" s="645"/>
      <c r="Y46" s="646"/>
      <c r="Z46" s="630" t="s">
        <v>985</v>
      </c>
      <c r="AA46" s="625"/>
      <c r="AB46" s="625"/>
      <c r="AC46" s="625" t="s">
        <v>982</v>
      </c>
      <c r="AD46" s="625"/>
      <c r="AE46" s="629"/>
      <c r="AF46" s="630" t="s">
        <v>985</v>
      </c>
      <c r="AG46" s="625"/>
      <c r="AH46" s="625"/>
      <c r="AI46" s="625" t="s">
        <v>982</v>
      </c>
      <c r="AJ46" s="625"/>
      <c r="AK46" s="629"/>
      <c r="AL46" s="630" t="s">
        <v>985</v>
      </c>
      <c r="AM46" s="625"/>
      <c r="AN46" s="625"/>
      <c r="AO46" s="625" t="s">
        <v>982</v>
      </c>
      <c r="AP46" s="625"/>
      <c r="AQ46" s="629"/>
      <c r="AR46" s="630" t="s">
        <v>985</v>
      </c>
      <c r="AS46" s="625"/>
      <c r="AT46" s="625"/>
      <c r="AU46" s="625" t="s">
        <v>982</v>
      </c>
      <c r="AV46" s="625"/>
      <c r="AW46" s="629"/>
      <c r="AX46" s="630" t="s">
        <v>985</v>
      </c>
      <c r="AY46" s="625"/>
      <c r="AZ46" s="625"/>
      <c r="BA46" s="625" t="s">
        <v>982</v>
      </c>
      <c r="BB46" s="625"/>
      <c r="BC46" s="625"/>
      <c r="BD46" s="630" t="s">
        <v>985</v>
      </c>
      <c r="BE46" s="625"/>
      <c r="BF46" s="625"/>
      <c r="BG46" s="625" t="s">
        <v>982</v>
      </c>
      <c r="BH46" s="625"/>
      <c r="BI46" s="625"/>
      <c r="BJ46" s="17"/>
      <c r="BK46" s="17"/>
    </row>
    <row r="47" spans="1:63" ht="30" customHeight="1" x14ac:dyDescent="0.3">
      <c r="A47" s="17"/>
      <c r="B47" s="17"/>
      <c r="C47" s="17"/>
      <c r="D47" s="17"/>
      <c r="E47" s="17"/>
      <c r="F47" s="17"/>
      <c r="G47" s="17"/>
      <c r="H47" s="607" t="s">
        <v>29</v>
      </c>
      <c r="I47" s="608"/>
      <c r="J47" s="608"/>
      <c r="K47" s="608"/>
      <c r="L47" s="608"/>
      <c r="M47" s="608"/>
      <c r="N47" s="608"/>
      <c r="O47" s="608"/>
      <c r="P47" s="609"/>
      <c r="Q47" s="641">
        <f>SUMIFS('FTSE | FTFE'!$P$104:$P$139,'FTSE | FTFE'!$H$104:$H$139,H47)</f>
        <v>33319</v>
      </c>
      <c r="R47" s="642"/>
      <c r="S47" s="643"/>
      <c r="T47" s="610">
        <f>ROUND(SUMIFS(Input[Instruction Uses],Input[Institution Name],H47),0)</f>
        <v>236776365</v>
      </c>
      <c r="U47" s="598"/>
      <c r="V47" s="598"/>
      <c r="W47" s="598">
        <f>ROUND(T47/$Q47,0)</f>
        <v>7106</v>
      </c>
      <c r="X47" s="598"/>
      <c r="Y47" s="599"/>
      <c r="Z47" s="600">
        <f>ROUND(SUMIFS(Input[Research Uses],Input[Institution Name],H47),0)</f>
        <v>152568274</v>
      </c>
      <c r="AA47" s="598"/>
      <c r="AB47" s="598"/>
      <c r="AC47" s="598">
        <f>ROUND(Z47/$Q47,0)</f>
        <v>4579</v>
      </c>
      <c r="AD47" s="598"/>
      <c r="AE47" s="599"/>
      <c r="AF47" s="600">
        <f>ROUND(SUMIFS(Input[Academic Uses],Input[Institution Name],H47),0)</f>
        <v>65379075</v>
      </c>
      <c r="AG47" s="598"/>
      <c r="AH47" s="598"/>
      <c r="AI47" s="598">
        <f>ROUND(AF47/$Q47,0)</f>
        <v>1962</v>
      </c>
      <c r="AJ47" s="598"/>
      <c r="AK47" s="599"/>
      <c r="AL47" s="600">
        <f>ROUND(SUMIFS(Input[Institutional Uses],Input[Institution Name],H47),0)</f>
        <v>60605844</v>
      </c>
      <c r="AM47" s="598"/>
      <c r="AN47" s="598"/>
      <c r="AO47" s="598">
        <f>ROUND(AL47/$Q47,0)</f>
        <v>1819</v>
      </c>
      <c r="AP47" s="598"/>
      <c r="AQ47" s="599"/>
      <c r="AR47" s="600">
        <f>ROUND(SUMIFS(Input[Student Uses],Input[Institution Name],H47),0)</f>
        <v>100251709</v>
      </c>
      <c r="AS47" s="598"/>
      <c r="AT47" s="598"/>
      <c r="AU47" s="598">
        <f>ROUND(AR47/$Q47,0)</f>
        <v>3009</v>
      </c>
      <c r="AV47" s="598"/>
      <c r="AW47" s="599"/>
      <c r="AX47" s="600">
        <f>ROUND(SUMIFS(Input[Other Uses],Input[Institution Name],H47),0)</f>
        <v>1265897</v>
      </c>
      <c r="AY47" s="598"/>
      <c r="AZ47" s="598"/>
      <c r="BA47" s="598">
        <f>ROUND(AX47/$Q47,0)</f>
        <v>38</v>
      </c>
      <c r="BB47" s="598"/>
      <c r="BC47" s="598"/>
      <c r="BD47" s="600">
        <f>ROUND(SUM(T47,Z47,AF47,AL47,AR47,AX47),0)</f>
        <v>616847164</v>
      </c>
      <c r="BE47" s="598"/>
      <c r="BF47" s="598"/>
      <c r="BG47" s="598">
        <f>ROUND(BD47/$Q47,0)</f>
        <v>18513</v>
      </c>
      <c r="BH47" s="598"/>
      <c r="BI47" s="598"/>
      <c r="BJ47" s="17"/>
      <c r="BK47" s="17"/>
    </row>
    <row r="48" spans="1:63" ht="30" customHeight="1" x14ac:dyDescent="0.3">
      <c r="A48" s="17"/>
      <c r="B48" s="17"/>
      <c r="C48" s="17"/>
      <c r="D48" s="17"/>
      <c r="E48" s="17"/>
      <c r="F48" s="17"/>
      <c r="G48" s="17"/>
      <c r="H48" s="579" t="s">
        <v>40</v>
      </c>
      <c r="I48" s="580"/>
      <c r="J48" s="580"/>
      <c r="K48" s="580"/>
      <c r="L48" s="580"/>
      <c r="M48" s="580"/>
      <c r="N48" s="580"/>
      <c r="O48" s="580"/>
      <c r="P48" s="581"/>
      <c r="Q48" s="582">
        <f>SUMIFS('FTSE | FTFE'!$P$104:$P$139,'FTSE | FTFE'!$H$104:$H$139,H48)</f>
        <v>50913</v>
      </c>
      <c r="R48" s="583"/>
      <c r="S48" s="586"/>
      <c r="T48" s="582">
        <f>ROUND(SUMIFS(Input[Instruction Uses],Input[Institution Name],H48),0)</f>
        <v>774115560</v>
      </c>
      <c r="U48" s="583"/>
      <c r="V48" s="584"/>
      <c r="W48" s="585">
        <f>ROUND(T48/$Q48,0)</f>
        <v>15205</v>
      </c>
      <c r="X48" s="583"/>
      <c r="Y48" s="586"/>
      <c r="Z48" s="582">
        <f>ROUND(SUMIFS(Input[Research Uses],Input[Institution Name],H48),0)</f>
        <v>873981602</v>
      </c>
      <c r="AA48" s="583"/>
      <c r="AB48" s="584"/>
      <c r="AC48" s="585">
        <f>ROUND(Z48/$Q48,0)</f>
        <v>17166</v>
      </c>
      <c r="AD48" s="583"/>
      <c r="AE48" s="586"/>
      <c r="AF48" s="582">
        <f>ROUND(SUMIFS(Input[Academic Uses],Input[Institution Name],H48),0)</f>
        <v>606809213</v>
      </c>
      <c r="AG48" s="583"/>
      <c r="AH48" s="584"/>
      <c r="AI48" s="585">
        <f>ROUND(AF48/$Q48,0)</f>
        <v>11919</v>
      </c>
      <c r="AJ48" s="583"/>
      <c r="AK48" s="586"/>
      <c r="AL48" s="582">
        <f>ROUND(SUMIFS(Input[Institutional Uses],Input[Institution Name],H48),0)</f>
        <v>315218716</v>
      </c>
      <c r="AM48" s="583"/>
      <c r="AN48" s="584"/>
      <c r="AO48" s="585">
        <f>ROUND(AL48/$Q48,0)</f>
        <v>6191</v>
      </c>
      <c r="AP48" s="583"/>
      <c r="AQ48" s="586"/>
      <c r="AR48" s="582">
        <f>ROUND(SUMIFS(Input[Student Uses],Input[Institution Name],H48),0)</f>
        <v>52465274</v>
      </c>
      <c r="AS48" s="583"/>
      <c r="AT48" s="584"/>
      <c r="AU48" s="585">
        <f>ROUND(AR48/$Q48,0)</f>
        <v>1030</v>
      </c>
      <c r="AV48" s="583"/>
      <c r="AW48" s="586"/>
      <c r="AX48" s="582">
        <f>ROUND(SUMIFS(Input[Other Uses],Input[Institution Name],H48),0)</f>
        <v>3269652</v>
      </c>
      <c r="AY48" s="583"/>
      <c r="AZ48" s="584"/>
      <c r="BA48" s="585">
        <f>ROUND(AX48/$Q48,0)</f>
        <v>64</v>
      </c>
      <c r="BB48" s="583"/>
      <c r="BC48" s="584"/>
      <c r="BD48" s="582">
        <f t="shared" ref="BD48:BD82" si="16">ROUND(SUM(T48,Z48,AF48,AL48,AR48,AX48),0)</f>
        <v>2625860017</v>
      </c>
      <c r="BE48" s="583"/>
      <c r="BF48" s="584"/>
      <c r="BG48" s="585">
        <f>ROUND(BD48/$Q48,0)</f>
        <v>51575</v>
      </c>
      <c r="BH48" s="583"/>
      <c r="BI48" s="584"/>
      <c r="BJ48" s="17"/>
      <c r="BK48" s="17"/>
    </row>
    <row r="49" spans="1:63" ht="30" customHeight="1" x14ac:dyDescent="0.3">
      <c r="A49" s="17"/>
      <c r="B49" s="17"/>
      <c r="C49" s="17"/>
      <c r="D49" s="17"/>
      <c r="E49" s="17"/>
      <c r="F49" s="17"/>
      <c r="G49" s="17"/>
      <c r="H49" s="587" t="s">
        <v>52</v>
      </c>
      <c r="I49" s="588"/>
      <c r="J49" s="588"/>
      <c r="K49" s="588"/>
      <c r="L49" s="588"/>
      <c r="M49" s="588"/>
      <c r="N49" s="588"/>
      <c r="O49" s="588"/>
      <c r="P49" s="589"/>
      <c r="Q49" s="576">
        <f>SUMIFS('FTSE | FTFE'!$P$104:$P$139,'FTSE | FTFE'!$H$104:$H$139,H49)</f>
        <v>25477</v>
      </c>
      <c r="R49" s="574"/>
      <c r="S49" s="575"/>
      <c r="T49" s="652">
        <f>ROUND(SUMIFS(Input[Instruction Uses],Input[Institution Name],H49),0)</f>
        <v>252579409</v>
      </c>
      <c r="U49" s="653"/>
      <c r="V49" s="610"/>
      <c r="W49" s="598">
        <f>ROUND(T49/$Q49,0)</f>
        <v>9914</v>
      </c>
      <c r="X49" s="598"/>
      <c r="Y49" s="599"/>
      <c r="Z49" s="576">
        <f>ROUND(SUMIFS(Input[Research Uses],Input[Institution Name],H49),0)</f>
        <v>151475683</v>
      </c>
      <c r="AA49" s="574"/>
      <c r="AB49" s="577"/>
      <c r="AC49" s="598">
        <f>ROUND(Z49/$Q49,0)</f>
        <v>5946</v>
      </c>
      <c r="AD49" s="598"/>
      <c r="AE49" s="599"/>
      <c r="AF49" s="576">
        <f>ROUND(SUMIFS(Input[Academic Uses],Input[Institution Name],H49),0)</f>
        <v>106411041</v>
      </c>
      <c r="AG49" s="574"/>
      <c r="AH49" s="577"/>
      <c r="AI49" s="598">
        <f>ROUND(AF49/$Q49,0)</f>
        <v>4177</v>
      </c>
      <c r="AJ49" s="598"/>
      <c r="AK49" s="599"/>
      <c r="AL49" s="576">
        <f>ROUND(SUMIFS(Input[Institutional Uses],Input[Institution Name],H49),0)</f>
        <v>57059417</v>
      </c>
      <c r="AM49" s="574"/>
      <c r="AN49" s="577"/>
      <c r="AO49" s="598">
        <f>ROUND(AL49/$Q49,0)</f>
        <v>2240</v>
      </c>
      <c r="AP49" s="598"/>
      <c r="AQ49" s="599"/>
      <c r="AR49" s="576">
        <f>ROUND(SUMIFS(Input[Student Uses],Input[Institution Name],H49),0)</f>
        <v>28765215</v>
      </c>
      <c r="AS49" s="574"/>
      <c r="AT49" s="577"/>
      <c r="AU49" s="598">
        <f>ROUND(AR49/$Q49,0)</f>
        <v>1129</v>
      </c>
      <c r="AV49" s="598"/>
      <c r="AW49" s="599"/>
      <c r="AX49" s="576">
        <f>ROUND(SUMIFS(Input[Other Uses],Input[Institution Name],H49),0)</f>
        <v>2876849</v>
      </c>
      <c r="AY49" s="574"/>
      <c r="AZ49" s="577"/>
      <c r="BA49" s="598">
        <f>ROUND(AX49/$Q49,0)</f>
        <v>113</v>
      </c>
      <c r="BB49" s="598"/>
      <c r="BC49" s="598"/>
      <c r="BD49" s="576">
        <f t="shared" si="16"/>
        <v>599167614</v>
      </c>
      <c r="BE49" s="574"/>
      <c r="BF49" s="577"/>
      <c r="BG49" s="598">
        <f>ROUND(BD49/$Q49,0)</f>
        <v>23518</v>
      </c>
      <c r="BH49" s="598"/>
      <c r="BI49" s="598"/>
      <c r="BJ49" s="17"/>
      <c r="BK49" s="17"/>
    </row>
    <row r="50" spans="1:63" ht="30" customHeight="1" x14ac:dyDescent="0.3">
      <c r="A50" s="17"/>
      <c r="B50" s="17"/>
      <c r="C50" s="17"/>
      <c r="D50" s="17"/>
      <c r="E50" s="17"/>
      <c r="F50" s="17"/>
      <c r="G50" s="17"/>
      <c r="H50" s="579" t="s">
        <v>55</v>
      </c>
      <c r="I50" s="580"/>
      <c r="J50" s="580"/>
      <c r="K50" s="580"/>
      <c r="L50" s="580"/>
      <c r="M50" s="580"/>
      <c r="N50" s="580"/>
      <c r="O50" s="580"/>
      <c r="P50" s="581"/>
      <c r="Q50" s="582">
        <f>SUMIFS('FTSE | FTFE'!$P$104:$P$139,'FTSE | FTFE'!$H$104:$H$139,H50)</f>
        <v>20515</v>
      </c>
      <c r="R50" s="583"/>
      <c r="S50" s="586"/>
      <c r="T50" s="582">
        <f>ROUND(SUMIFS(Input[Instruction Uses],Input[Institution Name],H50),0)</f>
        <v>133106440</v>
      </c>
      <c r="U50" s="583"/>
      <c r="V50" s="584"/>
      <c r="W50" s="585">
        <f t="shared" ref="W50:W82" si="17">ROUND(T50/$Q50,0)</f>
        <v>6488</v>
      </c>
      <c r="X50" s="583"/>
      <c r="Y50" s="586"/>
      <c r="Z50" s="582">
        <f>ROUND(SUMIFS(Input[Research Uses],Input[Institution Name],H50),0)</f>
        <v>129466577</v>
      </c>
      <c r="AA50" s="583"/>
      <c r="AB50" s="584"/>
      <c r="AC50" s="585">
        <f t="shared" ref="AC50:AC82" si="18">ROUND(Z50/$Q50,0)</f>
        <v>6311</v>
      </c>
      <c r="AD50" s="583"/>
      <c r="AE50" s="586"/>
      <c r="AF50" s="582">
        <f>ROUND(SUMIFS(Input[Academic Uses],Input[Institution Name],H50),0)</f>
        <v>34315527</v>
      </c>
      <c r="AG50" s="583"/>
      <c r="AH50" s="584"/>
      <c r="AI50" s="585">
        <f t="shared" ref="AI50:AI82" si="19">ROUND(AF50/$Q50,0)</f>
        <v>1673</v>
      </c>
      <c r="AJ50" s="583"/>
      <c r="AK50" s="586"/>
      <c r="AL50" s="582">
        <f>ROUND(SUMIFS(Input[Institutional Uses],Input[Institution Name],H50),0)</f>
        <v>46459536</v>
      </c>
      <c r="AM50" s="583"/>
      <c r="AN50" s="584"/>
      <c r="AO50" s="585">
        <f t="shared" ref="AO50:AO82" si="20">ROUND(AL50/$Q50,0)</f>
        <v>2265</v>
      </c>
      <c r="AP50" s="583"/>
      <c r="AQ50" s="586"/>
      <c r="AR50" s="582">
        <f>ROUND(SUMIFS(Input[Student Uses],Input[Institution Name],H50),0)</f>
        <v>27494818</v>
      </c>
      <c r="AS50" s="583"/>
      <c r="AT50" s="584"/>
      <c r="AU50" s="585">
        <f t="shared" ref="AU50:AU82" si="21">ROUND(AR50/$Q50,0)</f>
        <v>1340</v>
      </c>
      <c r="AV50" s="583"/>
      <c r="AW50" s="586"/>
      <c r="AX50" s="582">
        <f>ROUND(SUMIFS(Input[Other Uses],Input[Institution Name],H50),0)</f>
        <v>117123</v>
      </c>
      <c r="AY50" s="583"/>
      <c r="AZ50" s="584"/>
      <c r="BA50" s="585">
        <f t="shared" ref="BA50:BA82" si="22">ROUND(AX50/$Q50,0)</f>
        <v>6</v>
      </c>
      <c r="BB50" s="583"/>
      <c r="BC50" s="584"/>
      <c r="BD50" s="582">
        <f t="shared" si="16"/>
        <v>370960021</v>
      </c>
      <c r="BE50" s="583"/>
      <c r="BF50" s="584"/>
      <c r="BG50" s="585">
        <f t="shared" ref="BG50:BG82" si="23">ROUND(BD50/$Q50,0)</f>
        <v>18082</v>
      </c>
      <c r="BH50" s="583"/>
      <c r="BI50" s="584"/>
      <c r="BJ50" s="17"/>
      <c r="BK50" s="17"/>
    </row>
    <row r="51" spans="1:63" ht="30" customHeight="1" x14ac:dyDescent="0.3">
      <c r="A51" s="17"/>
      <c r="B51" s="17"/>
      <c r="C51" s="17"/>
      <c r="D51" s="17"/>
      <c r="E51" s="17"/>
      <c r="F51" s="17"/>
      <c r="G51" s="17"/>
      <c r="H51" s="587" t="s">
        <v>164</v>
      </c>
      <c r="I51" s="588"/>
      <c r="J51" s="588"/>
      <c r="K51" s="588"/>
      <c r="L51" s="588"/>
      <c r="M51" s="588"/>
      <c r="N51" s="588"/>
      <c r="O51" s="588"/>
      <c r="P51" s="589"/>
      <c r="Q51" s="576">
        <f>SUMIFS('FTSE | FTFE'!$P$104:$P$139,'FTSE | FTFE'!$H$104:$H$139,H51)</f>
        <v>29153</v>
      </c>
      <c r="R51" s="574"/>
      <c r="S51" s="575"/>
      <c r="T51" s="652">
        <f>ROUND(SUMIFS(Input[Instruction Uses],Input[Institution Name],H51),0)</f>
        <v>177057700</v>
      </c>
      <c r="U51" s="653"/>
      <c r="V51" s="610"/>
      <c r="W51" s="598">
        <f t="shared" si="17"/>
        <v>6073</v>
      </c>
      <c r="X51" s="598"/>
      <c r="Y51" s="599"/>
      <c r="Z51" s="576">
        <f>ROUND(SUMIFS(Input[Research Uses],Input[Institution Name],H51),0)</f>
        <v>64073221</v>
      </c>
      <c r="AA51" s="574"/>
      <c r="AB51" s="577"/>
      <c r="AC51" s="598">
        <f t="shared" si="18"/>
        <v>2198</v>
      </c>
      <c r="AD51" s="598"/>
      <c r="AE51" s="599"/>
      <c r="AF51" s="576">
        <f>ROUND(SUMIFS(Input[Academic Uses],Input[Institution Name],H51),0)</f>
        <v>62986615</v>
      </c>
      <c r="AG51" s="574"/>
      <c r="AH51" s="577"/>
      <c r="AI51" s="598">
        <f t="shared" si="19"/>
        <v>2161</v>
      </c>
      <c r="AJ51" s="598"/>
      <c r="AK51" s="599"/>
      <c r="AL51" s="576">
        <f>ROUND(SUMIFS(Input[Institutional Uses],Input[Institution Name],H51),0)</f>
        <v>44362152</v>
      </c>
      <c r="AM51" s="574"/>
      <c r="AN51" s="577"/>
      <c r="AO51" s="598">
        <f t="shared" si="20"/>
        <v>1522</v>
      </c>
      <c r="AP51" s="598"/>
      <c r="AQ51" s="599"/>
      <c r="AR51" s="576">
        <f>ROUND(SUMIFS(Input[Student Uses],Input[Institution Name],H51),0)</f>
        <v>35858190</v>
      </c>
      <c r="AS51" s="574"/>
      <c r="AT51" s="577"/>
      <c r="AU51" s="598">
        <f t="shared" si="21"/>
        <v>1230</v>
      </c>
      <c r="AV51" s="598"/>
      <c r="AW51" s="599"/>
      <c r="AX51" s="576">
        <f>ROUND(SUMIFS(Input[Other Uses],Input[Institution Name],H51),0)</f>
        <v>505348</v>
      </c>
      <c r="AY51" s="574"/>
      <c r="AZ51" s="577"/>
      <c r="BA51" s="598">
        <f t="shared" si="22"/>
        <v>17</v>
      </c>
      <c r="BB51" s="598"/>
      <c r="BC51" s="598"/>
      <c r="BD51" s="576">
        <f t="shared" si="16"/>
        <v>384843226</v>
      </c>
      <c r="BE51" s="574"/>
      <c r="BF51" s="577"/>
      <c r="BG51" s="598">
        <f t="shared" si="23"/>
        <v>13201</v>
      </c>
      <c r="BH51" s="598"/>
      <c r="BI51" s="598"/>
      <c r="BJ51" s="17"/>
      <c r="BK51" s="17"/>
    </row>
    <row r="52" spans="1:63" ht="30" customHeight="1" x14ac:dyDescent="0.3">
      <c r="A52" s="17"/>
      <c r="B52" s="17"/>
      <c r="C52" s="17"/>
      <c r="D52" s="17"/>
      <c r="E52" s="17"/>
      <c r="F52" s="17"/>
      <c r="G52" s="17"/>
      <c r="H52" s="579" t="s">
        <v>1</v>
      </c>
      <c r="I52" s="580"/>
      <c r="J52" s="580"/>
      <c r="K52" s="580"/>
      <c r="L52" s="580"/>
      <c r="M52" s="580"/>
      <c r="N52" s="580"/>
      <c r="O52" s="580"/>
      <c r="P52" s="581"/>
      <c r="Q52" s="582">
        <f>SUMIFS('FTSE | FTFE'!$P$104:$P$139,'FTSE | FTFE'!$H$104:$H$139,H52)</f>
        <v>3784</v>
      </c>
      <c r="R52" s="583"/>
      <c r="S52" s="586"/>
      <c r="T52" s="582">
        <f>ROUND(SUMIFS(Input[Instruction Uses],Input[Institution Name],H52),0)</f>
        <v>30721578</v>
      </c>
      <c r="U52" s="583"/>
      <c r="V52" s="584"/>
      <c r="W52" s="585">
        <f t="shared" si="17"/>
        <v>8119</v>
      </c>
      <c r="X52" s="583"/>
      <c r="Y52" s="586"/>
      <c r="Z52" s="582">
        <f>ROUND(SUMIFS(Input[Research Uses],Input[Institution Name],H52),0)</f>
        <v>2896756</v>
      </c>
      <c r="AA52" s="583"/>
      <c r="AB52" s="584"/>
      <c r="AC52" s="585">
        <f t="shared" si="18"/>
        <v>766</v>
      </c>
      <c r="AD52" s="583"/>
      <c r="AE52" s="586"/>
      <c r="AF52" s="582">
        <f>ROUND(SUMIFS(Input[Academic Uses],Input[Institution Name],H52),0)</f>
        <v>8733804</v>
      </c>
      <c r="AG52" s="583"/>
      <c r="AH52" s="584"/>
      <c r="AI52" s="585">
        <f t="shared" si="19"/>
        <v>2308</v>
      </c>
      <c r="AJ52" s="583"/>
      <c r="AK52" s="586"/>
      <c r="AL52" s="582">
        <f>ROUND(SUMIFS(Input[Institutional Uses],Input[Institution Name],H52),0)</f>
        <v>17091050</v>
      </c>
      <c r="AM52" s="583"/>
      <c r="AN52" s="584"/>
      <c r="AO52" s="585">
        <f t="shared" si="20"/>
        <v>4517</v>
      </c>
      <c r="AP52" s="583"/>
      <c r="AQ52" s="586"/>
      <c r="AR52" s="582">
        <f>ROUND(SUMIFS(Input[Student Uses],Input[Institution Name],H52),0)</f>
        <v>3869612</v>
      </c>
      <c r="AS52" s="583"/>
      <c r="AT52" s="584"/>
      <c r="AU52" s="585">
        <f t="shared" si="21"/>
        <v>1023</v>
      </c>
      <c r="AV52" s="583"/>
      <c r="AW52" s="586"/>
      <c r="AX52" s="582">
        <f>ROUND(SUMIFS(Input[Other Uses],Input[Institution Name],H52),0)</f>
        <v>0</v>
      </c>
      <c r="AY52" s="583"/>
      <c r="AZ52" s="584"/>
      <c r="BA52" s="585">
        <f t="shared" si="22"/>
        <v>0</v>
      </c>
      <c r="BB52" s="583"/>
      <c r="BC52" s="584"/>
      <c r="BD52" s="582">
        <f t="shared" si="16"/>
        <v>63312800</v>
      </c>
      <c r="BE52" s="583"/>
      <c r="BF52" s="584"/>
      <c r="BG52" s="585">
        <f t="shared" si="23"/>
        <v>16732</v>
      </c>
      <c r="BH52" s="583"/>
      <c r="BI52" s="584"/>
      <c r="BJ52" s="17"/>
      <c r="BK52" s="17"/>
    </row>
    <row r="53" spans="1:63" ht="30" customHeight="1" x14ac:dyDescent="0.3">
      <c r="A53" s="17"/>
      <c r="B53" s="17"/>
      <c r="C53" s="17"/>
      <c r="D53" s="17"/>
      <c r="E53" s="17"/>
      <c r="F53" s="17"/>
      <c r="G53" s="17"/>
      <c r="H53" s="587" t="s">
        <v>2</v>
      </c>
      <c r="I53" s="588"/>
      <c r="J53" s="588"/>
      <c r="K53" s="588"/>
      <c r="L53" s="588"/>
      <c r="M53" s="588"/>
      <c r="N53" s="588"/>
      <c r="O53" s="588"/>
      <c r="P53" s="589"/>
      <c r="Q53" s="576">
        <f>SUMIFS('FTSE | FTFE'!$P$104:$P$139,'FTSE | FTFE'!$H$104:$H$139,H53)</f>
        <v>29190</v>
      </c>
      <c r="R53" s="574"/>
      <c r="S53" s="575"/>
      <c r="T53" s="652">
        <f>ROUND(SUMIFS(Input[Instruction Uses],Input[Institution Name],H53),0)</f>
        <v>146787046</v>
      </c>
      <c r="U53" s="653"/>
      <c r="V53" s="610"/>
      <c r="W53" s="598">
        <f t="shared" si="17"/>
        <v>5029</v>
      </c>
      <c r="X53" s="598"/>
      <c r="Y53" s="599"/>
      <c r="Z53" s="576">
        <f>ROUND(SUMIFS(Input[Research Uses],Input[Institution Name],H53),0)</f>
        <v>155653122</v>
      </c>
      <c r="AA53" s="574"/>
      <c r="AB53" s="577"/>
      <c r="AC53" s="598">
        <f t="shared" si="18"/>
        <v>5332</v>
      </c>
      <c r="AD53" s="598"/>
      <c r="AE53" s="599"/>
      <c r="AF53" s="576">
        <f>ROUND(SUMIFS(Input[Academic Uses],Input[Institution Name],H53),0)</f>
        <v>105654506</v>
      </c>
      <c r="AG53" s="574"/>
      <c r="AH53" s="577"/>
      <c r="AI53" s="598">
        <f t="shared" si="19"/>
        <v>3620</v>
      </c>
      <c r="AJ53" s="598"/>
      <c r="AK53" s="599"/>
      <c r="AL53" s="576">
        <f>ROUND(SUMIFS(Input[Institutional Uses],Input[Institution Name],H53),0)</f>
        <v>55733715</v>
      </c>
      <c r="AM53" s="574"/>
      <c r="AN53" s="577"/>
      <c r="AO53" s="598">
        <f t="shared" si="20"/>
        <v>1909</v>
      </c>
      <c r="AP53" s="598"/>
      <c r="AQ53" s="599"/>
      <c r="AR53" s="576">
        <f>ROUND(SUMIFS(Input[Student Uses],Input[Institution Name],H53),0)</f>
        <v>41838649</v>
      </c>
      <c r="AS53" s="574"/>
      <c r="AT53" s="577"/>
      <c r="AU53" s="598">
        <f t="shared" si="21"/>
        <v>1433</v>
      </c>
      <c r="AV53" s="598"/>
      <c r="AW53" s="599"/>
      <c r="AX53" s="576">
        <f>ROUND(SUMIFS(Input[Other Uses],Input[Institution Name],H53),0)</f>
        <v>416191</v>
      </c>
      <c r="AY53" s="574"/>
      <c r="AZ53" s="577"/>
      <c r="BA53" s="598">
        <f t="shared" si="22"/>
        <v>14</v>
      </c>
      <c r="BB53" s="598"/>
      <c r="BC53" s="598"/>
      <c r="BD53" s="576">
        <f t="shared" si="16"/>
        <v>506083229</v>
      </c>
      <c r="BE53" s="574"/>
      <c r="BF53" s="577"/>
      <c r="BG53" s="598">
        <f t="shared" si="23"/>
        <v>17338</v>
      </c>
      <c r="BH53" s="598"/>
      <c r="BI53" s="598"/>
      <c r="BJ53" s="17"/>
      <c r="BK53" s="17"/>
    </row>
    <row r="54" spans="1:63" ht="30" customHeight="1" x14ac:dyDescent="0.3">
      <c r="A54" s="17"/>
      <c r="B54" s="17"/>
      <c r="C54" s="17"/>
      <c r="D54" s="17"/>
      <c r="E54" s="17"/>
      <c r="F54" s="17"/>
      <c r="G54" s="17"/>
      <c r="H54" s="579" t="s">
        <v>3</v>
      </c>
      <c r="I54" s="580"/>
      <c r="J54" s="580"/>
      <c r="K54" s="580"/>
      <c r="L54" s="580"/>
      <c r="M54" s="580"/>
      <c r="N54" s="580"/>
      <c r="O54" s="580"/>
      <c r="P54" s="581"/>
      <c r="Q54" s="582">
        <f>SUMIFS('FTSE | FTFE'!$P$104:$P$139,'FTSE | FTFE'!$H$104:$H$139,H54)</f>
        <v>8877</v>
      </c>
      <c r="R54" s="583"/>
      <c r="S54" s="586"/>
      <c r="T54" s="582">
        <f>ROUND(SUMIFS(Input[Instruction Uses],Input[Institution Name],H54),0)</f>
        <v>81447184</v>
      </c>
      <c r="U54" s="583"/>
      <c r="V54" s="584"/>
      <c r="W54" s="585">
        <f t="shared" si="17"/>
        <v>9175</v>
      </c>
      <c r="X54" s="583"/>
      <c r="Y54" s="586"/>
      <c r="Z54" s="582">
        <f>ROUND(SUMIFS(Input[Research Uses],Input[Institution Name],H54),0)</f>
        <v>4612386</v>
      </c>
      <c r="AA54" s="583"/>
      <c r="AB54" s="584"/>
      <c r="AC54" s="585">
        <f t="shared" si="18"/>
        <v>520</v>
      </c>
      <c r="AD54" s="583"/>
      <c r="AE54" s="586"/>
      <c r="AF54" s="582">
        <f>ROUND(SUMIFS(Input[Academic Uses],Input[Institution Name],H54),0)</f>
        <v>23456250</v>
      </c>
      <c r="AG54" s="583"/>
      <c r="AH54" s="584"/>
      <c r="AI54" s="585">
        <f t="shared" si="19"/>
        <v>2642</v>
      </c>
      <c r="AJ54" s="583"/>
      <c r="AK54" s="586"/>
      <c r="AL54" s="582">
        <f>ROUND(SUMIFS(Input[Institutional Uses],Input[Institution Name],H54),0)</f>
        <v>18149551</v>
      </c>
      <c r="AM54" s="583"/>
      <c r="AN54" s="584"/>
      <c r="AO54" s="585">
        <f t="shared" si="20"/>
        <v>2045</v>
      </c>
      <c r="AP54" s="583"/>
      <c r="AQ54" s="586"/>
      <c r="AR54" s="582">
        <f>ROUND(SUMIFS(Input[Student Uses],Input[Institution Name],H54),0)</f>
        <v>18144948</v>
      </c>
      <c r="AS54" s="583"/>
      <c r="AT54" s="584"/>
      <c r="AU54" s="585">
        <f t="shared" si="21"/>
        <v>2044</v>
      </c>
      <c r="AV54" s="583"/>
      <c r="AW54" s="586"/>
      <c r="AX54" s="582">
        <f>ROUND(SUMIFS(Input[Other Uses],Input[Institution Name],H54),0)</f>
        <v>0</v>
      </c>
      <c r="AY54" s="583"/>
      <c r="AZ54" s="584"/>
      <c r="BA54" s="585">
        <f t="shared" si="22"/>
        <v>0</v>
      </c>
      <c r="BB54" s="583"/>
      <c r="BC54" s="584"/>
      <c r="BD54" s="582">
        <f t="shared" si="16"/>
        <v>145810319</v>
      </c>
      <c r="BE54" s="583"/>
      <c r="BF54" s="584"/>
      <c r="BG54" s="585">
        <f t="shared" si="23"/>
        <v>16426</v>
      </c>
      <c r="BH54" s="583"/>
      <c r="BI54" s="584"/>
      <c r="BJ54" s="17"/>
      <c r="BK54" s="17"/>
    </row>
    <row r="55" spans="1:63" ht="30" customHeight="1" x14ac:dyDescent="0.3">
      <c r="A55" s="17"/>
      <c r="B55" s="17"/>
      <c r="C55" s="17"/>
      <c r="D55" s="17"/>
      <c r="E55" s="17"/>
      <c r="F55" s="17"/>
      <c r="G55" s="17"/>
      <c r="H55" s="587" t="s">
        <v>27</v>
      </c>
      <c r="I55" s="588"/>
      <c r="J55" s="588"/>
      <c r="K55" s="588"/>
      <c r="L55" s="588"/>
      <c r="M55" s="588"/>
      <c r="N55" s="588"/>
      <c r="O55" s="588"/>
      <c r="P55" s="589"/>
      <c r="Q55" s="576">
        <f>SUMIFS('FTSE | FTFE'!$P$104:$P$139,'FTSE | FTFE'!$H$104:$H$139,H55)</f>
        <v>8860</v>
      </c>
      <c r="R55" s="574"/>
      <c r="S55" s="575"/>
      <c r="T55" s="652">
        <f>ROUND(SUMIFS(Input[Instruction Uses],Input[Institution Name],H55),0)</f>
        <v>71492189</v>
      </c>
      <c r="U55" s="653"/>
      <c r="V55" s="610"/>
      <c r="W55" s="598">
        <f t="shared" si="17"/>
        <v>8069</v>
      </c>
      <c r="X55" s="598"/>
      <c r="Y55" s="599"/>
      <c r="Z55" s="576">
        <f>ROUND(SUMIFS(Input[Research Uses],Input[Institution Name],H55),0)</f>
        <v>5227787</v>
      </c>
      <c r="AA55" s="574"/>
      <c r="AB55" s="577"/>
      <c r="AC55" s="598">
        <f t="shared" si="18"/>
        <v>590</v>
      </c>
      <c r="AD55" s="598"/>
      <c r="AE55" s="599"/>
      <c r="AF55" s="576">
        <f>ROUND(SUMIFS(Input[Academic Uses],Input[Institution Name],H55),0)</f>
        <v>20459739</v>
      </c>
      <c r="AG55" s="574"/>
      <c r="AH55" s="577"/>
      <c r="AI55" s="598">
        <f t="shared" si="19"/>
        <v>2309</v>
      </c>
      <c r="AJ55" s="598"/>
      <c r="AK55" s="599"/>
      <c r="AL55" s="576">
        <f>ROUND(SUMIFS(Input[Institutional Uses],Input[Institution Name],H55),0)</f>
        <v>35914237</v>
      </c>
      <c r="AM55" s="574"/>
      <c r="AN55" s="577"/>
      <c r="AO55" s="598">
        <f t="shared" si="20"/>
        <v>4054</v>
      </c>
      <c r="AP55" s="598"/>
      <c r="AQ55" s="599"/>
      <c r="AR55" s="576">
        <f>ROUND(SUMIFS(Input[Student Uses],Input[Institution Name],H55),0)</f>
        <v>12420270</v>
      </c>
      <c r="AS55" s="574"/>
      <c r="AT55" s="577"/>
      <c r="AU55" s="598">
        <f t="shared" si="21"/>
        <v>1402</v>
      </c>
      <c r="AV55" s="598"/>
      <c r="AW55" s="599"/>
      <c r="AX55" s="576">
        <f>ROUND(SUMIFS(Input[Other Uses],Input[Institution Name],H55),0)</f>
        <v>147200</v>
      </c>
      <c r="AY55" s="574"/>
      <c r="AZ55" s="577"/>
      <c r="BA55" s="598">
        <f t="shared" si="22"/>
        <v>17</v>
      </c>
      <c r="BB55" s="598"/>
      <c r="BC55" s="598"/>
      <c r="BD55" s="576">
        <f t="shared" si="16"/>
        <v>145661422</v>
      </c>
      <c r="BE55" s="574"/>
      <c r="BF55" s="577"/>
      <c r="BG55" s="598">
        <f t="shared" si="23"/>
        <v>16440</v>
      </c>
      <c r="BH55" s="598"/>
      <c r="BI55" s="598"/>
      <c r="BJ55" s="17"/>
      <c r="BK55" s="17"/>
    </row>
    <row r="56" spans="1:63" ht="30" customHeight="1" x14ac:dyDescent="0.3">
      <c r="A56" s="17"/>
      <c r="B56" s="17"/>
      <c r="C56" s="17"/>
      <c r="D56" s="17"/>
      <c r="E56" s="17"/>
      <c r="F56" s="17"/>
      <c r="G56" s="17"/>
      <c r="H56" s="579" t="s">
        <v>4</v>
      </c>
      <c r="I56" s="580"/>
      <c r="J56" s="580"/>
      <c r="K56" s="580"/>
      <c r="L56" s="580"/>
      <c r="M56" s="580"/>
      <c r="N56" s="580"/>
      <c r="O56" s="580"/>
      <c r="P56" s="581"/>
      <c r="Q56" s="582">
        <f>SUMIFS('FTSE | FTFE'!$P$104:$P$139,'FTSE | FTFE'!$H$104:$H$139,H56)</f>
        <v>63243</v>
      </c>
      <c r="R56" s="583"/>
      <c r="S56" s="586"/>
      <c r="T56" s="582">
        <f>ROUND(SUMIFS(Input[Instruction Uses],Input[Institution Name],H56),0)</f>
        <v>764872768</v>
      </c>
      <c r="U56" s="583"/>
      <c r="V56" s="584"/>
      <c r="W56" s="585">
        <f t="shared" si="17"/>
        <v>12094</v>
      </c>
      <c r="X56" s="583"/>
      <c r="Y56" s="586"/>
      <c r="Z56" s="582">
        <f>ROUND(SUMIFS(Input[Research Uses],Input[Institution Name],H56),0)</f>
        <v>315431290</v>
      </c>
      <c r="AA56" s="583"/>
      <c r="AB56" s="584"/>
      <c r="AC56" s="585">
        <f t="shared" si="18"/>
        <v>4988</v>
      </c>
      <c r="AD56" s="583"/>
      <c r="AE56" s="586"/>
      <c r="AF56" s="582">
        <f>ROUND(SUMIFS(Input[Academic Uses],Input[Institution Name],H56),0)</f>
        <v>372692576</v>
      </c>
      <c r="AG56" s="583"/>
      <c r="AH56" s="584"/>
      <c r="AI56" s="585">
        <f t="shared" si="19"/>
        <v>5893</v>
      </c>
      <c r="AJ56" s="583"/>
      <c r="AK56" s="586"/>
      <c r="AL56" s="582">
        <f>ROUND(SUMIFS(Input[Institutional Uses],Input[Institution Name],H56),0)</f>
        <v>131878007</v>
      </c>
      <c r="AM56" s="583"/>
      <c r="AN56" s="584"/>
      <c r="AO56" s="585">
        <f t="shared" si="20"/>
        <v>2085</v>
      </c>
      <c r="AP56" s="583"/>
      <c r="AQ56" s="586"/>
      <c r="AR56" s="582">
        <f>ROUND(SUMIFS(Input[Student Uses],Input[Institution Name],H56),0)</f>
        <v>111427926</v>
      </c>
      <c r="AS56" s="583"/>
      <c r="AT56" s="584"/>
      <c r="AU56" s="585">
        <f t="shared" si="21"/>
        <v>1762</v>
      </c>
      <c r="AV56" s="583"/>
      <c r="AW56" s="586"/>
      <c r="AX56" s="582">
        <f>ROUND(SUMIFS(Input[Other Uses],Input[Institution Name],H56),0)</f>
        <v>13412168</v>
      </c>
      <c r="AY56" s="583"/>
      <c r="AZ56" s="584"/>
      <c r="BA56" s="585">
        <f t="shared" si="22"/>
        <v>212</v>
      </c>
      <c r="BB56" s="583"/>
      <c r="BC56" s="584"/>
      <c r="BD56" s="582">
        <f t="shared" si="16"/>
        <v>1709714735</v>
      </c>
      <c r="BE56" s="583"/>
      <c r="BF56" s="584"/>
      <c r="BG56" s="585">
        <f t="shared" si="23"/>
        <v>27034</v>
      </c>
      <c r="BH56" s="583"/>
      <c r="BI56" s="584"/>
      <c r="BJ56" s="17"/>
      <c r="BK56" s="17"/>
    </row>
    <row r="57" spans="1:63" ht="30" customHeight="1" x14ac:dyDescent="0.3">
      <c r="A57" s="17"/>
      <c r="B57" s="17"/>
      <c r="C57" s="17"/>
      <c r="D57" s="17"/>
      <c r="E57" s="17"/>
      <c r="F57" s="17"/>
      <c r="G57" s="17"/>
      <c r="H57" s="587" t="s">
        <v>5</v>
      </c>
      <c r="I57" s="588"/>
      <c r="J57" s="588"/>
      <c r="K57" s="588"/>
      <c r="L57" s="588"/>
      <c r="M57" s="588"/>
      <c r="N57" s="588"/>
      <c r="O57" s="588"/>
      <c r="P57" s="589"/>
      <c r="Q57" s="576">
        <f>SUMIFS('FTSE | FTFE'!$P$104:$P$139,'FTSE | FTFE'!$H$104:$H$139,H57)</f>
        <v>1852</v>
      </c>
      <c r="R57" s="574"/>
      <c r="S57" s="575"/>
      <c r="T57" s="652">
        <f>ROUND(SUMIFS(Input[Instruction Uses],Input[Institution Name],H57),0)</f>
        <v>27809961</v>
      </c>
      <c r="U57" s="653"/>
      <c r="V57" s="610"/>
      <c r="W57" s="598">
        <f t="shared" si="17"/>
        <v>15016</v>
      </c>
      <c r="X57" s="598"/>
      <c r="Y57" s="599"/>
      <c r="Z57" s="576">
        <f>ROUND(SUMIFS(Input[Research Uses],Input[Institution Name],H57),0)</f>
        <v>14020819</v>
      </c>
      <c r="AA57" s="574"/>
      <c r="AB57" s="577"/>
      <c r="AC57" s="598">
        <f t="shared" si="18"/>
        <v>7571</v>
      </c>
      <c r="AD57" s="598"/>
      <c r="AE57" s="599"/>
      <c r="AF57" s="576">
        <f>ROUND(SUMIFS(Input[Academic Uses],Input[Institution Name],H57),0)</f>
        <v>6671276</v>
      </c>
      <c r="AG57" s="574"/>
      <c r="AH57" s="577"/>
      <c r="AI57" s="598">
        <f t="shared" si="19"/>
        <v>3602</v>
      </c>
      <c r="AJ57" s="598"/>
      <c r="AK57" s="599"/>
      <c r="AL57" s="576">
        <f>ROUND(SUMIFS(Input[Institutional Uses],Input[Institution Name],H57),0)</f>
        <v>8641203</v>
      </c>
      <c r="AM57" s="574"/>
      <c r="AN57" s="577"/>
      <c r="AO57" s="598">
        <f t="shared" si="20"/>
        <v>4666</v>
      </c>
      <c r="AP57" s="598"/>
      <c r="AQ57" s="599"/>
      <c r="AR57" s="576">
        <f>ROUND(SUMIFS(Input[Student Uses],Input[Institution Name],H57),0)</f>
        <v>4252370</v>
      </c>
      <c r="AS57" s="574"/>
      <c r="AT57" s="577"/>
      <c r="AU57" s="598">
        <f t="shared" si="21"/>
        <v>2296</v>
      </c>
      <c r="AV57" s="598"/>
      <c r="AW57" s="599"/>
      <c r="AX57" s="576">
        <f>ROUND(SUMIFS(Input[Other Uses],Input[Institution Name],H57),0)</f>
        <v>327756</v>
      </c>
      <c r="AY57" s="574"/>
      <c r="AZ57" s="577"/>
      <c r="BA57" s="598">
        <f t="shared" si="22"/>
        <v>177</v>
      </c>
      <c r="BB57" s="598"/>
      <c r="BC57" s="598"/>
      <c r="BD57" s="576">
        <f t="shared" si="16"/>
        <v>61723385</v>
      </c>
      <c r="BE57" s="574"/>
      <c r="BF57" s="577"/>
      <c r="BG57" s="598">
        <f t="shared" si="23"/>
        <v>33328</v>
      </c>
      <c r="BH57" s="598"/>
      <c r="BI57" s="598"/>
      <c r="BJ57" s="17"/>
      <c r="BK57" s="17"/>
    </row>
    <row r="58" spans="1:63" ht="30" customHeight="1" x14ac:dyDescent="0.3">
      <c r="A58" s="17"/>
      <c r="B58" s="17"/>
      <c r="C58" s="17"/>
      <c r="D58" s="17"/>
      <c r="E58" s="17"/>
      <c r="F58" s="17"/>
      <c r="G58" s="17"/>
      <c r="H58" s="579" t="s">
        <v>6</v>
      </c>
      <c r="I58" s="580"/>
      <c r="J58" s="580"/>
      <c r="K58" s="580"/>
      <c r="L58" s="580"/>
      <c r="M58" s="580"/>
      <c r="N58" s="580"/>
      <c r="O58" s="580"/>
      <c r="P58" s="581"/>
      <c r="Q58" s="582">
        <f>SUMIFS('FTSE | FTFE'!$P$104:$P$139,'FTSE | FTFE'!$H$104:$H$139,H58)</f>
        <v>8992</v>
      </c>
      <c r="R58" s="583"/>
      <c r="S58" s="586"/>
      <c r="T58" s="582">
        <f>ROUND(SUMIFS(Input[Instruction Uses],Input[Institution Name],H58),0)</f>
        <v>57835603</v>
      </c>
      <c r="U58" s="583"/>
      <c r="V58" s="584"/>
      <c r="W58" s="585">
        <f t="shared" si="17"/>
        <v>6432</v>
      </c>
      <c r="X58" s="583"/>
      <c r="Y58" s="586"/>
      <c r="Z58" s="582">
        <f>ROUND(SUMIFS(Input[Research Uses],Input[Institution Name],H58),0)</f>
        <v>40166731</v>
      </c>
      <c r="AA58" s="583"/>
      <c r="AB58" s="584"/>
      <c r="AC58" s="585">
        <f t="shared" si="18"/>
        <v>4467</v>
      </c>
      <c r="AD58" s="583"/>
      <c r="AE58" s="586"/>
      <c r="AF58" s="582">
        <f>ROUND(SUMIFS(Input[Academic Uses],Input[Institution Name],H58),0)</f>
        <v>35880234</v>
      </c>
      <c r="AG58" s="583"/>
      <c r="AH58" s="584"/>
      <c r="AI58" s="585">
        <f t="shared" si="19"/>
        <v>3990</v>
      </c>
      <c r="AJ58" s="583"/>
      <c r="AK58" s="586"/>
      <c r="AL58" s="582">
        <f>ROUND(SUMIFS(Input[Institutional Uses],Input[Institution Name],H58),0)</f>
        <v>37763770</v>
      </c>
      <c r="AM58" s="583"/>
      <c r="AN58" s="584"/>
      <c r="AO58" s="585">
        <f t="shared" si="20"/>
        <v>4200</v>
      </c>
      <c r="AP58" s="583"/>
      <c r="AQ58" s="586"/>
      <c r="AR58" s="582">
        <f>ROUND(SUMIFS(Input[Student Uses],Input[Institution Name],H58),0)</f>
        <v>26492453</v>
      </c>
      <c r="AS58" s="583"/>
      <c r="AT58" s="584"/>
      <c r="AU58" s="585">
        <f t="shared" si="21"/>
        <v>2946</v>
      </c>
      <c r="AV58" s="583"/>
      <c r="AW58" s="586"/>
      <c r="AX58" s="582">
        <f>ROUND(SUMIFS(Input[Other Uses],Input[Institution Name],H58),0)</f>
        <v>1172389</v>
      </c>
      <c r="AY58" s="583"/>
      <c r="AZ58" s="584"/>
      <c r="BA58" s="585">
        <f t="shared" si="22"/>
        <v>130</v>
      </c>
      <c r="BB58" s="583"/>
      <c r="BC58" s="584"/>
      <c r="BD58" s="582">
        <f t="shared" si="16"/>
        <v>199311180</v>
      </c>
      <c r="BE58" s="583"/>
      <c r="BF58" s="584"/>
      <c r="BG58" s="585">
        <f t="shared" si="23"/>
        <v>22165</v>
      </c>
      <c r="BH58" s="583"/>
      <c r="BI58" s="584"/>
      <c r="BJ58" s="17"/>
      <c r="BK58" s="17"/>
    </row>
    <row r="59" spans="1:63" ht="30" customHeight="1" x14ac:dyDescent="0.3">
      <c r="A59" s="17"/>
      <c r="B59" s="17"/>
      <c r="C59" s="17"/>
      <c r="D59" s="17"/>
      <c r="E59" s="17"/>
      <c r="F59" s="17"/>
      <c r="G59" s="17"/>
      <c r="H59" s="587" t="s">
        <v>7</v>
      </c>
      <c r="I59" s="588"/>
      <c r="J59" s="588"/>
      <c r="K59" s="588"/>
      <c r="L59" s="588"/>
      <c r="M59" s="588"/>
      <c r="N59" s="588"/>
      <c r="O59" s="588"/>
      <c r="P59" s="589"/>
      <c r="Q59" s="576">
        <f>SUMIFS('FTSE | FTFE'!$P$104:$P$139,'FTSE | FTFE'!$H$104:$H$139,H59)</f>
        <v>13369</v>
      </c>
      <c r="R59" s="574"/>
      <c r="S59" s="575"/>
      <c r="T59" s="652">
        <f>ROUND(SUMIFS(Input[Instruction Uses],Input[Institution Name],H59),0)</f>
        <v>64424237</v>
      </c>
      <c r="U59" s="653"/>
      <c r="V59" s="610"/>
      <c r="W59" s="598">
        <f t="shared" si="17"/>
        <v>4819</v>
      </c>
      <c r="X59" s="598"/>
      <c r="Y59" s="599"/>
      <c r="Z59" s="576">
        <f>ROUND(SUMIFS(Input[Research Uses],Input[Institution Name],H59),0)</f>
        <v>23154385</v>
      </c>
      <c r="AA59" s="574"/>
      <c r="AB59" s="577"/>
      <c r="AC59" s="598">
        <f t="shared" si="18"/>
        <v>1732</v>
      </c>
      <c r="AD59" s="598"/>
      <c r="AE59" s="599"/>
      <c r="AF59" s="576">
        <f>ROUND(SUMIFS(Input[Academic Uses],Input[Institution Name],H59),0)</f>
        <v>29878225</v>
      </c>
      <c r="AG59" s="574"/>
      <c r="AH59" s="577"/>
      <c r="AI59" s="598">
        <f t="shared" si="19"/>
        <v>2235</v>
      </c>
      <c r="AJ59" s="598"/>
      <c r="AK59" s="599"/>
      <c r="AL59" s="576">
        <f>ROUND(SUMIFS(Input[Institutional Uses],Input[Institution Name],H59),0)</f>
        <v>30513146</v>
      </c>
      <c r="AM59" s="574"/>
      <c r="AN59" s="577"/>
      <c r="AO59" s="598">
        <f t="shared" si="20"/>
        <v>2282</v>
      </c>
      <c r="AP59" s="598"/>
      <c r="AQ59" s="599"/>
      <c r="AR59" s="576">
        <f>ROUND(SUMIFS(Input[Student Uses],Input[Institution Name],H59),0)</f>
        <v>25459037</v>
      </c>
      <c r="AS59" s="574"/>
      <c r="AT59" s="577"/>
      <c r="AU59" s="598">
        <f t="shared" si="21"/>
        <v>1904</v>
      </c>
      <c r="AV59" s="598"/>
      <c r="AW59" s="599"/>
      <c r="AX59" s="576">
        <f>ROUND(SUMIFS(Input[Other Uses],Input[Institution Name],H59),0)</f>
        <v>2222412</v>
      </c>
      <c r="AY59" s="574"/>
      <c r="AZ59" s="577"/>
      <c r="BA59" s="598">
        <f t="shared" si="22"/>
        <v>166</v>
      </c>
      <c r="BB59" s="598"/>
      <c r="BC59" s="598"/>
      <c r="BD59" s="576">
        <f t="shared" si="16"/>
        <v>175651442</v>
      </c>
      <c r="BE59" s="574"/>
      <c r="BF59" s="577"/>
      <c r="BG59" s="598">
        <f t="shared" si="23"/>
        <v>13139</v>
      </c>
      <c r="BH59" s="598"/>
      <c r="BI59" s="598"/>
      <c r="BJ59" s="17"/>
      <c r="BK59" s="17"/>
    </row>
    <row r="60" spans="1:63" ht="30" customHeight="1" x14ac:dyDescent="0.3">
      <c r="A60" s="17"/>
      <c r="B60" s="17"/>
      <c r="C60" s="17"/>
      <c r="D60" s="17"/>
      <c r="E60" s="17"/>
      <c r="F60" s="17"/>
      <c r="G60" s="17"/>
      <c r="H60" s="579" t="s">
        <v>14</v>
      </c>
      <c r="I60" s="580"/>
      <c r="J60" s="580"/>
      <c r="K60" s="580"/>
      <c r="L60" s="580"/>
      <c r="M60" s="580"/>
      <c r="N60" s="580"/>
      <c r="O60" s="580"/>
      <c r="P60" s="581"/>
      <c r="Q60" s="582">
        <f>SUMIFS('FTSE | FTFE'!$P$104:$P$139,'FTSE | FTFE'!$H$104:$H$139,H60)</f>
        <v>1811</v>
      </c>
      <c r="R60" s="583"/>
      <c r="S60" s="586"/>
      <c r="T60" s="582">
        <f>ROUND(SUMIFS(Input[Instruction Uses],Input[Institution Name],H60),0)</f>
        <v>15322360</v>
      </c>
      <c r="U60" s="583"/>
      <c r="V60" s="584"/>
      <c r="W60" s="585">
        <f t="shared" si="17"/>
        <v>8461</v>
      </c>
      <c r="X60" s="583"/>
      <c r="Y60" s="586"/>
      <c r="Z60" s="582">
        <f>ROUND(SUMIFS(Input[Research Uses],Input[Institution Name],H60),0)</f>
        <v>1881512</v>
      </c>
      <c r="AA60" s="583"/>
      <c r="AB60" s="584"/>
      <c r="AC60" s="585">
        <f t="shared" si="18"/>
        <v>1039</v>
      </c>
      <c r="AD60" s="583"/>
      <c r="AE60" s="586"/>
      <c r="AF60" s="582">
        <f>ROUND(SUMIFS(Input[Academic Uses],Input[Institution Name],H60),0)</f>
        <v>8562677</v>
      </c>
      <c r="AG60" s="583"/>
      <c r="AH60" s="584"/>
      <c r="AI60" s="585">
        <f t="shared" si="19"/>
        <v>4728</v>
      </c>
      <c r="AJ60" s="583"/>
      <c r="AK60" s="586"/>
      <c r="AL60" s="582">
        <f>ROUND(SUMIFS(Input[Institutional Uses],Input[Institution Name],H60),0)</f>
        <v>6204505</v>
      </c>
      <c r="AM60" s="583"/>
      <c r="AN60" s="584"/>
      <c r="AO60" s="585">
        <f t="shared" si="20"/>
        <v>3426</v>
      </c>
      <c r="AP60" s="583"/>
      <c r="AQ60" s="586"/>
      <c r="AR60" s="582">
        <f>ROUND(SUMIFS(Input[Student Uses],Input[Institution Name],H60),0)</f>
        <v>8907973</v>
      </c>
      <c r="AS60" s="583"/>
      <c r="AT60" s="584"/>
      <c r="AU60" s="585">
        <f t="shared" si="21"/>
        <v>4919</v>
      </c>
      <c r="AV60" s="583"/>
      <c r="AW60" s="586"/>
      <c r="AX60" s="582">
        <f>ROUND(SUMIFS(Input[Other Uses],Input[Institution Name],H60),0)</f>
        <v>80686</v>
      </c>
      <c r="AY60" s="583"/>
      <c r="AZ60" s="584"/>
      <c r="BA60" s="585">
        <f t="shared" si="22"/>
        <v>45</v>
      </c>
      <c r="BB60" s="583"/>
      <c r="BC60" s="584"/>
      <c r="BD60" s="582">
        <f t="shared" si="16"/>
        <v>40959713</v>
      </c>
      <c r="BE60" s="583"/>
      <c r="BF60" s="584"/>
      <c r="BG60" s="585">
        <f t="shared" si="23"/>
        <v>22617</v>
      </c>
      <c r="BH60" s="583"/>
      <c r="BI60" s="584"/>
      <c r="BJ60" s="17"/>
      <c r="BK60" s="17"/>
    </row>
    <row r="61" spans="1:63" ht="30" customHeight="1" x14ac:dyDescent="0.3">
      <c r="A61" s="17"/>
      <c r="B61" s="17"/>
      <c r="C61" s="17"/>
      <c r="D61" s="17"/>
      <c r="E61" s="17"/>
      <c r="F61" s="17"/>
      <c r="G61" s="17"/>
      <c r="H61" s="587" t="s">
        <v>8</v>
      </c>
      <c r="I61" s="588"/>
      <c r="J61" s="588"/>
      <c r="K61" s="588"/>
      <c r="L61" s="588"/>
      <c r="M61" s="588"/>
      <c r="N61" s="588"/>
      <c r="O61" s="588"/>
      <c r="P61" s="589"/>
      <c r="Q61" s="576">
        <f>SUMIFS('FTSE | FTFE'!$P$104:$P$139,'FTSE | FTFE'!$H$104:$H$139,H61)</f>
        <v>9531</v>
      </c>
      <c r="R61" s="574"/>
      <c r="S61" s="575"/>
      <c r="T61" s="652">
        <f>ROUND(SUMIFS(Input[Instruction Uses],Input[Institution Name],H61),0)</f>
        <v>68630742</v>
      </c>
      <c r="U61" s="653"/>
      <c r="V61" s="610"/>
      <c r="W61" s="598">
        <f t="shared" si="17"/>
        <v>7201</v>
      </c>
      <c r="X61" s="598"/>
      <c r="Y61" s="599"/>
      <c r="Z61" s="576">
        <f>ROUND(SUMIFS(Input[Research Uses],Input[Institution Name],H61),0)</f>
        <v>43823665</v>
      </c>
      <c r="AA61" s="574"/>
      <c r="AB61" s="577"/>
      <c r="AC61" s="598">
        <f t="shared" si="18"/>
        <v>4598</v>
      </c>
      <c r="AD61" s="598"/>
      <c r="AE61" s="599"/>
      <c r="AF61" s="576">
        <f>ROUND(SUMIFS(Input[Academic Uses],Input[Institution Name],H61),0)</f>
        <v>33808353</v>
      </c>
      <c r="AG61" s="574"/>
      <c r="AH61" s="577"/>
      <c r="AI61" s="598">
        <f t="shared" si="19"/>
        <v>3547</v>
      </c>
      <c r="AJ61" s="598"/>
      <c r="AK61" s="599"/>
      <c r="AL61" s="576">
        <f>ROUND(SUMIFS(Input[Institutional Uses],Input[Institution Name],H61),0)</f>
        <v>21421044</v>
      </c>
      <c r="AM61" s="574"/>
      <c r="AN61" s="577"/>
      <c r="AO61" s="598">
        <f t="shared" si="20"/>
        <v>2248</v>
      </c>
      <c r="AP61" s="598"/>
      <c r="AQ61" s="599"/>
      <c r="AR61" s="576">
        <f>ROUND(SUMIFS(Input[Student Uses],Input[Institution Name],H61),0)</f>
        <v>14604422</v>
      </c>
      <c r="AS61" s="574"/>
      <c r="AT61" s="577"/>
      <c r="AU61" s="598">
        <f t="shared" si="21"/>
        <v>1532</v>
      </c>
      <c r="AV61" s="598"/>
      <c r="AW61" s="599"/>
      <c r="AX61" s="576">
        <f>ROUND(SUMIFS(Input[Other Uses],Input[Institution Name],H61),0)</f>
        <v>5619967</v>
      </c>
      <c r="AY61" s="574"/>
      <c r="AZ61" s="577"/>
      <c r="BA61" s="598">
        <f t="shared" si="22"/>
        <v>590</v>
      </c>
      <c r="BB61" s="598"/>
      <c r="BC61" s="598"/>
      <c r="BD61" s="576">
        <f t="shared" si="16"/>
        <v>187908193</v>
      </c>
      <c r="BE61" s="574"/>
      <c r="BF61" s="577"/>
      <c r="BG61" s="598">
        <f t="shared" si="23"/>
        <v>19715</v>
      </c>
      <c r="BH61" s="598"/>
      <c r="BI61" s="598"/>
      <c r="BJ61" s="17"/>
      <c r="BK61" s="17"/>
    </row>
    <row r="62" spans="1:63" ht="30" customHeight="1" x14ac:dyDescent="0.3">
      <c r="A62" s="17"/>
      <c r="B62" s="17"/>
      <c r="C62" s="17"/>
      <c r="D62" s="17"/>
      <c r="E62" s="17"/>
      <c r="F62" s="17"/>
      <c r="G62" s="17"/>
      <c r="H62" s="579" t="s">
        <v>9</v>
      </c>
      <c r="I62" s="580"/>
      <c r="J62" s="580"/>
      <c r="K62" s="580"/>
      <c r="L62" s="580"/>
      <c r="M62" s="580"/>
      <c r="N62" s="580"/>
      <c r="O62" s="580"/>
      <c r="P62" s="581"/>
      <c r="Q62" s="582">
        <f>SUMIFS('FTSE | FTFE'!$P$104:$P$139,'FTSE | FTFE'!$H$104:$H$139,H62)</f>
        <v>5640</v>
      </c>
      <c r="R62" s="583"/>
      <c r="S62" s="586"/>
      <c r="T62" s="582">
        <f>ROUND(SUMIFS(Input[Instruction Uses],Input[Institution Name],H62),0)</f>
        <v>43323510</v>
      </c>
      <c r="U62" s="583"/>
      <c r="V62" s="584"/>
      <c r="W62" s="585">
        <f t="shared" si="17"/>
        <v>7681</v>
      </c>
      <c r="X62" s="583"/>
      <c r="Y62" s="586"/>
      <c r="Z62" s="582">
        <f>ROUND(SUMIFS(Input[Research Uses],Input[Institution Name],H62),0)</f>
        <v>32457980</v>
      </c>
      <c r="AA62" s="583"/>
      <c r="AB62" s="584"/>
      <c r="AC62" s="585">
        <f t="shared" si="18"/>
        <v>5755</v>
      </c>
      <c r="AD62" s="583"/>
      <c r="AE62" s="586"/>
      <c r="AF62" s="582">
        <f>ROUND(SUMIFS(Input[Academic Uses],Input[Institution Name],H62),0)</f>
        <v>18031878</v>
      </c>
      <c r="AG62" s="583"/>
      <c r="AH62" s="584"/>
      <c r="AI62" s="585">
        <f t="shared" si="19"/>
        <v>3197</v>
      </c>
      <c r="AJ62" s="583"/>
      <c r="AK62" s="586"/>
      <c r="AL62" s="582">
        <f>ROUND(SUMIFS(Input[Institutional Uses],Input[Institution Name],H62),0)</f>
        <v>15667085</v>
      </c>
      <c r="AM62" s="583"/>
      <c r="AN62" s="584"/>
      <c r="AO62" s="585">
        <f t="shared" si="20"/>
        <v>2778</v>
      </c>
      <c r="AP62" s="583"/>
      <c r="AQ62" s="586"/>
      <c r="AR62" s="582">
        <f>ROUND(SUMIFS(Input[Student Uses],Input[Institution Name],H62),0)</f>
        <v>18355051</v>
      </c>
      <c r="AS62" s="583"/>
      <c r="AT62" s="584"/>
      <c r="AU62" s="585">
        <f t="shared" si="21"/>
        <v>3254</v>
      </c>
      <c r="AV62" s="583"/>
      <c r="AW62" s="586"/>
      <c r="AX62" s="582">
        <f>ROUND(SUMIFS(Input[Other Uses],Input[Institution Name],H62),0)</f>
        <v>1530236</v>
      </c>
      <c r="AY62" s="583"/>
      <c r="AZ62" s="584"/>
      <c r="BA62" s="585">
        <f t="shared" si="22"/>
        <v>271</v>
      </c>
      <c r="BB62" s="583"/>
      <c r="BC62" s="584"/>
      <c r="BD62" s="582">
        <f t="shared" si="16"/>
        <v>129365740</v>
      </c>
      <c r="BE62" s="583"/>
      <c r="BF62" s="584"/>
      <c r="BG62" s="585">
        <f t="shared" si="23"/>
        <v>22937</v>
      </c>
      <c r="BH62" s="583"/>
      <c r="BI62" s="584"/>
      <c r="BJ62" s="17"/>
      <c r="BK62" s="17"/>
    </row>
    <row r="63" spans="1:63" ht="30" customHeight="1" x14ac:dyDescent="0.3">
      <c r="A63" s="17"/>
      <c r="B63" s="17"/>
      <c r="C63" s="17"/>
      <c r="D63" s="17"/>
      <c r="E63" s="17"/>
      <c r="F63" s="17"/>
      <c r="G63" s="17"/>
      <c r="H63" s="587" t="s">
        <v>15</v>
      </c>
      <c r="I63" s="588"/>
      <c r="J63" s="588"/>
      <c r="K63" s="588"/>
      <c r="L63" s="588"/>
      <c r="M63" s="588"/>
      <c r="N63" s="588"/>
      <c r="O63" s="588"/>
      <c r="P63" s="589"/>
      <c r="Q63" s="576">
        <f>SUMIFS('FTSE | FTFE'!$P$104:$P$139,'FTSE | FTFE'!$H$104:$H$139,H63)</f>
        <v>5683</v>
      </c>
      <c r="R63" s="574"/>
      <c r="S63" s="575"/>
      <c r="T63" s="652">
        <f>ROUND(SUMIFS(Input[Instruction Uses],Input[Institution Name],H63),0)</f>
        <v>32528799</v>
      </c>
      <c r="U63" s="653"/>
      <c r="V63" s="610"/>
      <c r="W63" s="598">
        <f t="shared" si="17"/>
        <v>5724</v>
      </c>
      <c r="X63" s="598"/>
      <c r="Y63" s="599"/>
      <c r="Z63" s="576">
        <f>ROUND(SUMIFS(Input[Research Uses],Input[Institution Name],H63),0)</f>
        <v>4727734</v>
      </c>
      <c r="AA63" s="574"/>
      <c r="AB63" s="577"/>
      <c r="AC63" s="598">
        <f t="shared" si="18"/>
        <v>832</v>
      </c>
      <c r="AD63" s="598"/>
      <c r="AE63" s="599"/>
      <c r="AF63" s="576">
        <f>ROUND(SUMIFS(Input[Academic Uses],Input[Institution Name],H63),0)</f>
        <v>13768928</v>
      </c>
      <c r="AG63" s="574"/>
      <c r="AH63" s="577"/>
      <c r="AI63" s="598">
        <f t="shared" si="19"/>
        <v>2423</v>
      </c>
      <c r="AJ63" s="598"/>
      <c r="AK63" s="599"/>
      <c r="AL63" s="576">
        <f>ROUND(SUMIFS(Input[Institutional Uses],Input[Institution Name],H63),0)</f>
        <v>12392065</v>
      </c>
      <c r="AM63" s="574"/>
      <c r="AN63" s="577"/>
      <c r="AO63" s="598">
        <f t="shared" si="20"/>
        <v>2181</v>
      </c>
      <c r="AP63" s="598"/>
      <c r="AQ63" s="599"/>
      <c r="AR63" s="576">
        <f>ROUND(SUMIFS(Input[Student Uses],Input[Institution Name],H63),0)</f>
        <v>21682485</v>
      </c>
      <c r="AS63" s="574"/>
      <c r="AT63" s="577"/>
      <c r="AU63" s="598">
        <f t="shared" si="21"/>
        <v>3815</v>
      </c>
      <c r="AV63" s="598"/>
      <c r="AW63" s="599"/>
      <c r="AX63" s="576">
        <f>ROUND(SUMIFS(Input[Other Uses],Input[Institution Name],H63),0)</f>
        <v>1183539</v>
      </c>
      <c r="AY63" s="574"/>
      <c r="AZ63" s="577"/>
      <c r="BA63" s="598">
        <f t="shared" si="22"/>
        <v>208</v>
      </c>
      <c r="BB63" s="598"/>
      <c r="BC63" s="598"/>
      <c r="BD63" s="576">
        <f t="shared" si="16"/>
        <v>86283550</v>
      </c>
      <c r="BE63" s="574"/>
      <c r="BF63" s="577"/>
      <c r="BG63" s="598">
        <f t="shared" si="23"/>
        <v>15183</v>
      </c>
      <c r="BH63" s="598"/>
      <c r="BI63" s="598"/>
      <c r="BJ63" s="17"/>
      <c r="BK63" s="17"/>
    </row>
    <row r="64" spans="1:63" ht="30" customHeight="1" x14ac:dyDescent="0.3">
      <c r="A64" s="17"/>
      <c r="B64" s="17"/>
      <c r="C64" s="17"/>
      <c r="D64" s="17"/>
      <c r="E64" s="17"/>
      <c r="F64" s="17"/>
      <c r="G64" s="17"/>
      <c r="H64" s="579" t="s">
        <v>10</v>
      </c>
      <c r="I64" s="580"/>
      <c r="J64" s="580"/>
      <c r="K64" s="580"/>
      <c r="L64" s="580"/>
      <c r="M64" s="580"/>
      <c r="N64" s="580"/>
      <c r="O64" s="580"/>
      <c r="P64" s="581"/>
      <c r="Q64" s="582">
        <f>SUMIFS('FTSE | FTFE'!$P$104:$P$139,'FTSE | FTFE'!$H$104:$H$139,H64)</f>
        <v>7562</v>
      </c>
      <c r="R64" s="583"/>
      <c r="S64" s="586"/>
      <c r="T64" s="582">
        <f>ROUND(SUMIFS(Input[Instruction Uses],Input[Institution Name],H64),0)</f>
        <v>40653281</v>
      </c>
      <c r="U64" s="583"/>
      <c r="V64" s="584"/>
      <c r="W64" s="585">
        <f t="shared" si="17"/>
        <v>5376</v>
      </c>
      <c r="X64" s="583"/>
      <c r="Y64" s="586"/>
      <c r="Z64" s="582">
        <f>ROUND(SUMIFS(Input[Research Uses],Input[Institution Name],H64),0)</f>
        <v>8717681</v>
      </c>
      <c r="AA64" s="583"/>
      <c r="AB64" s="584"/>
      <c r="AC64" s="585">
        <f t="shared" si="18"/>
        <v>1153</v>
      </c>
      <c r="AD64" s="583"/>
      <c r="AE64" s="586"/>
      <c r="AF64" s="582">
        <f>ROUND(SUMIFS(Input[Academic Uses],Input[Institution Name],H64),0)</f>
        <v>26906889</v>
      </c>
      <c r="AG64" s="583"/>
      <c r="AH64" s="584"/>
      <c r="AI64" s="585">
        <f t="shared" si="19"/>
        <v>3558</v>
      </c>
      <c r="AJ64" s="583"/>
      <c r="AK64" s="586"/>
      <c r="AL64" s="582">
        <f>ROUND(SUMIFS(Input[Institutional Uses],Input[Institution Name],H64),0)</f>
        <v>10751812</v>
      </c>
      <c r="AM64" s="583"/>
      <c r="AN64" s="584"/>
      <c r="AO64" s="585">
        <f t="shared" si="20"/>
        <v>1422</v>
      </c>
      <c r="AP64" s="583"/>
      <c r="AQ64" s="586"/>
      <c r="AR64" s="582">
        <f>ROUND(SUMIFS(Input[Student Uses],Input[Institution Name],H64),0)</f>
        <v>16429118</v>
      </c>
      <c r="AS64" s="583"/>
      <c r="AT64" s="584"/>
      <c r="AU64" s="585">
        <f t="shared" si="21"/>
        <v>2173</v>
      </c>
      <c r="AV64" s="583"/>
      <c r="AW64" s="586"/>
      <c r="AX64" s="582">
        <f>ROUND(SUMIFS(Input[Other Uses],Input[Institution Name],H64),0)</f>
        <v>56460599</v>
      </c>
      <c r="AY64" s="583"/>
      <c r="AZ64" s="584"/>
      <c r="BA64" s="585">
        <f t="shared" si="22"/>
        <v>7466</v>
      </c>
      <c r="BB64" s="583"/>
      <c r="BC64" s="584"/>
      <c r="BD64" s="582">
        <f t="shared" si="16"/>
        <v>159919380</v>
      </c>
      <c r="BE64" s="583"/>
      <c r="BF64" s="584"/>
      <c r="BG64" s="585">
        <f t="shared" si="23"/>
        <v>21148</v>
      </c>
      <c r="BH64" s="583"/>
      <c r="BI64" s="584"/>
      <c r="BJ64" s="17"/>
      <c r="BK64" s="17"/>
    </row>
    <row r="65" spans="1:63" ht="30" customHeight="1" x14ac:dyDescent="0.3">
      <c r="A65" s="17"/>
      <c r="B65" s="17"/>
      <c r="C65" s="17"/>
      <c r="D65" s="17"/>
      <c r="E65" s="17"/>
      <c r="F65" s="17"/>
      <c r="G65" s="17"/>
      <c r="H65" s="587" t="s">
        <v>12</v>
      </c>
      <c r="I65" s="588"/>
      <c r="J65" s="588"/>
      <c r="K65" s="588"/>
      <c r="L65" s="588"/>
      <c r="M65" s="588"/>
      <c r="N65" s="588"/>
      <c r="O65" s="588"/>
      <c r="P65" s="589"/>
      <c r="Q65" s="576">
        <f>SUMIFS('FTSE | FTFE'!$P$104:$P$139,'FTSE | FTFE'!$H$104:$H$139,H65)</f>
        <v>10094</v>
      </c>
      <c r="R65" s="574"/>
      <c r="S65" s="575"/>
      <c r="T65" s="652">
        <f>ROUND(SUMIFS(Input[Instruction Uses],Input[Institution Name],H65),0)</f>
        <v>59949344</v>
      </c>
      <c r="U65" s="653"/>
      <c r="V65" s="610"/>
      <c r="W65" s="598">
        <f t="shared" si="17"/>
        <v>5939</v>
      </c>
      <c r="X65" s="598"/>
      <c r="Y65" s="599"/>
      <c r="Z65" s="576">
        <f>ROUND(SUMIFS(Input[Research Uses],Input[Institution Name],H65),0)</f>
        <v>6529372</v>
      </c>
      <c r="AA65" s="574"/>
      <c r="AB65" s="577"/>
      <c r="AC65" s="598">
        <f t="shared" si="18"/>
        <v>647</v>
      </c>
      <c r="AD65" s="598"/>
      <c r="AE65" s="599"/>
      <c r="AF65" s="576">
        <f>ROUND(SUMIFS(Input[Academic Uses],Input[Institution Name],H65),0)</f>
        <v>17844594</v>
      </c>
      <c r="AG65" s="574"/>
      <c r="AH65" s="577"/>
      <c r="AI65" s="598">
        <f t="shared" si="19"/>
        <v>1768</v>
      </c>
      <c r="AJ65" s="598"/>
      <c r="AK65" s="599"/>
      <c r="AL65" s="576">
        <f>ROUND(SUMIFS(Input[Institutional Uses],Input[Institution Name],H65),0)</f>
        <v>17994343</v>
      </c>
      <c r="AM65" s="574"/>
      <c r="AN65" s="577"/>
      <c r="AO65" s="598">
        <f t="shared" si="20"/>
        <v>1783</v>
      </c>
      <c r="AP65" s="598"/>
      <c r="AQ65" s="599"/>
      <c r="AR65" s="576">
        <f>ROUND(SUMIFS(Input[Student Uses],Input[Institution Name],H65),0)</f>
        <v>23119743</v>
      </c>
      <c r="AS65" s="574"/>
      <c r="AT65" s="577"/>
      <c r="AU65" s="598">
        <f t="shared" si="21"/>
        <v>2290</v>
      </c>
      <c r="AV65" s="598"/>
      <c r="AW65" s="599"/>
      <c r="AX65" s="576">
        <f>ROUND(SUMIFS(Input[Other Uses],Input[Institution Name],H65),0)</f>
        <v>6652407</v>
      </c>
      <c r="AY65" s="574"/>
      <c r="AZ65" s="577"/>
      <c r="BA65" s="598">
        <f t="shared" si="22"/>
        <v>659</v>
      </c>
      <c r="BB65" s="598"/>
      <c r="BC65" s="598"/>
      <c r="BD65" s="576">
        <f t="shared" si="16"/>
        <v>132089803</v>
      </c>
      <c r="BE65" s="574"/>
      <c r="BF65" s="577"/>
      <c r="BG65" s="598">
        <f t="shared" si="23"/>
        <v>13086</v>
      </c>
      <c r="BH65" s="598"/>
      <c r="BI65" s="598"/>
      <c r="BJ65" s="17"/>
      <c r="BK65" s="17"/>
    </row>
    <row r="66" spans="1:63" ht="30" customHeight="1" x14ac:dyDescent="0.3">
      <c r="A66" s="17"/>
      <c r="B66" s="17"/>
      <c r="C66" s="17"/>
      <c r="D66" s="17"/>
      <c r="E66" s="17"/>
      <c r="F66" s="17"/>
      <c r="G66" s="17"/>
      <c r="H66" s="579" t="s">
        <v>11</v>
      </c>
      <c r="I66" s="580"/>
      <c r="J66" s="580"/>
      <c r="K66" s="580"/>
      <c r="L66" s="580"/>
      <c r="M66" s="580"/>
      <c r="N66" s="580"/>
      <c r="O66" s="580"/>
      <c r="P66" s="581"/>
      <c r="Q66" s="582">
        <f>SUMIFS('FTSE | FTFE'!$P$104:$P$139,'FTSE | FTFE'!$H$104:$H$139,H66)</f>
        <v>7338</v>
      </c>
      <c r="R66" s="583"/>
      <c r="S66" s="586"/>
      <c r="T66" s="582">
        <f>ROUND(SUMIFS(Input[Instruction Uses],Input[Institution Name],H66),0)</f>
        <v>44941454</v>
      </c>
      <c r="U66" s="583"/>
      <c r="V66" s="584"/>
      <c r="W66" s="585">
        <f t="shared" si="17"/>
        <v>6124</v>
      </c>
      <c r="X66" s="583"/>
      <c r="Y66" s="586"/>
      <c r="Z66" s="582">
        <f>ROUND(SUMIFS(Input[Research Uses],Input[Institution Name],H66),0)</f>
        <v>12374745</v>
      </c>
      <c r="AA66" s="583"/>
      <c r="AB66" s="584"/>
      <c r="AC66" s="585">
        <f t="shared" si="18"/>
        <v>1686</v>
      </c>
      <c r="AD66" s="583"/>
      <c r="AE66" s="586"/>
      <c r="AF66" s="582">
        <f>ROUND(SUMIFS(Input[Academic Uses],Input[Institution Name],H66),0)</f>
        <v>21639975</v>
      </c>
      <c r="AG66" s="583"/>
      <c r="AH66" s="584"/>
      <c r="AI66" s="585">
        <f t="shared" si="19"/>
        <v>2949</v>
      </c>
      <c r="AJ66" s="583"/>
      <c r="AK66" s="586"/>
      <c r="AL66" s="582">
        <f>ROUND(SUMIFS(Input[Institutional Uses],Input[Institution Name],H66),0)</f>
        <v>15279915</v>
      </c>
      <c r="AM66" s="583"/>
      <c r="AN66" s="584"/>
      <c r="AO66" s="585">
        <f t="shared" si="20"/>
        <v>2082</v>
      </c>
      <c r="AP66" s="583"/>
      <c r="AQ66" s="586"/>
      <c r="AR66" s="582">
        <f>ROUND(SUMIFS(Input[Student Uses],Input[Institution Name],H66),0)</f>
        <v>12008648</v>
      </c>
      <c r="AS66" s="583"/>
      <c r="AT66" s="584"/>
      <c r="AU66" s="585">
        <f t="shared" si="21"/>
        <v>1637</v>
      </c>
      <c r="AV66" s="583"/>
      <c r="AW66" s="586"/>
      <c r="AX66" s="582">
        <f>ROUND(SUMIFS(Input[Other Uses],Input[Institution Name],H66),0)</f>
        <v>13092593</v>
      </c>
      <c r="AY66" s="583"/>
      <c r="AZ66" s="584"/>
      <c r="BA66" s="585">
        <f t="shared" si="22"/>
        <v>1784</v>
      </c>
      <c r="BB66" s="583"/>
      <c r="BC66" s="584"/>
      <c r="BD66" s="582">
        <f t="shared" si="16"/>
        <v>119337330</v>
      </c>
      <c r="BE66" s="583"/>
      <c r="BF66" s="584"/>
      <c r="BG66" s="585">
        <f t="shared" si="23"/>
        <v>16263</v>
      </c>
      <c r="BH66" s="583"/>
      <c r="BI66" s="584"/>
      <c r="BJ66" s="17"/>
      <c r="BK66" s="17"/>
    </row>
    <row r="67" spans="1:63" ht="30" customHeight="1" x14ac:dyDescent="0.3">
      <c r="A67" s="17"/>
      <c r="B67" s="17"/>
      <c r="C67" s="17"/>
      <c r="D67" s="17"/>
      <c r="E67" s="17"/>
      <c r="F67" s="17"/>
      <c r="G67" s="17"/>
      <c r="H67" s="587" t="s">
        <v>13</v>
      </c>
      <c r="I67" s="588"/>
      <c r="J67" s="588"/>
      <c r="K67" s="588"/>
      <c r="L67" s="588"/>
      <c r="M67" s="588"/>
      <c r="N67" s="588"/>
      <c r="O67" s="588"/>
      <c r="P67" s="589"/>
      <c r="Q67" s="576">
        <f>SUMIFS('FTSE | FTFE'!$P$104:$P$139,'FTSE | FTFE'!$H$104:$H$139,H67)</f>
        <v>1699</v>
      </c>
      <c r="R67" s="574"/>
      <c r="S67" s="575"/>
      <c r="T67" s="652">
        <f>ROUND(SUMIFS(Input[Instruction Uses],Input[Institution Name],H67),0)</f>
        <v>18559810</v>
      </c>
      <c r="U67" s="653"/>
      <c r="V67" s="610"/>
      <c r="W67" s="598">
        <f t="shared" si="17"/>
        <v>10924</v>
      </c>
      <c r="X67" s="598"/>
      <c r="Y67" s="599"/>
      <c r="Z67" s="576">
        <f>ROUND(SUMIFS(Input[Research Uses],Input[Institution Name],H67),0)</f>
        <v>42301</v>
      </c>
      <c r="AA67" s="574"/>
      <c r="AB67" s="577"/>
      <c r="AC67" s="598">
        <f t="shared" si="18"/>
        <v>25</v>
      </c>
      <c r="AD67" s="598"/>
      <c r="AE67" s="599"/>
      <c r="AF67" s="576">
        <f>ROUND(SUMIFS(Input[Academic Uses],Input[Institution Name],H67),0)</f>
        <v>5244744</v>
      </c>
      <c r="AG67" s="574"/>
      <c r="AH67" s="577"/>
      <c r="AI67" s="598">
        <f t="shared" si="19"/>
        <v>3087</v>
      </c>
      <c r="AJ67" s="598"/>
      <c r="AK67" s="599"/>
      <c r="AL67" s="576">
        <f>ROUND(SUMIFS(Input[Institutional Uses],Input[Institution Name],H67),0)</f>
        <v>9447159</v>
      </c>
      <c r="AM67" s="574"/>
      <c r="AN67" s="577"/>
      <c r="AO67" s="598">
        <f t="shared" si="20"/>
        <v>5560</v>
      </c>
      <c r="AP67" s="598"/>
      <c r="AQ67" s="599"/>
      <c r="AR67" s="576">
        <f>ROUND(SUMIFS(Input[Student Uses],Input[Institution Name],H67),0)</f>
        <v>5208906</v>
      </c>
      <c r="AS67" s="574"/>
      <c r="AT67" s="577"/>
      <c r="AU67" s="598">
        <f t="shared" si="21"/>
        <v>3066</v>
      </c>
      <c r="AV67" s="598"/>
      <c r="AW67" s="599"/>
      <c r="AX67" s="576">
        <f>ROUND(SUMIFS(Input[Other Uses],Input[Institution Name],H67),0)</f>
        <v>580955</v>
      </c>
      <c r="AY67" s="574"/>
      <c r="AZ67" s="577"/>
      <c r="BA67" s="598">
        <f t="shared" si="22"/>
        <v>342</v>
      </c>
      <c r="BB67" s="598"/>
      <c r="BC67" s="598"/>
      <c r="BD67" s="576">
        <f t="shared" si="16"/>
        <v>39083875</v>
      </c>
      <c r="BE67" s="574"/>
      <c r="BF67" s="577"/>
      <c r="BG67" s="598">
        <f t="shared" si="23"/>
        <v>23004</v>
      </c>
      <c r="BH67" s="598"/>
      <c r="BI67" s="598"/>
      <c r="BJ67" s="17"/>
      <c r="BK67" s="17"/>
    </row>
    <row r="68" spans="1:63" ht="30" customHeight="1" x14ac:dyDescent="0.3">
      <c r="A68" s="17"/>
      <c r="B68" s="17"/>
      <c r="C68" s="17"/>
      <c r="D68" s="17"/>
      <c r="E68" s="17"/>
      <c r="F68" s="17"/>
      <c r="G68" s="17"/>
      <c r="H68" s="579" t="s">
        <v>16</v>
      </c>
      <c r="I68" s="580"/>
      <c r="J68" s="580"/>
      <c r="K68" s="580"/>
      <c r="L68" s="580"/>
      <c r="M68" s="580"/>
      <c r="N68" s="580"/>
      <c r="O68" s="580"/>
      <c r="P68" s="581"/>
      <c r="Q68" s="582">
        <f>SUMIFS('FTSE | FTFE'!$P$104:$P$139,'FTSE | FTFE'!$H$104:$H$139,H68)</f>
        <v>40598</v>
      </c>
      <c r="R68" s="583"/>
      <c r="S68" s="586"/>
      <c r="T68" s="582">
        <f>ROUND(SUMIFS(Input[Instruction Uses],Input[Institution Name],H68),0)</f>
        <v>300916989</v>
      </c>
      <c r="U68" s="583"/>
      <c r="V68" s="584"/>
      <c r="W68" s="585">
        <f t="shared" si="17"/>
        <v>7412</v>
      </c>
      <c r="X68" s="583"/>
      <c r="Y68" s="586"/>
      <c r="Z68" s="582">
        <f>ROUND(SUMIFS(Input[Research Uses],Input[Institution Name],H68),0)</f>
        <v>198540451</v>
      </c>
      <c r="AA68" s="583"/>
      <c r="AB68" s="584"/>
      <c r="AC68" s="585">
        <f t="shared" si="18"/>
        <v>4890</v>
      </c>
      <c r="AD68" s="583"/>
      <c r="AE68" s="586"/>
      <c r="AF68" s="582">
        <f>ROUND(SUMIFS(Input[Academic Uses],Input[Institution Name],H68),0)</f>
        <v>198679200</v>
      </c>
      <c r="AG68" s="583"/>
      <c r="AH68" s="584"/>
      <c r="AI68" s="585">
        <f t="shared" si="19"/>
        <v>4894</v>
      </c>
      <c r="AJ68" s="583"/>
      <c r="AK68" s="586"/>
      <c r="AL68" s="582">
        <f>ROUND(SUMIFS(Input[Institutional Uses],Input[Institution Name],H68),0)</f>
        <v>90709388</v>
      </c>
      <c r="AM68" s="583"/>
      <c r="AN68" s="584"/>
      <c r="AO68" s="585">
        <f t="shared" si="20"/>
        <v>2234</v>
      </c>
      <c r="AP68" s="583"/>
      <c r="AQ68" s="586"/>
      <c r="AR68" s="582">
        <f>ROUND(SUMIFS(Input[Student Uses],Input[Institution Name],H68),0)</f>
        <v>36365166</v>
      </c>
      <c r="AS68" s="583"/>
      <c r="AT68" s="584"/>
      <c r="AU68" s="585">
        <f t="shared" si="21"/>
        <v>896</v>
      </c>
      <c r="AV68" s="583"/>
      <c r="AW68" s="586"/>
      <c r="AX68" s="582">
        <f>ROUND(SUMIFS(Input[Other Uses],Input[Institution Name],H68),0)</f>
        <v>87395318</v>
      </c>
      <c r="AY68" s="583"/>
      <c r="AZ68" s="584"/>
      <c r="BA68" s="585">
        <f t="shared" si="22"/>
        <v>2153</v>
      </c>
      <c r="BB68" s="583"/>
      <c r="BC68" s="584"/>
      <c r="BD68" s="582">
        <f t="shared" si="16"/>
        <v>912606512</v>
      </c>
      <c r="BE68" s="583"/>
      <c r="BF68" s="584"/>
      <c r="BG68" s="585">
        <f t="shared" si="23"/>
        <v>22479</v>
      </c>
      <c r="BH68" s="583"/>
      <c r="BI68" s="584"/>
      <c r="BJ68" s="17"/>
      <c r="BK68" s="17"/>
    </row>
    <row r="69" spans="1:63" ht="30" customHeight="1" x14ac:dyDescent="0.3">
      <c r="A69" s="17"/>
      <c r="B69" s="17"/>
      <c r="C69" s="17"/>
      <c r="D69" s="17"/>
      <c r="E69" s="17"/>
      <c r="F69" s="17"/>
      <c r="G69" s="17"/>
      <c r="H69" s="587" t="s">
        <v>17</v>
      </c>
      <c r="I69" s="588"/>
      <c r="J69" s="588"/>
      <c r="K69" s="588"/>
      <c r="L69" s="588"/>
      <c r="M69" s="588"/>
      <c r="N69" s="588"/>
      <c r="O69" s="588"/>
      <c r="P69" s="589"/>
      <c r="Q69" s="576">
        <f>SUMIFS('FTSE | FTFE'!$P$104:$P$139,'FTSE | FTFE'!$H$104:$H$139,H69)</f>
        <v>6008</v>
      </c>
      <c r="R69" s="574"/>
      <c r="S69" s="575"/>
      <c r="T69" s="652">
        <f>ROUND(SUMIFS(Input[Instruction Uses],Input[Institution Name],H69),0)</f>
        <v>49194263</v>
      </c>
      <c r="U69" s="653"/>
      <c r="V69" s="610"/>
      <c r="W69" s="598">
        <f t="shared" si="17"/>
        <v>8188</v>
      </c>
      <c r="X69" s="598"/>
      <c r="Y69" s="599"/>
      <c r="Z69" s="576">
        <f>ROUND(SUMIFS(Input[Research Uses],Input[Institution Name],H69),0)</f>
        <v>3871737</v>
      </c>
      <c r="AA69" s="574"/>
      <c r="AB69" s="577"/>
      <c r="AC69" s="598">
        <f t="shared" si="18"/>
        <v>644</v>
      </c>
      <c r="AD69" s="598"/>
      <c r="AE69" s="599"/>
      <c r="AF69" s="576">
        <f>ROUND(SUMIFS(Input[Academic Uses],Input[Institution Name],H69),0)</f>
        <v>25917552</v>
      </c>
      <c r="AG69" s="574"/>
      <c r="AH69" s="577"/>
      <c r="AI69" s="598">
        <f t="shared" si="19"/>
        <v>4314</v>
      </c>
      <c r="AJ69" s="598"/>
      <c r="AK69" s="599"/>
      <c r="AL69" s="576">
        <f>ROUND(SUMIFS(Input[Institutional Uses],Input[Institution Name],H69),0)</f>
        <v>17879683</v>
      </c>
      <c r="AM69" s="574"/>
      <c r="AN69" s="577"/>
      <c r="AO69" s="598">
        <f t="shared" si="20"/>
        <v>2976</v>
      </c>
      <c r="AP69" s="598"/>
      <c r="AQ69" s="599"/>
      <c r="AR69" s="576">
        <f>ROUND(SUMIFS(Input[Student Uses],Input[Institution Name],H69),0)</f>
        <v>10076911</v>
      </c>
      <c r="AS69" s="574"/>
      <c r="AT69" s="577"/>
      <c r="AU69" s="598">
        <f t="shared" si="21"/>
        <v>1677</v>
      </c>
      <c r="AV69" s="598"/>
      <c r="AW69" s="599"/>
      <c r="AX69" s="576">
        <f>ROUND(SUMIFS(Input[Other Uses],Input[Institution Name],H69),0)</f>
        <v>6522825</v>
      </c>
      <c r="AY69" s="574"/>
      <c r="AZ69" s="577"/>
      <c r="BA69" s="598">
        <f t="shared" si="22"/>
        <v>1086</v>
      </c>
      <c r="BB69" s="598"/>
      <c r="BC69" s="598"/>
      <c r="BD69" s="576">
        <f t="shared" si="16"/>
        <v>113462971</v>
      </c>
      <c r="BE69" s="574"/>
      <c r="BF69" s="577"/>
      <c r="BG69" s="598">
        <f t="shared" si="23"/>
        <v>18885</v>
      </c>
      <c r="BH69" s="598"/>
      <c r="BI69" s="598"/>
      <c r="BJ69" s="17"/>
      <c r="BK69" s="17"/>
    </row>
    <row r="70" spans="1:63" ht="30" customHeight="1" x14ac:dyDescent="0.3">
      <c r="A70" s="17"/>
      <c r="B70" s="17"/>
      <c r="C70" s="17"/>
      <c r="D70" s="17"/>
      <c r="E70" s="17"/>
      <c r="F70" s="17"/>
      <c r="G70" s="17"/>
      <c r="H70" s="579" t="s">
        <v>18</v>
      </c>
      <c r="I70" s="580"/>
      <c r="J70" s="580"/>
      <c r="K70" s="580"/>
      <c r="L70" s="580"/>
      <c r="M70" s="580"/>
      <c r="N70" s="580"/>
      <c r="O70" s="580"/>
      <c r="P70" s="581"/>
      <c r="Q70" s="582">
        <f>SUMIFS('FTSE | FTFE'!$P$104:$P$139,'FTSE | FTFE'!$H$104:$H$139,H70)</f>
        <v>10405</v>
      </c>
      <c r="R70" s="583"/>
      <c r="S70" s="586"/>
      <c r="T70" s="582">
        <f>ROUND(SUMIFS(Input[Instruction Uses],Input[Institution Name],H70),0)</f>
        <v>57940010</v>
      </c>
      <c r="U70" s="583"/>
      <c r="V70" s="584"/>
      <c r="W70" s="585">
        <f t="shared" si="17"/>
        <v>5568</v>
      </c>
      <c r="X70" s="583"/>
      <c r="Y70" s="586"/>
      <c r="Z70" s="582">
        <f>ROUND(SUMIFS(Input[Research Uses],Input[Institution Name],H70),0)</f>
        <v>3624230</v>
      </c>
      <c r="AA70" s="583"/>
      <c r="AB70" s="584"/>
      <c r="AC70" s="585">
        <f t="shared" si="18"/>
        <v>348</v>
      </c>
      <c r="AD70" s="583"/>
      <c r="AE70" s="586"/>
      <c r="AF70" s="582">
        <f>ROUND(SUMIFS(Input[Academic Uses],Input[Institution Name],H70),0)</f>
        <v>31201370</v>
      </c>
      <c r="AG70" s="583"/>
      <c r="AH70" s="584"/>
      <c r="AI70" s="585">
        <f t="shared" si="19"/>
        <v>2999</v>
      </c>
      <c r="AJ70" s="583"/>
      <c r="AK70" s="586"/>
      <c r="AL70" s="582">
        <f>ROUND(SUMIFS(Input[Institutional Uses],Input[Institution Name],H70),0)</f>
        <v>26838395</v>
      </c>
      <c r="AM70" s="583"/>
      <c r="AN70" s="584"/>
      <c r="AO70" s="585">
        <f t="shared" si="20"/>
        <v>2579</v>
      </c>
      <c r="AP70" s="583"/>
      <c r="AQ70" s="586"/>
      <c r="AR70" s="582">
        <f>ROUND(SUMIFS(Input[Student Uses],Input[Institution Name],H70),0)</f>
        <v>7734716</v>
      </c>
      <c r="AS70" s="583"/>
      <c r="AT70" s="584"/>
      <c r="AU70" s="585">
        <f t="shared" si="21"/>
        <v>743</v>
      </c>
      <c r="AV70" s="583"/>
      <c r="AW70" s="586"/>
      <c r="AX70" s="582">
        <f>ROUND(SUMIFS(Input[Other Uses],Input[Institution Name],H70),0)</f>
        <v>9769734</v>
      </c>
      <c r="AY70" s="583"/>
      <c r="AZ70" s="584"/>
      <c r="BA70" s="585">
        <f t="shared" si="22"/>
        <v>939</v>
      </c>
      <c r="BB70" s="583"/>
      <c r="BC70" s="584"/>
      <c r="BD70" s="582">
        <f t="shared" si="16"/>
        <v>137108455</v>
      </c>
      <c r="BE70" s="583"/>
      <c r="BF70" s="584"/>
      <c r="BG70" s="585">
        <f t="shared" si="23"/>
        <v>13177</v>
      </c>
      <c r="BH70" s="583"/>
      <c r="BI70" s="584"/>
      <c r="BJ70" s="17"/>
      <c r="BK70" s="17"/>
    </row>
    <row r="71" spans="1:63" ht="30" customHeight="1" x14ac:dyDescent="0.3">
      <c r="A71" s="17"/>
      <c r="B71" s="17"/>
      <c r="C71" s="17"/>
      <c r="D71" s="17"/>
      <c r="E71" s="17"/>
      <c r="F71" s="17"/>
      <c r="G71" s="17"/>
      <c r="H71" s="587" t="s">
        <v>19</v>
      </c>
      <c r="I71" s="588"/>
      <c r="J71" s="588"/>
      <c r="K71" s="588"/>
      <c r="L71" s="588"/>
      <c r="M71" s="588"/>
      <c r="N71" s="588"/>
      <c r="O71" s="588"/>
      <c r="P71" s="589"/>
      <c r="Q71" s="576">
        <f>SUMIFS('FTSE | FTFE'!$P$104:$P$139,'FTSE | FTFE'!$H$104:$H$139,H71)</f>
        <v>2681</v>
      </c>
      <c r="R71" s="574"/>
      <c r="S71" s="575"/>
      <c r="T71" s="652">
        <f>ROUND(SUMIFS(Input[Instruction Uses],Input[Institution Name],H71),0)</f>
        <v>19259436</v>
      </c>
      <c r="U71" s="653"/>
      <c r="V71" s="610"/>
      <c r="W71" s="598">
        <f t="shared" si="17"/>
        <v>7184</v>
      </c>
      <c r="X71" s="598"/>
      <c r="Y71" s="599"/>
      <c r="Z71" s="576">
        <f>ROUND(SUMIFS(Input[Research Uses],Input[Institution Name],H71),0)</f>
        <v>358352</v>
      </c>
      <c r="AA71" s="574"/>
      <c r="AB71" s="577"/>
      <c r="AC71" s="598">
        <f t="shared" si="18"/>
        <v>134</v>
      </c>
      <c r="AD71" s="598"/>
      <c r="AE71" s="599"/>
      <c r="AF71" s="576">
        <f>ROUND(SUMIFS(Input[Academic Uses],Input[Institution Name],H71),0)</f>
        <v>6304775</v>
      </c>
      <c r="AG71" s="574"/>
      <c r="AH71" s="577"/>
      <c r="AI71" s="598">
        <f t="shared" si="19"/>
        <v>2352</v>
      </c>
      <c r="AJ71" s="598"/>
      <c r="AK71" s="599"/>
      <c r="AL71" s="576">
        <f>ROUND(SUMIFS(Input[Institutional Uses],Input[Institution Name],H71),0)</f>
        <v>6136763</v>
      </c>
      <c r="AM71" s="574"/>
      <c r="AN71" s="577"/>
      <c r="AO71" s="598">
        <f t="shared" si="20"/>
        <v>2289</v>
      </c>
      <c r="AP71" s="598"/>
      <c r="AQ71" s="599"/>
      <c r="AR71" s="576">
        <f>ROUND(SUMIFS(Input[Student Uses],Input[Institution Name],H71),0)</f>
        <v>4416949</v>
      </c>
      <c r="AS71" s="574"/>
      <c r="AT71" s="577"/>
      <c r="AU71" s="598">
        <f t="shared" si="21"/>
        <v>1648</v>
      </c>
      <c r="AV71" s="598"/>
      <c r="AW71" s="599"/>
      <c r="AX71" s="576">
        <f>ROUND(SUMIFS(Input[Other Uses],Input[Institution Name],H71),0)</f>
        <v>1691952</v>
      </c>
      <c r="AY71" s="574"/>
      <c r="AZ71" s="577"/>
      <c r="BA71" s="598">
        <f t="shared" si="22"/>
        <v>631</v>
      </c>
      <c r="BB71" s="598"/>
      <c r="BC71" s="598"/>
      <c r="BD71" s="576">
        <f t="shared" si="16"/>
        <v>38168227</v>
      </c>
      <c r="BE71" s="574"/>
      <c r="BF71" s="577"/>
      <c r="BG71" s="598">
        <f t="shared" si="23"/>
        <v>14237</v>
      </c>
      <c r="BH71" s="598"/>
      <c r="BI71" s="598"/>
      <c r="BJ71" s="17"/>
      <c r="BK71" s="17"/>
    </row>
    <row r="72" spans="1:63" ht="30" customHeight="1" x14ac:dyDescent="0.3">
      <c r="A72" s="17"/>
      <c r="B72" s="17"/>
      <c r="C72" s="17"/>
      <c r="D72" s="17"/>
      <c r="E72" s="17"/>
      <c r="F72" s="17"/>
      <c r="G72" s="17"/>
      <c r="H72" s="579" t="s">
        <v>62</v>
      </c>
      <c r="I72" s="580"/>
      <c r="J72" s="580"/>
      <c r="K72" s="580"/>
      <c r="L72" s="580"/>
      <c r="M72" s="580"/>
      <c r="N72" s="580"/>
      <c r="O72" s="580"/>
      <c r="P72" s="581"/>
      <c r="Q72" s="582">
        <f>SUMIFS('FTSE | FTFE'!$P$104:$P$139,'FTSE | FTFE'!$H$104:$H$139,H72)</f>
        <v>38778</v>
      </c>
      <c r="R72" s="583"/>
      <c r="S72" s="586"/>
      <c r="T72" s="582">
        <f>ROUND(SUMIFS(Input[Instruction Uses],Input[Institution Name],H72),0)</f>
        <v>215357528</v>
      </c>
      <c r="U72" s="583"/>
      <c r="V72" s="584"/>
      <c r="W72" s="585">
        <f t="shared" si="17"/>
        <v>5554</v>
      </c>
      <c r="X72" s="583"/>
      <c r="Y72" s="586"/>
      <c r="Z72" s="582">
        <f>ROUND(SUMIFS(Input[Research Uses],Input[Institution Name],H72),0)</f>
        <v>106812591</v>
      </c>
      <c r="AA72" s="583"/>
      <c r="AB72" s="584"/>
      <c r="AC72" s="585">
        <f t="shared" si="18"/>
        <v>2754</v>
      </c>
      <c r="AD72" s="583"/>
      <c r="AE72" s="586"/>
      <c r="AF72" s="582">
        <f>ROUND(SUMIFS(Input[Academic Uses],Input[Institution Name],H72),0)</f>
        <v>77217678</v>
      </c>
      <c r="AG72" s="583"/>
      <c r="AH72" s="584"/>
      <c r="AI72" s="585">
        <f t="shared" si="19"/>
        <v>1991</v>
      </c>
      <c r="AJ72" s="583"/>
      <c r="AK72" s="586"/>
      <c r="AL72" s="582">
        <f>ROUND(SUMIFS(Input[Institutional Uses],Input[Institution Name],H72),0)</f>
        <v>58186404</v>
      </c>
      <c r="AM72" s="583"/>
      <c r="AN72" s="584"/>
      <c r="AO72" s="585">
        <f t="shared" si="20"/>
        <v>1501</v>
      </c>
      <c r="AP72" s="583"/>
      <c r="AQ72" s="586"/>
      <c r="AR72" s="582">
        <f>ROUND(SUMIFS(Input[Student Uses],Input[Institution Name],H72),0)</f>
        <v>108855191</v>
      </c>
      <c r="AS72" s="583"/>
      <c r="AT72" s="584"/>
      <c r="AU72" s="585">
        <f t="shared" si="21"/>
        <v>2807</v>
      </c>
      <c r="AV72" s="583"/>
      <c r="AW72" s="586"/>
      <c r="AX72" s="582">
        <f>ROUND(SUMIFS(Input[Other Uses],Input[Institution Name],H72),0)</f>
        <v>57778</v>
      </c>
      <c r="AY72" s="583"/>
      <c r="AZ72" s="584"/>
      <c r="BA72" s="585">
        <f t="shared" si="22"/>
        <v>1</v>
      </c>
      <c r="BB72" s="583"/>
      <c r="BC72" s="584"/>
      <c r="BD72" s="582">
        <f t="shared" si="16"/>
        <v>566487170</v>
      </c>
      <c r="BE72" s="583"/>
      <c r="BF72" s="584"/>
      <c r="BG72" s="585">
        <f t="shared" si="23"/>
        <v>14608</v>
      </c>
      <c r="BH72" s="583"/>
      <c r="BI72" s="584"/>
      <c r="BJ72" s="17"/>
      <c r="BK72" s="17"/>
    </row>
    <row r="73" spans="1:63" ht="30" customHeight="1" x14ac:dyDescent="0.3">
      <c r="A73" s="17"/>
      <c r="B73" s="17"/>
      <c r="C73" s="17"/>
      <c r="D73" s="17"/>
      <c r="E73" s="17"/>
      <c r="F73" s="17"/>
      <c r="G73" s="17"/>
      <c r="H73" s="587" t="s">
        <v>25</v>
      </c>
      <c r="I73" s="588"/>
      <c r="J73" s="588"/>
      <c r="K73" s="588"/>
      <c r="L73" s="588"/>
      <c r="M73" s="588"/>
      <c r="N73" s="588"/>
      <c r="O73" s="588"/>
      <c r="P73" s="589"/>
      <c r="Q73" s="576">
        <f>SUMIFS('FTSE | FTFE'!$P$104:$P$139,'FTSE | FTFE'!$H$104:$H$139,H73)</f>
        <v>3201</v>
      </c>
      <c r="R73" s="574"/>
      <c r="S73" s="575"/>
      <c r="T73" s="652">
        <f>ROUND(SUMIFS(Input[Instruction Uses],Input[Institution Name],H73),0)</f>
        <v>20569244</v>
      </c>
      <c r="U73" s="653"/>
      <c r="V73" s="610"/>
      <c r="W73" s="598">
        <f t="shared" si="17"/>
        <v>6426</v>
      </c>
      <c r="X73" s="598"/>
      <c r="Y73" s="599"/>
      <c r="Z73" s="576">
        <f>ROUND(SUMIFS(Input[Research Uses],Input[Institution Name],H73),0)</f>
        <v>585620</v>
      </c>
      <c r="AA73" s="574"/>
      <c r="AB73" s="577"/>
      <c r="AC73" s="598">
        <f t="shared" si="18"/>
        <v>183</v>
      </c>
      <c r="AD73" s="598"/>
      <c r="AE73" s="599"/>
      <c r="AF73" s="576">
        <f>ROUND(SUMIFS(Input[Academic Uses],Input[Institution Name],H73),0)</f>
        <v>7415802</v>
      </c>
      <c r="AG73" s="574"/>
      <c r="AH73" s="577"/>
      <c r="AI73" s="598">
        <f t="shared" si="19"/>
        <v>2317</v>
      </c>
      <c r="AJ73" s="598"/>
      <c r="AK73" s="599"/>
      <c r="AL73" s="576">
        <f>ROUND(SUMIFS(Input[Institutional Uses],Input[Institution Name],H73),0)</f>
        <v>7148134</v>
      </c>
      <c r="AM73" s="574"/>
      <c r="AN73" s="577"/>
      <c r="AO73" s="598">
        <f t="shared" si="20"/>
        <v>2233</v>
      </c>
      <c r="AP73" s="598"/>
      <c r="AQ73" s="599"/>
      <c r="AR73" s="576">
        <f>ROUND(SUMIFS(Input[Student Uses],Input[Institution Name],H73),0)</f>
        <v>11604599</v>
      </c>
      <c r="AS73" s="574"/>
      <c r="AT73" s="577"/>
      <c r="AU73" s="598">
        <f t="shared" si="21"/>
        <v>3625</v>
      </c>
      <c r="AV73" s="598"/>
      <c r="AW73" s="599"/>
      <c r="AX73" s="576">
        <f>ROUND(SUMIFS(Input[Other Uses],Input[Institution Name],H73),0)</f>
        <v>23420</v>
      </c>
      <c r="AY73" s="574"/>
      <c r="AZ73" s="577"/>
      <c r="BA73" s="598">
        <f t="shared" si="22"/>
        <v>7</v>
      </c>
      <c r="BB73" s="598"/>
      <c r="BC73" s="598"/>
      <c r="BD73" s="576">
        <f t="shared" si="16"/>
        <v>47346819</v>
      </c>
      <c r="BE73" s="574"/>
      <c r="BF73" s="577"/>
      <c r="BG73" s="598">
        <f t="shared" si="23"/>
        <v>14791</v>
      </c>
      <c r="BH73" s="598"/>
      <c r="BI73" s="598"/>
      <c r="BJ73" s="17"/>
      <c r="BK73" s="17"/>
    </row>
    <row r="74" spans="1:63" ht="30" customHeight="1" x14ac:dyDescent="0.3">
      <c r="A74" s="17"/>
      <c r="B74" s="17"/>
      <c r="C74" s="17"/>
      <c r="D74" s="17"/>
      <c r="E74" s="17"/>
      <c r="F74" s="17"/>
      <c r="G74" s="17"/>
      <c r="H74" s="579" t="s">
        <v>63</v>
      </c>
      <c r="I74" s="580"/>
      <c r="J74" s="580"/>
      <c r="K74" s="580"/>
      <c r="L74" s="580"/>
      <c r="M74" s="580"/>
      <c r="N74" s="580"/>
      <c r="O74" s="580"/>
      <c r="P74" s="581"/>
      <c r="Q74" s="582">
        <f>SUMIFS('FTSE | FTFE'!$P$104:$P$139,'FTSE | FTFE'!$H$104:$H$139,H74)</f>
        <v>8007</v>
      </c>
      <c r="R74" s="583"/>
      <c r="S74" s="586"/>
      <c r="T74" s="582">
        <f>ROUND(SUMIFS(Input[Instruction Uses],Input[Institution Name],H74),0)</f>
        <v>73054623</v>
      </c>
      <c r="U74" s="583"/>
      <c r="V74" s="584"/>
      <c r="W74" s="585">
        <f t="shared" si="17"/>
        <v>9124</v>
      </c>
      <c r="X74" s="583"/>
      <c r="Y74" s="586"/>
      <c r="Z74" s="582">
        <f>ROUND(SUMIFS(Input[Research Uses],Input[Institution Name],H74),0)</f>
        <v>6504394</v>
      </c>
      <c r="AA74" s="583"/>
      <c r="AB74" s="584"/>
      <c r="AC74" s="585">
        <f t="shared" si="18"/>
        <v>812</v>
      </c>
      <c r="AD74" s="583"/>
      <c r="AE74" s="586"/>
      <c r="AF74" s="582">
        <f>ROUND(SUMIFS(Input[Academic Uses],Input[Institution Name],H74),0)</f>
        <v>11468999</v>
      </c>
      <c r="AG74" s="583"/>
      <c r="AH74" s="584"/>
      <c r="AI74" s="585">
        <f t="shared" si="19"/>
        <v>1432</v>
      </c>
      <c r="AJ74" s="583"/>
      <c r="AK74" s="586"/>
      <c r="AL74" s="582">
        <f>ROUND(SUMIFS(Input[Institutional Uses],Input[Institution Name],H74),0)</f>
        <v>56011470</v>
      </c>
      <c r="AM74" s="583"/>
      <c r="AN74" s="584"/>
      <c r="AO74" s="585">
        <f t="shared" si="20"/>
        <v>6995</v>
      </c>
      <c r="AP74" s="583"/>
      <c r="AQ74" s="586"/>
      <c r="AR74" s="582">
        <f>ROUND(SUMIFS(Input[Student Uses],Input[Institution Name],H74),0)</f>
        <v>13813911</v>
      </c>
      <c r="AS74" s="583"/>
      <c r="AT74" s="584"/>
      <c r="AU74" s="585">
        <f t="shared" si="21"/>
        <v>1725</v>
      </c>
      <c r="AV74" s="583"/>
      <c r="AW74" s="586"/>
      <c r="AX74" s="582">
        <f>ROUND(SUMIFS(Input[Other Uses],Input[Institution Name],H74),0)</f>
        <v>0</v>
      </c>
      <c r="AY74" s="583"/>
      <c r="AZ74" s="584"/>
      <c r="BA74" s="585">
        <f t="shared" si="22"/>
        <v>0</v>
      </c>
      <c r="BB74" s="583"/>
      <c r="BC74" s="584"/>
      <c r="BD74" s="582">
        <f t="shared" si="16"/>
        <v>160853397</v>
      </c>
      <c r="BE74" s="583"/>
      <c r="BF74" s="584"/>
      <c r="BG74" s="585">
        <f t="shared" si="23"/>
        <v>20089</v>
      </c>
      <c r="BH74" s="583"/>
      <c r="BI74" s="584"/>
      <c r="BJ74" s="17"/>
      <c r="BK74" s="17"/>
    </row>
    <row r="75" spans="1:63" ht="30" customHeight="1" x14ac:dyDescent="0.3">
      <c r="A75" s="17"/>
      <c r="B75" s="17"/>
      <c r="C75" s="17"/>
      <c r="D75" s="17"/>
      <c r="E75" s="17"/>
      <c r="F75" s="17"/>
      <c r="G75" s="17"/>
      <c r="H75" s="587" t="s">
        <v>23</v>
      </c>
      <c r="I75" s="588"/>
      <c r="J75" s="588"/>
      <c r="K75" s="588"/>
      <c r="L75" s="588"/>
      <c r="M75" s="588"/>
      <c r="N75" s="588"/>
      <c r="O75" s="588"/>
      <c r="P75" s="589"/>
      <c r="Q75" s="576">
        <f>SUMIFS('FTSE | FTFE'!$P$104:$P$139,'FTSE | FTFE'!$H$104:$H$139,H75)</f>
        <v>38546</v>
      </c>
      <c r="R75" s="574"/>
      <c r="S75" s="575"/>
      <c r="T75" s="652">
        <f>ROUND(SUMIFS(Input[Instruction Uses],Input[Institution Name],H75),0)</f>
        <v>260430869</v>
      </c>
      <c r="U75" s="653"/>
      <c r="V75" s="610"/>
      <c r="W75" s="598">
        <f t="shared" si="17"/>
        <v>6756</v>
      </c>
      <c r="X75" s="598"/>
      <c r="Y75" s="599"/>
      <c r="Z75" s="576">
        <f>ROUND(SUMIFS(Input[Research Uses],Input[Institution Name],H75),0)</f>
        <v>232732401</v>
      </c>
      <c r="AA75" s="574"/>
      <c r="AB75" s="577"/>
      <c r="AC75" s="598">
        <f t="shared" si="18"/>
        <v>6038</v>
      </c>
      <c r="AD75" s="598"/>
      <c r="AE75" s="599"/>
      <c r="AF75" s="576">
        <f>ROUND(SUMIFS(Input[Academic Uses],Input[Institution Name],H75),0)</f>
        <v>148073156</v>
      </c>
      <c r="AG75" s="574"/>
      <c r="AH75" s="577"/>
      <c r="AI75" s="598">
        <f t="shared" si="19"/>
        <v>3841</v>
      </c>
      <c r="AJ75" s="598"/>
      <c r="AK75" s="599"/>
      <c r="AL75" s="576">
        <f>ROUND(SUMIFS(Input[Institutional Uses],Input[Institution Name],H75),0)</f>
        <v>74455278</v>
      </c>
      <c r="AM75" s="574"/>
      <c r="AN75" s="577"/>
      <c r="AO75" s="598">
        <f t="shared" si="20"/>
        <v>1932</v>
      </c>
      <c r="AP75" s="598"/>
      <c r="AQ75" s="599"/>
      <c r="AR75" s="576">
        <f>ROUND(SUMIFS(Input[Student Uses],Input[Institution Name],H75),0)</f>
        <v>76919031</v>
      </c>
      <c r="AS75" s="574"/>
      <c r="AT75" s="577"/>
      <c r="AU75" s="598">
        <f t="shared" si="21"/>
        <v>1996</v>
      </c>
      <c r="AV75" s="598"/>
      <c r="AW75" s="599"/>
      <c r="AX75" s="576">
        <f>ROUND(SUMIFS(Input[Other Uses],Input[Institution Name],H75),0)</f>
        <v>49552578</v>
      </c>
      <c r="AY75" s="574"/>
      <c r="AZ75" s="577"/>
      <c r="BA75" s="598">
        <f t="shared" si="22"/>
        <v>1286</v>
      </c>
      <c r="BB75" s="598"/>
      <c r="BC75" s="598"/>
      <c r="BD75" s="576">
        <f t="shared" si="16"/>
        <v>842163313</v>
      </c>
      <c r="BE75" s="574"/>
      <c r="BF75" s="577"/>
      <c r="BG75" s="598">
        <f t="shared" si="23"/>
        <v>21848</v>
      </c>
      <c r="BH75" s="598"/>
      <c r="BI75" s="598"/>
      <c r="BJ75" s="17"/>
      <c r="BK75" s="17"/>
    </row>
    <row r="76" spans="1:63" ht="30" customHeight="1" x14ac:dyDescent="0.3">
      <c r="A76" s="17"/>
      <c r="B76" s="17"/>
      <c r="C76" s="17"/>
      <c r="D76" s="17"/>
      <c r="E76" s="17"/>
      <c r="F76" s="17"/>
      <c r="G76" s="17"/>
      <c r="H76" s="579" t="s">
        <v>24</v>
      </c>
      <c r="I76" s="580"/>
      <c r="J76" s="580"/>
      <c r="K76" s="580"/>
      <c r="L76" s="580"/>
      <c r="M76" s="580"/>
      <c r="N76" s="580"/>
      <c r="O76" s="580"/>
      <c r="P76" s="581"/>
      <c r="Q76" s="582">
        <f>SUMIFS('FTSE | FTFE'!$P$104:$P$139,'FTSE | FTFE'!$H$104:$H$139,H76)</f>
        <v>8110</v>
      </c>
      <c r="R76" s="583"/>
      <c r="S76" s="586"/>
      <c r="T76" s="582">
        <f>ROUND(SUMIFS(Input[Instruction Uses],Input[Institution Name],H76),0)</f>
        <v>56199292</v>
      </c>
      <c r="U76" s="583"/>
      <c r="V76" s="584"/>
      <c r="W76" s="585">
        <f t="shared" si="17"/>
        <v>6930</v>
      </c>
      <c r="X76" s="583"/>
      <c r="Y76" s="586"/>
      <c r="Z76" s="582">
        <f>ROUND(SUMIFS(Input[Research Uses],Input[Institution Name],H76),0)</f>
        <v>1182671</v>
      </c>
      <c r="AA76" s="583"/>
      <c r="AB76" s="584"/>
      <c r="AC76" s="585">
        <f t="shared" si="18"/>
        <v>146</v>
      </c>
      <c r="AD76" s="583"/>
      <c r="AE76" s="586"/>
      <c r="AF76" s="582">
        <f>ROUND(SUMIFS(Input[Academic Uses],Input[Institution Name],H76),0)</f>
        <v>8100052</v>
      </c>
      <c r="AG76" s="583"/>
      <c r="AH76" s="584"/>
      <c r="AI76" s="585">
        <f t="shared" si="19"/>
        <v>999</v>
      </c>
      <c r="AJ76" s="583"/>
      <c r="AK76" s="586"/>
      <c r="AL76" s="582">
        <f>ROUND(SUMIFS(Input[Institutional Uses],Input[Institution Name],H76),0)</f>
        <v>21157308</v>
      </c>
      <c r="AM76" s="583"/>
      <c r="AN76" s="584"/>
      <c r="AO76" s="585">
        <f t="shared" si="20"/>
        <v>2609</v>
      </c>
      <c r="AP76" s="583"/>
      <c r="AQ76" s="586"/>
      <c r="AR76" s="582">
        <f>ROUND(SUMIFS(Input[Student Uses],Input[Institution Name],H76),0)</f>
        <v>11990371</v>
      </c>
      <c r="AS76" s="583"/>
      <c r="AT76" s="584"/>
      <c r="AU76" s="585">
        <f t="shared" si="21"/>
        <v>1478</v>
      </c>
      <c r="AV76" s="583"/>
      <c r="AW76" s="586"/>
      <c r="AX76" s="582">
        <f>ROUND(SUMIFS(Input[Other Uses],Input[Institution Name],H76),0)</f>
        <v>8107501</v>
      </c>
      <c r="AY76" s="583"/>
      <c r="AZ76" s="584"/>
      <c r="BA76" s="585">
        <f t="shared" si="22"/>
        <v>1000</v>
      </c>
      <c r="BB76" s="583"/>
      <c r="BC76" s="584"/>
      <c r="BD76" s="582">
        <f t="shared" si="16"/>
        <v>106737195</v>
      </c>
      <c r="BE76" s="583"/>
      <c r="BF76" s="584"/>
      <c r="BG76" s="585">
        <f t="shared" si="23"/>
        <v>13161</v>
      </c>
      <c r="BH76" s="583"/>
      <c r="BI76" s="584"/>
      <c r="BJ76" s="17"/>
      <c r="BK76" s="17"/>
    </row>
    <row r="77" spans="1:63" ht="30" customHeight="1" x14ac:dyDescent="0.3">
      <c r="A77" s="17"/>
      <c r="B77" s="17"/>
      <c r="C77" s="17"/>
      <c r="D77" s="17"/>
      <c r="E77" s="17"/>
      <c r="F77" s="17"/>
      <c r="G77" s="17"/>
      <c r="H77" s="587" t="s">
        <v>26</v>
      </c>
      <c r="I77" s="588"/>
      <c r="J77" s="588"/>
      <c r="K77" s="588"/>
      <c r="L77" s="588"/>
      <c r="M77" s="588"/>
      <c r="N77" s="588"/>
      <c r="O77" s="588"/>
      <c r="P77" s="589"/>
      <c r="Q77" s="576">
        <f>SUMIFS('FTSE | FTFE'!$P$104:$P$139,'FTSE | FTFE'!$H$104:$H$139,H77)</f>
        <v>3977</v>
      </c>
      <c r="R77" s="574"/>
      <c r="S77" s="575"/>
      <c r="T77" s="652">
        <f>ROUND(SUMIFS(Input[Instruction Uses],Input[Institution Name],H77),0)</f>
        <v>32222000</v>
      </c>
      <c r="U77" s="653"/>
      <c r="V77" s="610"/>
      <c r="W77" s="598">
        <f t="shared" si="17"/>
        <v>8102</v>
      </c>
      <c r="X77" s="598"/>
      <c r="Y77" s="599"/>
      <c r="Z77" s="576">
        <f>ROUND(SUMIFS(Input[Research Uses],Input[Institution Name],H77),0)</f>
        <v>1050592</v>
      </c>
      <c r="AA77" s="574"/>
      <c r="AB77" s="577"/>
      <c r="AC77" s="598">
        <f t="shared" si="18"/>
        <v>264</v>
      </c>
      <c r="AD77" s="598"/>
      <c r="AE77" s="599"/>
      <c r="AF77" s="576">
        <f>ROUND(SUMIFS(Input[Academic Uses],Input[Institution Name],H77),0)</f>
        <v>6855458</v>
      </c>
      <c r="AG77" s="574"/>
      <c r="AH77" s="577"/>
      <c r="AI77" s="598">
        <f t="shared" si="19"/>
        <v>1724</v>
      </c>
      <c r="AJ77" s="598"/>
      <c r="AK77" s="599"/>
      <c r="AL77" s="576">
        <f>ROUND(SUMIFS(Input[Institutional Uses],Input[Institution Name],H77),0)</f>
        <v>7412391</v>
      </c>
      <c r="AM77" s="574"/>
      <c r="AN77" s="577"/>
      <c r="AO77" s="598">
        <f t="shared" si="20"/>
        <v>1864</v>
      </c>
      <c r="AP77" s="598"/>
      <c r="AQ77" s="599"/>
      <c r="AR77" s="576">
        <f>ROUND(SUMIFS(Input[Student Uses],Input[Institution Name],H77),0)</f>
        <v>14292976</v>
      </c>
      <c r="AS77" s="574"/>
      <c r="AT77" s="577"/>
      <c r="AU77" s="598">
        <f t="shared" si="21"/>
        <v>3594</v>
      </c>
      <c r="AV77" s="598"/>
      <c r="AW77" s="599"/>
      <c r="AX77" s="576">
        <f>ROUND(SUMIFS(Input[Other Uses],Input[Institution Name],H77),0)</f>
        <v>126431</v>
      </c>
      <c r="AY77" s="574"/>
      <c r="AZ77" s="577"/>
      <c r="BA77" s="598">
        <f t="shared" si="22"/>
        <v>32</v>
      </c>
      <c r="BB77" s="598"/>
      <c r="BC77" s="598"/>
      <c r="BD77" s="576">
        <f t="shared" si="16"/>
        <v>61959848</v>
      </c>
      <c r="BE77" s="574"/>
      <c r="BF77" s="577"/>
      <c r="BG77" s="598">
        <f t="shared" si="23"/>
        <v>15580</v>
      </c>
      <c r="BH77" s="598"/>
      <c r="BI77" s="598"/>
      <c r="BJ77" s="17"/>
      <c r="BK77" s="17"/>
    </row>
    <row r="78" spans="1:63" ht="30" customHeight="1" x14ac:dyDescent="0.3">
      <c r="A78" s="17"/>
      <c r="B78" s="17"/>
      <c r="C78" s="17"/>
      <c r="D78" s="17"/>
      <c r="E78" s="17"/>
      <c r="F78" s="17"/>
      <c r="G78" s="17"/>
      <c r="H78" s="579" t="s">
        <v>64</v>
      </c>
      <c r="I78" s="580"/>
      <c r="J78" s="580"/>
      <c r="K78" s="580"/>
      <c r="L78" s="580"/>
      <c r="M78" s="580"/>
      <c r="N78" s="580"/>
      <c r="O78" s="580"/>
      <c r="P78" s="581"/>
      <c r="Q78" s="582">
        <f>SUMIFS('FTSE | FTFE'!$P$104:$P$139,'FTSE | FTFE'!$H$104:$H$139,H78)</f>
        <v>12629</v>
      </c>
      <c r="R78" s="583"/>
      <c r="S78" s="586"/>
      <c r="T78" s="582">
        <f>ROUND(SUMIFS(Input[Instruction Uses],Input[Institution Name],H78),0)</f>
        <v>87688556</v>
      </c>
      <c r="U78" s="583"/>
      <c r="V78" s="584"/>
      <c r="W78" s="585">
        <f t="shared" si="17"/>
        <v>6943</v>
      </c>
      <c r="X78" s="583"/>
      <c r="Y78" s="586"/>
      <c r="Z78" s="582">
        <f>ROUND(SUMIFS(Input[Research Uses],Input[Institution Name],H78),0)</f>
        <v>7031287</v>
      </c>
      <c r="AA78" s="583"/>
      <c r="AB78" s="584"/>
      <c r="AC78" s="585">
        <f t="shared" si="18"/>
        <v>557</v>
      </c>
      <c r="AD78" s="583"/>
      <c r="AE78" s="586"/>
      <c r="AF78" s="582">
        <f>ROUND(SUMIFS(Input[Academic Uses],Input[Institution Name],H78),0)</f>
        <v>37372502</v>
      </c>
      <c r="AG78" s="583"/>
      <c r="AH78" s="584"/>
      <c r="AI78" s="585">
        <f t="shared" si="19"/>
        <v>2959</v>
      </c>
      <c r="AJ78" s="583"/>
      <c r="AK78" s="586"/>
      <c r="AL78" s="582">
        <f>ROUND(SUMIFS(Input[Institutional Uses],Input[Institution Name],H78),0)</f>
        <v>39772504</v>
      </c>
      <c r="AM78" s="583"/>
      <c r="AN78" s="584"/>
      <c r="AO78" s="585">
        <f t="shared" si="20"/>
        <v>3149</v>
      </c>
      <c r="AP78" s="583"/>
      <c r="AQ78" s="586"/>
      <c r="AR78" s="582">
        <f>ROUND(SUMIFS(Input[Student Uses],Input[Institution Name],H78),0)</f>
        <v>16116276</v>
      </c>
      <c r="AS78" s="583"/>
      <c r="AT78" s="584"/>
      <c r="AU78" s="585">
        <f t="shared" si="21"/>
        <v>1276</v>
      </c>
      <c r="AV78" s="583"/>
      <c r="AW78" s="586"/>
      <c r="AX78" s="582">
        <f>ROUND(SUMIFS(Input[Other Uses],Input[Institution Name],H78),0)</f>
        <v>14363067</v>
      </c>
      <c r="AY78" s="583"/>
      <c r="AZ78" s="584"/>
      <c r="BA78" s="585">
        <f t="shared" si="22"/>
        <v>1137</v>
      </c>
      <c r="BB78" s="583"/>
      <c r="BC78" s="584"/>
      <c r="BD78" s="582">
        <f t="shared" si="16"/>
        <v>202344192</v>
      </c>
      <c r="BE78" s="583"/>
      <c r="BF78" s="584"/>
      <c r="BG78" s="585">
        <f t="shared" si="23"/>
        <v>16022</v>
      </c>
      <c r="BH78" s="583"/>
      <c r="BI78" s="584"/>
      <c r="BJ78" s="17"/>
      <c r="BK78" s="17"/>
    </row>
    <row r="79" spans="1:63" ht="30" customHeight="1" x14ac:dyDescent="0.3">
      <c r="A79" s="17"/>
      <c r="B79" s="17"/>
      <c r="C79" s="17"/>
      <c r="D79" s="17"/>
      <c r="E79" s="17"/>
      <c r="F79" s="17"/>
      <c r="G79" s="17"/>
      <c r="H79" s="587" t="s">
        <v>20</v>
      </c>
      <c r="I79" s="588"/>
      <c r="J79" s="588"/>
      <c r="K79" s="588"/>
      <c r="L79" s="588"/>
      <c r="M79" s="588"/>
      <c r="N79" s="588"/>
      <c r="O79" s="588"/>
      <c r="P79" s="589"/>
      <c r="Q79" s="576">
        <f>SUMIFS('FTSE | FTFE'!$P$104:$P$139,'FTSE | FTFE'!$H$104:$H$139,H79)</f>
        <v>14170</v>
      </c>
      <c r="R79" s="574"/>
      <c r="S79" s="575"/>
      <c r="T79" s="652">
        <f>ROUND(SUMIFS(Input[Instruction Uses],Input[Institution Name],H79),0)</f>
        <v>70084223</v>
      </c>
      <c r="U79" s="653"/>
      <c r="V79" s="610"/>
      <c r="W79" s="598">
        <f t="shared" si="17"/>
        <v>4946</v>
      </c>
      <c r="X79" s="598"/>
      <c r="Y79" s="599"/>
      <c r="Z79" s="576">
        <f>ROUND(SUMIFS(Input[Research Uses],Input[Institution Name],H79),0)</f>
        <v>9690863</v>
      </c>
      <c r="AA79" s="574"/>
      <c r="AB79" s="577"/>
      <c r="AC79" s="598">
        <f t="shared" si="18"/>
        <v>684</v>
      </c>
      <c r="AD79" s="598"/>
      <c r="AE79" s="599"/>
      <c r="AF79" s="576">
        <f>ROUND(SUMIFS(Input[Academic Uses],Input[Institution Name],H79),0)</f>
        <v>51771681</v>
      </c>
      <c r="AG79" s="574"/>
      <c r="AH79" s="577"/>
      <c r="AI79" s="598">
        <f t="shared" si="19"/>
        <v>3654</v>
      </c>
      <c r="AJ79" s="598"/>
      <c r="AK79" s="599"/>
      <c r="AL79" s="576">
        <f>ROUND(SUMIFS(Input[Institutional Uses],Input[Institution Name],H79),0)</f>
        <v>22277744</v>
      </c>
      <c r="AM79" s="574"/>
      <c r="AN79" s="577"/>
      <c r="AO79" s="598">
        <f t="shared" si="20"/>
        <v>1572</v>
      </c>
      <c r="AP79" s="598"/>
      <c r="AQ79" s="599"/>
      <c r="AR79" s="576">
        <f>ROUND(SUMIFS(Input[Student Uses],Input[Institution Name],H79),0)</f>
        <v>13547673</v>
      </c>
      <c r="AS79" s="574"/>
      <c r="AT79" s="577"/>
      <c r="AU79" s="598">
        <f t="shared" si="21"/>
        <v>956</v>
      </c>
      <c r="AV79" s="598"/>
      <c r="AW79" s="599"/>
      <c r="AX79" s="576">
        <f>ROUND(SUMIFS(Input[Other Uses],Input[Institution Name],H79),0)</f>
        <v>-509454</v>
      </c>
      <c r="AY79" s="574"/>
      <c r="AZ79" s="577"/>
      <c r="BA79" s="598">
        <f t="shared" si="22"/>
        <v>-36</v>
      </c>
      <c r="BB79" s="598"/>
      <c r="BC79" s="598"/>
      <c r="BD79" s="576">
        <f t="shared" si="16"/>
        <v>166862730</v>
      </c>
      <c r="BE79" s="574"/>
      <c r="BF79" s="577"/>
      <c r="BG79" s="598">
        <f t="shared" si="23"/>
        <v>11776</v>
      </c>
      <c r="BH79" s="598"/>
      <c r="BI79" s="598"/>
      <c r="BJ79" s="17"/>
      <c r="BK79" s="17"/>
    </row>
    <row r="80" spans="1:63" ht="30" customHeight="1" x14ac:dyDescent="0.3">
      <c r="A80" s="17"/>
      <c r="B80" s="17"/>
      <c r="C80" s="17"/>
      <c r="D80" s="17"/>
      <c r="E80" s="17"/>
      <c r="F80" s="17"/>
      <c r="G80" s="17"/>
      <c r="H80" s="579" t="s">
        <v>21</v>
      </c>
      <c r="I80" s="580"/>
      <c r="J80" s="580"/>
      <c r="K80" s="580"/>
      <c r="L80" s="580"/>
      <c r="M80" s="580"/>
      <c r="N80" s="580"/>
      <c r="O80" s="580"/>
      <c r="P80" s="581"/>
      <c r="Q80" s="582">
        <f>SUMIFS('FTSE | FTFE'!$P$104:$P$139,'FTSE | FTFE'!$H$104:$H$139,H80)</f>
        <v>17145</v>
      </c>
      <c r="R80" s="583"/>
      <c r="S80" s="586"/>
      <c r="T80" s="582">
        <f>ROUND(SUMIFS(Input[Instruction Uses],Input[Institution Name],H80),0)</f>
        <v>98235199</v>
      </c>
      <c r="U80" s="583"/>
      <c r="V80" s="584"/>
      <c r="W80" s="585">
        <f t="shared" si="17"/>
        <v>5730</v>
      </c>
      <c r="X80" s="583"/>
      <c r="Y80" s="586"/>
      <c r="Z80" s="582">
        <f>ROUND(SUMIFS(Input[Research Uses],Input[Institution Name],H80),0)</f>
        <v>27382930</v>
      </c>
      <c r="AA80" s="583"/>
      <c r="AB80" s="584"/>
      <c r="AC80" s="585">
        <f t="shared" si="18"/>
        <v>1597</v>
      </c>
      <c r="AD80" s="583"/>
      <c r="AE80" s="586"/>
      <c r="AF80" s="582">
        <f>ROUND(SUMIFS(Input[Academic Uses],Input[Institution Name],H80),0)</f>
        <v>59724299</v>
      </c>
      <c r="AG80" s="583"/>
      <c r="AH80" s="584"/>
      <c r="AI80" s="585">
        <f t="shared" si="19"/>
        <v>3483</v>
      </c>
      <c r="AJ80" s="583"/>
      <c r="AK80" s="586"/>
      <c r="AL80" s="582">
        <f>ROUND(SUMIFS(Input[Institutional Uses],Input[Institution Name],H80),0)</f>
        <v>31924318</v>
      </c>
      <c r="AM80" s="583"/>
      <c r="AN80" s="584"/>
      <c r="AO80" s="585">
        <f t="shared" si="20"/>
        <v>1862</v>
      </c>
      <c r="AP80" s="583"/>
      <c r="AQ80" s="586"/>
      <c r="AR80" s="582">
        <f>ROUND(SUMIFS(Input[Student Uses],Input[Institution Name],H80),0)</f>
        <v>32010333</v>
      </c>
      <c r="AS80" s="583"/>
      <c r="AT80" s="584"/>
      <c r="AU80" s="585">
        <f t="shared" si="21"/>
        <v>1867</v>
      </c>
      <c r="AV80" s="583"/>
      <c r="AW80" s="586"/>
      <c r="AX80" s="582">
        <f>ROUND(SUMIFS(Input[Other Uses],Input[Institution Name],H80),0)</f>
        <v>1237510</v>
      </c>
      <c r="AY80" s="583"/>
      <c r="AZ80" s="584"/>
      <c r="BA80" s="585">
        <f t="shared" si="22"/>
        <v>72</v>
      </c>
      <c r="BB80" s="583"/>
      <c r="BC80" s="584"/>
      <c r="BD80" s="582">
        <f t="shared" si="16"/>
        <v>250514589</v>
      </c>
      <c r="BE80" s="583"/>
      <c r="BF80" s="584"/>
      <c r="BG80" s="585">
        <f t="shared" si="23"/>
        <v>14612</v>
      </c>
      <c r="BH80" s="583"/>
      <c r="BI80" s="584"/>
      <c r="BJ80" s="17"/>
      <c r="BK80" s="17"/>
    </row>
    <row r="81" spans="1:63" ht="30" customHeight="1" x14ac:dyDescent="0.3">
      <c r="A81" s="17"/>
      <c r="B81" s="17"/>
      <c r="C81" s="17"/>
      <c r="D81" s="17"/>
      <c r="E81" s="17"/>
      <c r="F81" s="17"/>
      <c r="G81" s="17"/>
      <c r="H81" s="587" t="s">
        <v>61</v>
      </c>
      <c r="I81" s="588"/>
      <c r="J81" s="588"/>
      <c r="K81" s="588"/>
      <c r="L81" s="588"/>
      <c r="M81" s="588"/>
      <c r="N81" s="588"/>
      <c r="O81" s="588"/>
      <c r="P81" s="589"/>
      <c r="Q81" s="576">
        <f>SUMIFS('FTSE | FTFE'!$P$104:$P$139,'FTSE | FTFE'!$H$104:$H$139,H81)</f>
        <v>35201</v>
      </c>
      <c r="R81" s="574"/>
      <c r="S81" s="575"/>
      <c r="T81" s="652">
        <f>ROUND(SUMIFS(Input[Instruction Uses],Input[Institution Name],H81),0)</f>
        <v>213326335</v>
      </c>
      <c r="U81" s="653"/>
      <c r="V81" s="610"/>
      <c r="W81" s="598">
        <f t="shared" si="17"/>
        <v>6060</v>
      </c>
      <c r="X81" s="598"/>
      <c r="Y81" s="599"/>
      <c r="Z81" s="576">
        <f>ROUND(SUMIFS(Input[Research Uses],Input[Institution Name],H81),0)</f>
        <v>166591153</v>
      </c>
      <c r="AA81" s="574"/>
      <c r="AB81" s="577"/>
      <c r="AC81" s="598">
        <f t="shared" si="18"/>
        <v>4733</v>
      </c>
      <c r="AD81" s="598"/>
      <c r="AE81" s="599"/>
      <c r="AF81" s="576">
        <f>ROUND(SUMIFS(Input[Academic Uses],Input[Institution Name],H81),0)</f>
        <v>65761842</v>
      </c>
      <c r="AG81" s="574"/>
      <c r="AH81" s="577"/>
      <c r="AI81" s="598">
        <f t="shared" si="19"/>
        <v>1868</v>
      </c>
      <c r="AJ81" s="598"/>
      <c r="AK81" s="599"/>
      <c r="AL81" s="576">
        <f>ROUND(SUMIFS(Input[Institutional Uses],Input[Institution Name],H81),0)</f>
        <v>46136302</v>
      </c>
      <c r="AM81" s="574"/>
      <c r="AN81" s="577"/>
      <c r="AO81" s="598">
        <f t="shared" si="20"/>
        <v>1311</v>
      </c>
      <c r="AP81" s="598"/>
      <c r="AQ81" s="599"/>
      <c r="AR81" s="576">
        <f>ROUND(SUMIFS(Input[Student Uses],Input[Institution Name],H81),0)</f>
        <v>30170628</v>
      </c>
      <c r="AS81" s="574"/>
      <c r="AT81" s="577"/>
      <c r="AU81" s="598">
        <f t="shared" si="21"/>
        <v>857</v>
      </c>
      <c r="AV81" s="598"/>
      <c r="AW81" s="599"/>
      <c r="AX81" s="576">
        <f>ROUND(SUMIFS(Input[Other Uses],Input[Institution Name],H81),0)</f>
        <v>810324</v>
      </c>
      <c r="AY81" s="574"/>
      <c r="AZ81" s="577"/>
      <c r="BA81" s="598">
        <f t="shared" si="22"/>
        <v>23</v>
      </c>
      <c r="BB81" s="598"/>
      <c r="BC81" s="598"/>
      <c r="BD81" s="576">
        <f t="shared" si="16"/>
        <v>522796584</v>
      </c>
      <c r="BE81" s="574"/>
      <c r="BF81" s="577"/>
      <c r="BG81" s="598">
        <f t="shared" si="23"/>
        <v>14852</v>
      </c>
      <c r="BH81" s="598"/>
      <c r="BI81" s="598"/>
      <c r="BJ81" s="17"/>
      <c r="BK81" s="17"/>
    </row>
    <row r="82" spans="1:63" ht="30" customHeight="1" thickBot="1" x14ac:dyDescent="0.35">
      <c r="A82" s="17"/>
      <c r="B82" s="17"/>
      <c r="C82" s="17"/>
      <c r="D82" s="17"/>
      <c r="E82" s="17"/>
      <c r="F82" s="17"/>
      <c r="G82" s="17"/>
      <c r="H82" s="579" t="s">
        <v>22</v>
      </c>
      <c r="I82" s="580"/>
      <c r="J82" s="580"/>
      <c r="K82" s="580"/>
      <c r="L82" s="580"/>
      <c r="M82" s="580"/>
      <c r="N82" s="580"/>
      <c r="O82" s="580"/>
      <c r="P82" s="581"/>
      <c r="Q82" s="582">
        <f>SUMIFS('FTSE | FTFE'!$P$104:$P$139,'FTSE | FTFE'!$H$104:$H$139,H82)</f>
        <v>1560</v>
      </c>
      <c r="R82" s="583"/>
      <c r="S82" s="586"/>
      <c r="T82" s="595">
        <f>ROUND(SUMIFS(Input[Instruction Uses],Input[Institution Name],H82),0)</f>
        <v>13307485</v>
      </c>
      <c r="U82" s="596"/>
      <c r="V82" s="597"/>
      <c r="W82" s="585">
        <f t="shared" si="17"/>
        <v>8530</v>
      </c>
      <c r="X82" s="583"/>
      <c r="Y82" s="586"/>
      <c r="Z82" s="595">
        <f>ROUND(SUMIFS(Input[Research Uses],Input[Institution Name],H82),0)</f>
        <v>7158714</v>
      </c>
      <c r="AA82" s="596"/>
      <c r="AB82" s="597"/>
      <c r="AC82" s="585">
        <f t="shared" si="18"/>
        <v>4589</v>
      </c>
      <c r="AD82" s="583"/>
      <c r="AE82" s="586"/>
      <c r="AF82" s="595">
        <f>ROUND(SUMIFS(Input[Academic Uses],Input[Institution Name],H82),0)</f>
        <v>9017295</v>
      </c>
      <c r="AG82" s="596"/>
      <c r="AH82" s="597"/>
      <c r="AI82" s="585">
        <f t="shared" si="19"/>
        <v>5780</v>
      </c>
      <c r="AJ82" s="583"/>
      <c r="AK82" s="586"/>
      <c r="AL82" s="595">
        <f>ROUND(SUMIFS(Input[Institutional Uses],Input[Institution Name],H82),0)</f>
        <v>7747638</v>
      </c>
      <c r="AM82" s="596"/>
      <c r="AN82" s="597"/>
      <c r="AO82" s="585">
        <f t="shared" si="20"/>
        <v>4966</v>
      </c>
      <c r="AP82" s="583"/>
      <c r="AQ82" s="586"/>
      <c r="AR82" s="595">
        <f>ROUND(SUMIFS(Input[Student Uses],Input[Institution Name],H82),0)</f>
        <v>4373023</v>
      </c>
      <c r="AS82" s="596"/>
      <c r="AT82" s="597"/>
      <c r="AU82" s="585">
        <f t="shared" si="21"/>
        <v>2803</v>
      </c>
      <c r="AV82" s="583"/>
      <c r="AW82" s="586"/>
      <c r="AX82" s="595">
        <f>ROUND(SUMIFS(Input[Other Uses],Input[Institution Name],H82),0)</f>
        <v>33865</v>
      </c>
      <c r="AY82" s="596"/>
      <c r="AZ82" s="597"/>
      <c r="BA82" s="585">
        <f t="shared" si="22"/>
        <v>22</v>
      </c>
      <c r="BB82" s="583"/>
      <c r="BC82" s="584"/>
      <c r="BD82" s="595">
        <f t="shared" si="16"/>
        <v>41638020</v>
      </c>
      <c r="BE82" s="596"/>
      <c r="BF82" s="597"/>
      <c r="BG82" s="585">
        <f t="shared" si="23"/>
        <v>26691</v>
      </c>
      <c r="BH82" s="583"/>
      <c r="BI82" s="584"/>
      <c r="BJ82" s="17"/>
      <c r="BK82" s="17"/>
    </row>
    <row r="83" spans="1:63" ht="30" customHeight="1" thickTop="1" x14ac:dyDescent="0.3">
      <c r="A83" s="17"/>
      <c r="B83" s="17"/>
      <c r="C83" s="17"/>
      <c r="D83" s="17"/>
      <c r="E83" s="17"/>
      <c r="F83" s="17"/>
      <c r="G83" s="17"/>
      <c r="H83" s="564"/>
      <c r="I83" s="565"/>
      <c r="J83" s="565"/>
      <c r="K83" s="565"/>
      <c r="L83" s="565"/>
      <c r="M83" s="565"/>
      <c r="N83" s="565"/>
      <c r="O83" s="565"/>
      <c r="P83" s="566"/>
      <c r="Q83" s="593">
        <f>SUM(Q47:S82)</f>
        <v>587918</v>
      </c>
      <c r="R83" s="591"/>
      <c r="S83" s="592"/>
      <c r="T83" s="593">
        <f>SUM(T47:V82)</f>
        <v>4710721392</v>
      </c>
      <c r="U83" s="591"/>
      <c r="V83" s="594"/>
      <c r="W83" s="590">
        <f>SUM(W47:Y82)</f>
        <v>274422</v>
      </c>
      <c r="X83" s="591"/>
      <c r="Y83" s="592"/>
      <c r="Z83" s="593">
        <f>SUM(Z47:AB82)</f>
        <v>2816401609</v>
      </c>
      <c r="AA83" s="591"/>
      <c r="AB83" s="594"/>
      <c r="AC83" s="590">
        <f>SUM(AC47:AE82)</f>
        <v>106274</v>
      </c>
      <c r="AD83" s="591"/>
      <c r="AE83" s="592"/>
      <c r="AF83" s="593">
        <f>SUM(AF47:AH82)</f>
        <v>2370017780</v>
      </c>
      <c r="AG83" s="591"/>
      <c r="AH83" s="594"/>
      <c r="AI83" s="590">
        <f>SUM(AI47:AK82)</f>
        <v>118355</v>
      </c>
      <c r="AJ83" s="591"/>
      <c r="AK83" s="592"/>
      <c r="AL83" s="593">
        <f>SUM(AL47:AN82)</f>
        <v>1482341992</v>
      </c>
      <c r="AM83" s="591"/>
      <c r="AN83" s="594"/>
      <c r="AO83" s="590">
        <f>SUM(AO47:AQ82)</f>
        <v>101347</v>
      </c>
      <c r="AP83" s="591"/>
      <c r="AQ83" s="592"/>
      <c r="AR83" s="593">
        <f>SUM(AR47:AT82)</f>
        <v>1001344571</v>
      </c>
      <c r="AS83" s="591"/>
      <c r="AT83" s="594"/>
      <c r="AU83" s="590">
        <f>SUM(AU47:AW82)</f>
        <v>73182</v>
      </c>
      <c r="AV83" s="591"/>
      <c r="AW83" s="592"/>
      <c r="AX83" s="593">
        <f>SUM(AX47:AZ82)</f>
        <v>290116816</v>
      </c>
      <c r="AY83" s="591"/>
      <c r="AZ83" s="594"/>
      <c r="BA83" s="590">
        <f>SUM(BA47:BC82)</f>
        <v>20672</v>
      </c>
      <c r="BB83" s="591"/>
      <c r="BC83" s="594"/>
      <c r="BD83" s="593">
        <f>SUM(BD47:BF82)</f>
        <v>12670944160</v>
      </c>
      <c r="BE83" s="591"/>
      <c r="BF83" s="594"/>
      <c r="BG83" s="590">
        <f>SUM(BG47:BI82)</f>
        <v>694252</v>
      </c>
      <c r="BH83" s="591"/>
      <c r="BI83" s="594"/>
      <c r="BJ83" s="17"/>
      <c r="BK83" s="17"/>
    </row>
    <row r="84" spans="1:63" ht="30" customHeight="1" x14ac:dyDescent="0.3">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row>
    <row r="85" spans="1:63" ht="30" customHeight="1"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row>
  </sheetData>
  <sheetProtection algorithmName="SHA-512" hashValue="ZS8X0W/03M0VVBeE+ZPzL6wArwYjxTCJ159t1xWyNhoER8euqIy/a4sjg3Ji0CKbf6L6jOkND9L85tJZJHOTUQ==" saltValue="I1BG3vXTwZl+9iNnYczCUw==" spinCount="100000" sheet="1" objects="1" scenarios="1" formatCells="0" formatColumns="0" formatRows="0"/>
  <mergeCells count="1068">
    <mergeCell ref="H8:P9"/>
    <mergeCell ref="AR9:AT9"/>
    <mergeCell ref="AU9:AW9"/>
    <mergeCell ref="AX9:AZ9"/>
    <mergeCell ref="BA9:BC9"/>
    <mergeCell ref="BD9:BF9"/>
    <mergeCell ref="AR8:AW8"/>
    <mergeCell ref="AX8:BC8"/>
    <mergeCell ref="T9:V9"/>
    <mergeCell ref="W9:Y9"/>
    <mergeCell ref="Z9:AB9"/>
    <mergeCell ref="AC9:AE9"/>
    <mergeCell ref="AF9:AH9"/>
    <mergeCell ref="AI9:AK9"/>
    <mergeCell ref="AL9:AN9"/>
    <mergeCell ref="Q8:S9"/>
    <mergeCell ref="T8:Y8"/>
    <mergeCell ref="Z8:AE8"/>
    <mergeCell ref="AF8:AK8"/>
    <mergeCell ref="AL8:AQ8"/>
    <mergeCell ref="AO9:AQ9"/>
    <mergeCell ref="AU10:AW10"/>
    <mergeCell ref="AX10:AZ10"/>
    <mergeCell ref="BA10:BC10"/>
    <mergeCell ref="H11:P11"/>
    <mergeCell ref="Q11:S11"/>
    <mergeCell ref="T11:V11"/>
    <mergeCell ref="W11:Y11"/>
    <mergeCell ref="Z11:AB11"/>
    <mergeCell ref="AC11:AE11"/>
    <mergeCell ref="AF11:AH11"/>
    <mergeCell ref="AC10:AE10"/>
    <mergeCell ref="AF10:AH10"/>
    <mergeCell ref="AI10:AK10"/>
    <mergeCell ref="AL10:AN10"/>
    <mergeCell ref="AO10:AQ10"/>
    <mergeCell ref="AR10:AT10"/>
    <mergeCell ref="H10:P10"/>
    <mergeCell ref="Q10:S10"/>
    <mergeCell ref="T10:V10"/>
    <mergeCell ref="W10:Y10"/>
    <mergeCell ref="Z10:AB10"/>
    <mergeCell ref="AO12:AQ12"/>
    <mergeCell ref="AR12:AT12"/>
    <mergeCell ref="AU12:AW12"/>
    <mergeCell ref="AX12:AZ12"/>
    <mergeCell ref="BA12:BC12"/>
    <mergeCell ref="H13:P13"/>
    <mergeCell ref="Q13:S13"/>
    <mergeCell ref="T13:V13"/>
    <mergeCell ref="W13:Y13"/>
    <mergeCell ref="Z13:AB13"/>
    <mergeCell ref="BA11:BC11"/>
    <mergeCell ref="H12:P12"/>
    <mergeCell ref="Q12:S12"/>
    <mergeCell ref="T12:V12"/>
    <mergeCell ref="W12:Y12"/>
    <mergeCell ref="Z12:AB12"/>
    <mergeCell ref="AC12:AE12"/>
    <mergeCell ref="AF12:AH12"/>
    <mergeCell ref="AI12:AK12"/>
    <mergeCell ref="AL12:AN12"/>
    <mergeCell ref="AI11:AK11"/>
    <mergeCell ref="AL11:AN11"/>
    <mergeCell ref="AO11:AQ11"/>
    <mergeCell ref="AR11:AT11"/>
    <mergeCell ref="AU11:AW11"/>
    <mergeCell ref="AX11:AZ11"/>
    <mergeCell ref="BA14:BC14"/>
    <mergeCell ref="H15:P15"/>
    <mergeCell ref="Q15:S15"/>
    <mergeCell ref="T15:V15"/>
    <mergeCell ref="W15:Y15"/>
    <mergeCell ref="Z15:AB15"/>
    <mergeCell ref="AC15:AE15"/>
    <mergeCell ref="AF15:AH15"/>
    <mergeCell ref="AI15:AK15"/>
    <mergeCell ref="AL15:AN15"/>
    <mergeCell ref="AI14:AK14"/>
    <mergeCell ref="AL14:AN14"/>
    <mergeCell ref="AO14:AQ14"/>
    <mergeCell ref="AR14:AT14"/>
    <mergeCell ref="AU14:AW14"/>
    <mergeCell ref="AX14:AZ14"/>
    <mergeCell ref="AU13:AW13"/>
    <mergeCell ref="AX13:AZ13"/>
    <mergeCell ref="BA13:BC13"/>
    <mergeCell ref="H14:P14"/>
    <mergeCell ref="Q14:S14"/>
    <mergeCell ref="T14:V14"/>
    <mergeCell ref="W14:Y14"/>
    <mergeCell ref="Z14:AB14"/>
    <mergeCell ref="AC14:AE14"/>
    <mergeCell ref="AF14:AH14"/>
    <mergeCell ref="AC13:AE13"/>
    <mergeCell ref="AF13:AH13"/>
    <mergeCell ref="AI13:AK13"/>
    <mergeCell ref="AL13:AN13"/>
    <mergeCell ref="AO13:AQ13"/>
    <mergeCell ref="AR13:AT13"/>
    <mergeCell ref="AU16:AW16"/>
    <mergeCell ref="AX16:AZ16"/>
    <mergeCell ref="BA16:BC16"/>
    <mergeCell ref="H17:P17"/>
    <mergeCell ref="Q17:S17"/>
    <mergeCell ref="T17:V17"/>
    <mergeCell ref="W17:Y17"/>
    <mergeCell ref="Z17:AB17"/>
    <mergeCell ref="AC17:AE17"/>
    <mergeCell ref="AF17:AH17"/>
    <mergeCell ref="AC16:AE16"/>
    <mergeCell ref="AF16:AH16"/>
    <mergeCell ref="AI16:AK16"/>
    <mergeCell ref="AL16:AN16"/>
    <mergeCell ref="AO16:AQ16"/>
    <mergeCell ref="AR16:AT16"/>
    <mergeCell ref="AO15:AQ15"/>
    <mergeCell ref="AR15:AT15"/>
    <mergeCell ref="AU15:AW15"/>
    <mergeCell ref="AX15:AZ15"/>
    <mergeCell ref="BA15:BC15"/>
    <mergeCell ref="H16:P16"/>
    <mergeCell ref="Q16:S16"/>
    <mergeCell ref="T16:V16"/>
    <mergeCell ref="W16:Y16"/>
    <mergeCell ref="Z16:AB16"/>
    <mergeCell ref="AO18:AQ18"/>
    <mergeCell ref="AR18:AT18"/>
    <mergeCell ref="AU18:AW18"/>
    <mergeCell ref="AX18:AZ18"/>
    <mergeCell ref="BA18:BC18"/>
    <mergeCell ref="H19:P19"/>
    <mergeCell ref="Q19:S19"/>
    <mergeCell ref="T19:V19"/>
    <mergeCell ref="W19:Y19"/>
    <mergeCell ref="Z19:AB19"/>
    <mergeCell ref="BA17:BC17"/>
    <mergeCell ref="H18:P18"/>
    <mergeCell ref="Q18:S18"/>
    <mergeCell ref="T18:V18"/>
    <mergeCell ref="W18:Y18"/>
    <mergeCell ref="Z18:AB18"/>
    <mergeCell ref="AC18:AE18"/>
    <mergeCell ref="AF18:AH18"/>
    <mergeCell ref="AI18:AK18"/>
    <mergeCell ref="AL18:AN18"/>
    <mergeCell ref="AI17:AK17"/>
    <mergeCell ref="AL17:AN17"/>
    <mergeCell ref="AO17:AQ17"/>
    <mergeCell ref="AR17:AT17"/>
    <mergeCell ref="AU17:AW17"/>
    <mergeCell ref="AX17:AZ17"/>
    <mergeCell ref="BA20:BC20"/>
    <mergeCell ref="H21:P21"/>
    <mergeCell ref="Q21:S21"/>
    <mergeCell ref="T21:V21"/>
    <mergeCell ref="W21:Y21"/>
    <mergeCell ref="Z21:AB21"/>
    <mergeCell ref="AC21:AE21"/>
    <mergeCell ref="AF21:AH21"/>
    <mergeCell ref="AI21:AK21"/>
    <mergeCell ref="AL21:AN21"/>
    <mergeCell ref="AI20:AK20"/>
    <mergeCell ref="AL20:AN20"/>
    <mergeCell ref="AO20:AQ20"/>
    <mergeCell ref="AR20:AT20"/>
    <mergeCell ref="AU20:AW20"/>
    <mergeCell ref="AX20:AZ20"/>
    <mergeCell ref="AU19:AW19"/>
    <mergeCell ref="AX19:AZ19"/>
    <mergeCell ref="BA19:BC19"/>
    <mergeCell ref="H20:P20"/>
    <mergeCell ref="Q20:S20"/>
    <mergeCell ref="T20:V20"/>
    <mergeCell ref="W20:Y20"/>
    <mergeCell ref="Z20:AB20"/>
    <mergeCell ref="AC20:AE20"/>
    <mergeCell ref="AF20:AH20"/>
    <mergeCell ref="AC19:AE19"/>
    <mergeCell ref="AF19:AH19"/>
    <mergeCell ref="AI19:AK19"/>
    <mergeCell ref="AL19:AN19"/>
    <mergeCell ref="AO19:AQ19"/>
    <mergeCell ref="AR19:AT19"/>
    <mergeCell ref="W23:Y23"/>
    <mergeCell ref="Z23:AB23"/>
    <mergeCell ref="AC23:AE23"/>
    <mergeCell ref="AF23:AH23"/>
    <mergeCell ref="AC22:AE22"/>
    <mergeCell ref="AF22:AH22"/>
    <mergeCell ref="AI22:AK22"/>
    <mergeCell ref="AL22:AN22"/>
    <mergeCell ref="AO22:AQ22"/>
    <mergeCell ref="AR22:AT22"/>
    <mergeCell ref="AO21:AQ21"/>
    <mergeCell ref="AR21:AT21"/>
    <mergeCell ref="AU21:AW21"/>
    <mergeCell ref="AX21:AZ21"/>
    <mergeCell ref="BA21:BC21"/>
    <mergeCell ref="H22:P22"/>
    <mergeCell ref="Q22:S22"/>
    <mergeCell ref="T22:V22"/>
    <mergeCell ref="W22:Y22"/>
    <mergeCell ref="Z22:AB22"/>
    <mergeCell ref="AO24:AQ24"/>
    <mergeCell ref="AR24:AT24"/>
    <mergeCell ref="AU24:AW24"/>
    <mergeCell ref="AX24:AZ24"/>
    <mergeCell ref="BA24:BC24"/>
    <mergeCell ref="BG9:BI9"/>
    <mergeCell ref="BD10:BF10"/>
    <mergeCell ref="BG10:BI10"/>
    <mergeCell ref="BD11:BF11"/>
    <mergeCell ref="BG11:BI11"/>
    <mergeCell ref="BA23:BC23"/>
    <mergeCell ref="H24:P24"/>
    <mergeCell ref="Q24:S24"/>
    <mergeCell ref="T24:V24"/>
    <mergeCell ref="W24:Y24"/>
    <mergeCell ref="Z24:AB24"/>
    <mergeCell ref="AC24:AE24"/>
    <mergeCell ref="AF24:AH24"/>
    <mergeCell ref="AI24:AK24"/>
    <mergeCell ref="AL24:AN24"/>
    <mergeCell ref="AI23:AK23"/>
    <mergeCell ref="AL23:AN23"/>
    <mergeCell ref="AO23:AQ23"/>
    <mergeCell ref="AR23:AT23"/>
    <mergeCell ref="AU23:AW23"/>
    <mergeCell ref="AX23:AZ23"/>
    <mergeCell ref="AU22:AW22"/>
    <mergeCell ref="AX22:AZ22"/>
    <mergeCell ref="BA22:BC22"/>
    <mergeCell ref="H23:P23"/>
    <mergeCell ref="Q23:S23"/>
    <mergeCell ref="T23:V23"/>
    <mergeCell ref="BD24:BF24"/>
    <mergeCell ref="BG24:BI24"/>
    <mergeCell ref="BD8:BI8"/>
    <mergeCell ref="H1:BI2"/>
    <mergeCell ref="H3:BI3"/>
    <mergeCell ref="H6:BI6"/>
    <mergeCell ref="H4:BI4"/>
    <mergeCell ref="H5:BI5"/>
    <mergeCell ref="BD21:BF21"/>
    <mergeCell ref="BG21:BI21"/>
    <mergeCell ref="BD22:BF22"/>
    <mergeCell ref="BG22:BI22"/>
    <mergeCell ref="BD23:BF23"/>
    <mergeCell ref="BG23:BI23"/>
    <mergeCell ref="BD18:BF18"/>
    <mergeCell ref="BG18:BI18"/>
    <mergeCell ref="BD19:BF19"/>
    <mergeCell ref="BG19:BI19"/>
    <mergeCell ref="BD20:BF20"/>
    <mergeCell ref="BG20:BI20"/>
    <mergeCell ref="BD15:BF15"/>
    <mergeCell ref="BG15:BI15"/>
    <mergeCell ref="BD16:BF16"/>
    <mergeCell ref="BG16:BI16"/>
    <mergeCell ref="BD17:BF17"/>
    <mergeCell ref="BG17:BI17"/>
    <mergeCell ref="BD12:BF12"/>
    <mergeCell ref="BG12:BI12"/>
    <mergeCell ref="BD13:BF13"/>
    <mergeCell ref="BG13:BI13"/>
    <mergeCell ref="BD14:BF14"/>
    <mergeCell ref="BG14:BI14"/>
    <mergeCell ref="AO30:AQ30"/>
    <mergeCell ref="AR30:AT30"/>
    <mergeCell ref="AU30:AW30"/>
    <mergeCell ref="AX30:AZ30"/>
    <mergeCell ref="BA30:BC30"/>
    <mergeCell ref="H31:P31"/>
    <mergeCell ref="Q31:S31"/>
    <mergeCell ref="T31:V31"/>
    <mergeCell ref="W31:Y31"/>
    <mergeCell ref="Z31:AB31"/>
    <mergeCell ref="W30:Y30"/>
    <mergeCell ref="Z30:AB30"/>
    <mergeCell ref="AC30:AE30"/>
    <mergeCell ref="AF30:AH30"/>
    <mergeCell ref="AI30:AK30"/>
    <mergeCell ref="AL30:AN30"/>
    <mergeCell ref="H29:P30"/>
    <mergeCell ref="Q29:S30"/>
    <mergeCell ref="T29:Y29"/>
    <mergeCell ref="Z29:AE29"/>
    <mergeCell ref="AF29:AK29"/>
    <mergeCell ref="AL29:AQ29"/>
    <mergeCell ref="AR29:AW29"/>
    <mergeCell ref="AX29:BC29"/>
    <mergeCell ref="T30:V30"/>
    <mergeCell ref="BA32:BC32"/>
    <mergeCell ref="H33:P33"/>
    <mergeCell ref="Q33:S33"/>
    <mergeCell ref="T33:V33"/>
    <mergeCell ref="W33:Y33"/>
    <mergeCell ref="Z33:AB33"/>
    <mergeCell ref="AC33:AE33"/>
    <mergeCell ref="AF33:AH33"/>
    <mergeCell ref="AI33:AK33"/>
    <mergeCell ref="AL33:AN33"/>
    <mergeCell ref="AI32:AK32"/>
    <mergeCell ref="AL32:AN32"/>
    <mergeCell ref="AO32:AQ32"/>
    <mergeCell ref="AR32:AT32"/>
    <mergeCell ref="AU32:AW32"/>
    <mergeCell ref="AX32:AZ32"/>
    <mergeCell ref="AU31:AW31"/>
    <mergeCell ref="AX31:AZ31"/>
    <mergeCell ref="BA31:BC31"/>
    <mergeCell ref="H32:P32"/>
    <mergeCell ref="Q32:S32"/>
    <mergeCell ref="T32:V32"/>
    <mergeCell ref="W32:Y32"/>
    <mergeCell ref="Z32:AB32"/>
    <mergeCell ref="AC32:AE32"/>
    <mergeCell ref="AF32:AH32"/>
    <mergeCell ref="AC31:AE31"/>
    <mergeCell ref="AF31:AH31"/>
    <mergeCell ref="AI31:AK31"/>
    <mergeCell ref="AL31:AN31"/>
    <mergeCell ref="AO31:AQ31"/>
    <mergeCell ref="AR31:AT31"/>
    <mergeCell ref="AU34:AW34"/>
    <mergeCell ref="AX34:AZ34"/>
    <mergeCell ref="BA34:BC34"/>
    <mergeCell ref="H35:P35"/>
    <mergeCell ref="Q35:S35"/>
    <mergeCell ref="T35:V35"/>
    <mergeCell ref="W35:Y35"/>
    <mergeCell ref="Z35:AB35"/>
    <mergeCell ref="AC35:AE35"/>
    <mergeCell ref="AF35:AH35"/>
    <mergeCell ref="AC34:AE34"/>
    <mergeCell ref="AF34:AH34"/>
    <mergeCell ref="AI34:AK34"/>
    <mergeCell ref="AL34:AN34"/>
    <mergeCell ref="AO34:AQ34"/>
    <mergeCell ref="AR34:AT34"/>
    <mergeCell ref="AO33:AQ33"/>
    <mergeCell ref="AR33:AT33"/>
    <mergeCell ref="AU33:AW33"/>
    <mergeCell ref="AX33:AZ33"/>
    <mergeCell ref="BA33:BC33"/>
    <mergeCell ref="H34:P34"/>
    <mergeCell ref="Q34:S34"/>
    <mergeCell ref="T34:V34"/>
    <mergeCell ref="W34:Y34"/>
    <mergeCell ref="Z34:AB34"/>
    <mergeCell ref="BA36:BC36"/>
    <mergeCell ref="H37:P37"/>
    <mergeCell ref="Q37:S37"/>
    <mergeCell ref="T37:V37"/>
    <mergeCell ref="W37:Y37"/>
    <mergeCell ref="Z37:AB37"/>
    <mergeCell ref="BA35:BC35"/>
    <mergeCell ref="H36:P36"/>
    <mergeCell ref="Q36:S36"/>
    <mergeCell ref="T36:V36"/>
    <mergeCell ref="W36:Y36"/>
    <mergeCell ref="Z36:AB36"/>
    <mergeCell ref="AC36:AE36"/>
    <mergeCell ref="AF36:AH36"/>
    <mergeCell ref="AI36:AK36"/>
    <mergeCell ref="AL36:AN36"/>
    <mergeCell ref="AI35:AK35"/>
    <mergeCell ref="AL35:AN35"/>
    <mergeCell ref="AO35:AQ35"/>
    <mergeCell ref="AR35:AT35"/>
    <mergeCell ref="AU35:AW35"/>
    <mergeCell ref="AX35:AZ35"/>
    <mergeCell ref="H38:P38"/>
    <mergeCell ref="Q38:S38"/>
    <mergeCell ref="T38:V38"/>
    <mergeCell ref="W38:Y38"/>
    <mergeCell ref="Z38:AB38"/>
    <mergeCell ref="AC38:AE38"/>
    <mergeCell ref="AF38:AH38"/>
    <mergeCell ref="AC37:AE37"/>
    <mergeCell ref="AF37:AH37"/>
    <mergeCell ref="AI37:AK37"/>
    <mergeCell ref="AL37:AN37"/>
    <mergeCell ref="AO37:AQ37"/>
    <mergeCell ref="AR37:AT37"/>
    <mergeCell ref="AO36:AQ36"/>
    <mergeCell ref="AR36:AT36"/>
    <mergeCell ref="AU36:AW36"/>
    <mergeCell ref="AX36:AZ36"/>
    <mergeCell ref="Q39:S39"/>
    <mergeCell ref="T39:V39"/>
    <mergeCell ref="W39:Y39"/>
    <mergeCell ref="Z39:AB39"/>
    <mergeCell ref="AC39:AE39"/>
    <mergeCell ref="AF39:AH39"/>
    <mergeCell ref="AI39:AK39"/>
    <mergeCell ref="AL39:AN39"/>
    <mergeCell ref="AI38:AK38"/>
    <mergeCell ref="AL38:AN38"/>
    <mergeCell ref="AO38:AQ38"/>
    <mergeCell ref="AR38:AT38"/>
    <mergeCell ref="AU38:AW38"/>
    <mergeCell ref="AX38:AZ38"/>
    <mergeCell ref="AU37:AW37"/>
    <mergeCell ref="AX37:AZ37"/>
    <mergeCell ref="BA37:BC37"/>
    <mergeCell ref="AI40:AK40"/>
    <mergeCell ref="BD39:BF39"/>
    <mergeCell ref="BG39:BI39"/>
    <mergeCell ref="BD36:BF36"/>
    <mergeCell ref="BG36:BI36"/>
    <mergeCell ref="BD37:BF37"/>
    <mergeCell ref="BG37:BI37"/>
    <mergeCell ref="BD38:BF38"/>
    <mergeCell ref="BG38:BI38"/>
    <mergeCell ref="BG32:BI32"/>
    <mergeCell ref="BD33:BF33"/>
    <mergeCell ref="BG33:BI33"/>
    <mergeCell ref="BD34:BF34"/>
    <mergeCell ref="BG34:BI34"/>
    <mergeCell ref="BD35:BF35"/>
    <mergeCell ref="BG35:BI35"/>
    <mergeCell ref="H27:BI27"/>
    <mergeCell ref="BD29:BI29"/>
    <mergeCell ref="BD30:BF30"/>
    <mergeCell ref="BG30:BI30"/>
    <mergeCell ref="BD31:BF31"/>
    <mergeCell ref="BG31:BI31"/>
    <mergeCell ref="BD32:BF32"/>
    <mergeCell ref="AO39:AQ39"/>
    <mergeCell ref="AR39:AT39"/>
    <mergeCell ref="AU39:AW39"/>
    <mergeCell ref="AX39:AZ39"/>
    <mergeCell ref="BA39:BC39"/>
    <mergeCell ref="H40:P40"/>
    <mergeCell ref="Q40:S40"/>
    <mergeCell ref="BA38:BC38"/>
    <mergeCell ref="H39:P39"/>
    <mergeCell ref="H50:P50"/>
    <mergeCell ref="Q50:S50"/>
    <mergeCell ref="H51:P51"/>
    <mergeCell ref="Q51:S51"/>
    <mergeCell ref="H52:P52"/>
    <mergeCell ref="Q52:S52"/>
    <mergeCell ref="H47:P47"/>
    <mergeCell ref="Q47:S47"/>
    <mergeCell ref="H48:P48"/>
    <mergeCell ref="Q48:S48"/>
    <mergeCell ref="H49:P49"/>
    <mergeCell ref="Q49:S49"/>
    <mergeCell ref="BD40:BF40"/>
    <mergeCell ref="BG40:BI40"/>
    <mergeCell ref="H43:BI43"/>
    <mergeCell ref="H45:P46"/>
    <mergeCell ref="Q45:S46"/>
    <mergeCell ref="AR45:AW45"/>
    <mergeCell ref="AX45:BC45"/>
    <mergeCell ref="BD45:BI45"/>
    <mergeCell ref="AF46:AH46"/>
    <mergeCell ref="AL40:AN40"/>
    <mergeCell ref="AO40:AQ40"/>
    <mergeCell ref="AR40:AT40"/>
    <mergeCell ref="AU40:AW40"/>
    <mergeCell ref="AX40:AZ40"/>
    <mergeCell ref="BA40:BC40"/>
    <mergeCell ref="T40:V40"/>
    <mergeCell ref="W40:Y40"/>
    <mergeCell ref="Z40:AB40"/>
    <mergeCell ref="AC40:AE40"/>
    <mergeCell ref="AF40:AH40"/>
    <mergeCell ref="H59:P59"/>
    <mergeCell ref="Q59:S59"/>
    <mergeCell ref="H60:P60"/>
    <mergeCell ref="Q60:S60"/>
    <mergeCell ref="H61:P61"/>
    <mergeCell ref="Q61:S61"/>
    <mergeCell ref="H56:P56"/>
    <mergeCell ref="Q56:S56"/>
    <mergeCell ref="H57:P57"/>
    <mergeCell ref="Q57:S57"/>
    <mergeCell ref="H58:P58"/>
    <mergeCell ref="Q58:S58"/>
    <mergeCell ref="H53:P53"/>
    <mergeCell ref="Q53:S53"/>
    <mergeCell ref="H54:P54"/>
    <mergeCell ref="Q54:S54"/>
    <mergeCell ref="H55:P55"/>
    <mergeCell ref="Q55:S55"/>
    <mergeCell ref="H73:P73"/>
    <mergeCell ref="Q73:S73"/>
    <mergeCell ref="H68:P68"/>
    <mergeCell ref="Q68:S68"/>
    <mergeCell ref="H69:P69"/>
    <mergeCell ref="Q69:S69"/>
    <mergeCell ref="H70:P70"/>
    <mergeCell ref="Q70:S70"/>
    <mergeCell ref="H65:P65"/>
    <mergeCell ref="Q65:S65"/>
    <mergeCell ref="H66:P66"/>
    <mergeCell ref="Q66:S66"/>
    <mergeCell ref="H67:P67"/>
    <mergeCell ref="Q67:S67"/>
    <mergeCell ref="H62:P62"/>
    <mergeCell ref="Q62:S62"/>
    <mergeCell ref="H63:P63"/>
    <mergeCell ref="Q63:S63"/>
    <mergeCell ref="H64:P64"/>
    <mergeCell ref="Q64:S64"/>
    <mergeCell ref="H83:P83"/>
    <mergeCell ref="Q83:S83"/>
    <mergeCell ref="T45:Y45"/>
    <mergeCell ref="Z45:AE45"/>
    <mergeCell ref="AF45:AK45"/>
    <mergeCell ref="AL45:AQ45"/>
    <mergeCell ref="T46:V46"/>
    <mergeCell ref="W46:Y46"/>
    <mergeCell ref="Z46:AB46"/>
    <mergeCell ref="AC46:AE46"/>
    <mergeCell ref="H80:P80"/>
    <mergeCell ref="Q80:S80"/>
    <mergeCell ref="H81:P81"/>
    <mergeCell ref="Q81:S81"/>
    <mergeCell ref="H82:P82"/>
    <mergeCell ref="Q82:S82"/>
    <mergeCell ref="H77:P77"/>
    <mergeCell ref="Q77:S77"/>
    <mergeCell ref="H78:P78"/>
    <mergeCell ref="Q78:S78"/>
    <mergeCell ref="H79:P79"/>
    <mergeCell ref="Q79:S79"/>
    <mergeCell ref="H74:P74"/>
    <mergeCell ref="Q74:S74"/>
    <mergeCell ref="H75:P75"/>
    <mergeCell ref="Q75:S75"/>
    <mergeCell ref="H76:P76"/>
    <mergeCell ref="Q76:S76"/>
    <mergeCell ref="H71:P71"/>
    <mergeCell ref="Q71:S71"/>
    <mergeCell ref="H72:P72"/>
    <mergeCell ref="Q72:S72"/>
    <mergeCell ref="BG47:BI47"/>
    <mergeCell ref="T48:V48"/>
    <mergeCell ref="W48:Y48"/>
    <mergeCell ref="Z48:AB48"/>
    <mergeCell ref="AC48:AE48"/>
    <mergeCell ref="AF48:AH48"/>
    <mergeCell ref="AI48:AK48"/>
    <mergeCell ref="AL48:AN48"/>
    <mergeCell ref="AO48:AQ48"/>
    <mergeCell ref="AR48:AT48"/>
    <mergeCell ref="AO47:AQ47"/>
    <mergeCell ref="AR47:AT47"/>
    <mergeCell ref="AU47:AW47"/>
    <mergeCell ref="AX47:AZ47"/>
    <mergeCell ref="BA47:BC47"/>
    <mergeCell ref="BD47:BF47"/>
    <mergeCell ref="BA46:BC46"/>
    <mergeCell ref="BD46:BF46"/>
    <mergeCell ref="BG46:BI46"/>
    <mergeCell ref="T47:V47"/>
    <mergeCell ref="W47:Y47"/>
    <mergeCell ref="Z47:AB47"/>
    <mergeCell ref="AC47:AE47"/>
    <mergeCell ref="AF47:AH47"/>
    <mergeCell ref="AI47:AK47"/>
    <mergeCell ref="AL47:AN47"/>
    <mergeCell ref="AI46:AK46"/>
    <mergeCell ref="AL46:AN46"/>
    <mergeCell ref="AO46:AQ46"/>
    <mergeCell ref="AR46:AT46"/>
    <mergeCell ref="AU46:AW46"/>
    <mergeCell ref="AX46:AZ46"/>
    <mergeCell ref="BA49:BC49"/>
    <mergeCell ref="BD49:BF49"/>
    <mergeCell ref="BG49:BI49"/>
    <mergeCell ref="T50:V50"/>
    <mergeCell ref="W50:Y50"/>
    <mergeCell ref="Z50:AB50"/>
    <mergeCell ref="AC50:AE50"/>
    <mergeCell ref="AF50:AH50"/>
    <mergeCell ref="AI50:AK50"/>
    <mergeCell ref="AL50:AN50"/>
    <mergeCell ref="AI49:AK49"/>
    <mergeCell ref="AL49:AN49"/>
    <mergeCell ref="AO49:AQ49"/>
    <mergeCell ref="AR49:AT49"/>
    <mergeCell ref="AU49:AW49"/>
    <mergeCell ref="AX49:AZ49"/>
    <mergeCell ref="AU48:AW48"/>
    <mergeCell ref="AX48:AZ48"/>
    <mergeCell ref="BA48:BC48"/>
    <mergeCell ref="BD48:BF48"/>
    <mergeCell ref="BG48:BI48"/>
    <mergeCell ref="T49:V49"/>
    <mergeCell ref="W49:Y49"/>
    <mergeCell ref="Z49:AB49"/>
    <mergeCell ref="AC49:AE49"/>
    <mergeCell ref="AF49:AH49"/>
    <mergeCell ref="AU51:AW51"/>
    <mergeCell ref="AX51:AZ51"/>
    <mergeCell ref="BA51:BC51"/>
    <mergeCell ref="BD51:BF51"/>
    <mergeCell ref="BG51:BI51"/>
    <mergeCell ref="T52:V52"/>
    <mergeCell ref="W52:Y52"/>
    <mergeCell ref="Z52:AB52"/>
    <mergeCell ref="AC52:AE52"/>
    <mergeCell ref="AF52:AH52"/>
    <mergeCell ref="BG50:BI50"/>
    <mergeCell ref="T51:V51"/>
    <mergeCell ref="W51:Y51"/>
    <mergeCell ref="Z51:AB51"/>
    <mergeCell ref="AC51:AE51"/>
    <mergeCell ref="AF51:AH51"/>
    <mergeCell ref="AI51:AK51"/>
    <mergeCell ref="AL51:AN51"/>
    <mergeCell ref="AO51:AQ51"/>
    <mergeCell ref="AR51:AT51"/>
    <mergeCell ref="AO50:AQ50"/>
    <mergeCell ref="AR50:AT50"/>
    <mergeCell ref="AU50:AW50"/>
    <mergeCell ref="AX50:AZ50"/>
    <mergeCell ref="BA50:BC50"/>
    <mergeCell ref="BD50:BF50"/>
    <mergeCell ref="BG53:BI53"/>
    <mergeCell ref="T54:V54"/>
    <mergeCell ref="W54:Y54"/>
    <mergeCell ref="Z54:AB54"/>
    <mergeCell ref="AC54:AE54"/>
    <mergeCell ref="AF54:AH54"/>
    <mergeCell ref="AI54:AK54"/>
    <mergeCell ref="AL54:AN54"/>
    <mergeCell ref="AO54:AQ54"/>
    <mergeCell ref="AR54:AT54"/>
    <mergeCell ref="AO53:AQ53"/>
    <mergeCell ref="AR53:AT53"/>
    <mergeCell ref="AU53:AW53"/>
    <mergeCell ref="AX53:AZ53"/>
    <mergeCell ref="BA53:BC53"/>
    <mergeCell ref="BD53:BF53"/>
    <mergeCell ref="BA52:BC52"/>
    <mergeCell ref="BD52:BF52"/>
    <mergeCell ref="BG52:BI52"/>
    <mergeCell ref="T53:V53"/>
    <mergeCell ref="W53:Y53"/>
    <mergeCell ref="Z53:AB53"/>
    <mergeCell ref="AC53:AE53"/>
    <mergeCell ref="AF53:AH53"/>
    <mergeCell ref="AI53:AK53"/>
    <mergeCell ref="AL53:AN53"/>
    <mergeCell ref="AI52:AK52"/>
    <mergeCell ref="AL52:AN52"/>
    <mergeCell ref="AO52:AQ52"/>
    <mergeCell ref="AR52:AT52"/>
    <mergeCell ref="AU52:AW52"/>
    <mergeCell ref="AX52:AZ52"/>
    <mergeCell ref="BA55:BC55"/>
    <mergeCell ref="BD55:BF55"/>
    <mergeCell ref="BG55:BI55"/>
    <mergeCell ref="T56:V56"/>
    <mergeCell ref="W56:Y56"/>
    <mergeCell ref="Z56:AB56"/>
    <mergeCell ref="AC56:AE56"/>
    <mergeCell ref="AF56:AH56"/>
    <mergeCell ref="AI56:AK56"/>
    <mergeCell ref="AL56:AN56"/>
    <mergeCell ref="AI55:AK55"/>
    <mergeCell ref="AL55:AN55"/>
    <mergeCell ref="AO55:AQ55"/>
    <mergeCell ref="AR55:AT55"/>
    <mergeCell ref="AU55:AW55"/>
    <mergeCell ref="AX55:AZ55"/>
    <mergeCell ref="AU54:AW54"/>
    <mergeCell ref="AX54:AZ54"/>
    <mergeCell ref="BA54:BC54"/>
    <mergeCell ref="BD54:BF54"/>
    <mergeCell ref="BG54:BI54"/>
    <mergeCell ref="T55:V55"/>
    <mergeCell ref="W55:Y55"/>
    <mergeCell ref="Z55:AB55"/>
    <mergeCell ref="AC55:AE55"/>
    <mergeCell ref="AF55:AH55"/>
    <mergeCell ref="AU57:AW57"/>
    <mergeCell ref="AX57:AZ57"/>
    <mergeCell ref="BA57:BC57"/>
    <mergeCell ref="BD57:BF57"/>
    <mergeCell ref="BG57:BI57"/>
    <mergeCell ref="T58:V58"/>
    <mergeCell ref="W58:Y58"/>
    <mergeCell ref="Z58:AB58"/>
    <mergeCell ref="AC58:AE58"/>
    <mergeCell ref="AF58:AH58"/>
    <mergeCell ref="BG56:BI56"/>
    <mergeCell ref="T57:V57"/>
    <mergeCell ref="W57:Y57"/>
    <mergeCell ref="Z57:AB57"/>
    <mergeCell ref="AC57:AE57"/>
    <mergeCell ref="AF57:AH57"/>
    <mergeCell ref="AI57:AK57"/>
    <mergeCell ref="AL57:AN57"/>
    <mergeCell ref="AO57:AQ57"/>
    <mergeCell ref="AR57:AT57"/>
    <mergeCell ref="AO56:AQ56"/>
    <mergeCell ref="AR56:AT56"/>
    <mergeCell ref="AU56:AW56"/>
    <mergeCell ref="AX56:AZ56"/>
    <mergeCell ref="BA56:BC56"/>
    <mergeCell ref="BD56:BF56"/>
    <mergeCell ref="BG59:BI59"/>
    <mergeCell ref="T60:V60"/>
    <mergeCell ref="W60:Y60"/>
    <mergeCell ref="Z60:AB60"/>
    <mergeCell ref="AC60:AE60"/>
    <mergeCell ref="AF60:AH60"/>
    <mergeCell ref="AI60:AK60"/>
    <mergeCell ref="AL60:AN60"/>
    <mergeCell ref="AO60:AQ60"/>
    <mergeCell ref="AR60:AT60"/>
    <mergeCell ref="AO59:AQ59"/>
    <mergeCell ref="AR59:AT59"/>
    <mergeCell ref="AU59:AW59"/>
    <mergeCell ref="AX59:AZ59"/>
    <mergeCell ref="BA59:BC59"/>
    <mergeCell ref="BD59:BF59"/>
    <mergeCell ref="BA58:BC58"/>
    <mergeCell ref="BD58:BF58"/>
    <mergeCell ref="BG58:BI58"/>
    <mergeCell ref="T59:V59"/>
    <mergeCell ref="W59:Y59"/>
    <mergeCell ref="Z59:AB59"/>
    <mergeCell ref="AC59:AE59"/>
    <mergeCell ref="AF59:AH59"/>
    <mergeCell ref="AI59:AK59"/>
    <mergeCell ref="AL59:AN59"/>
    <mergeCell ref="AI58:AK58"/>
    <mergeCell ref="AL58:AN58"/>
    <mergeCell ref="AO58:AQ58"/>
    <mergeCell ref="AR58:AT58"/>
    <mergeCell ref="AU58:AW58"/>
    <mergeCell ref="AX58:AZ58"/>
    <mergeCell ref="BA61:BC61"/>
    <mergeCell ref="BD61:BF61"/>
    <mergeCell ref="BG61:BI61"/>
    <mergeCell ref="T62:V62"/>
    <mergeCell ref="W62:Y62"/>
    <mergeCell ref="Z62:AB62"/>
    <mergeCell ref="AC62:AE62"/>
    <mergeCell ref="AF62:AH62"/>
    <mergeCell ref="AI62:AK62"/>
    <mergeCell ref="AL62:AN62"/>
    <mergeCell ref="AI61:AK61"/>
    <mergeCell ref="AL61:AN61"/>
    <mergeCell ref="AO61:AQ61"/>
    <mergeCell ref="AR61:AT61"/>
    <mergeCell ref="AU61:AW61"/>
    <mergeCell ref="AX61:AZ61"/>
    <mergeCell ref="AU60:AW60"/>
    <mergeCell ref="AX60:AZ60"/>
    <mergeCell ref="BA60:BC60"/>
    <mergeCell ref="BD60:BF60"/>
    <mergeCell ref="BG60:BI60"/>
    <mergeCell ref="T61:V61"/>
    <mergeCell ref="W61:Y61"/>
    <mergeCell ref="Z61:AB61"/>
    <mergeCell ref="AC61:AE61"/>
    <mergeCell ref="AF61:AH61"/>
    <mergeCell ref="AU63:AW63"/>
    <mergeCell ref="AX63:AZ63"/>
    <mergeCell ref="BA63:BC63"/>
    <mergeCell ref="BD63:BF63"/>
    <mergeCell ref="BG63:BI63"/>
    <mergeCell ref="T64:V64"/>
    <mergeCell ref="W64:Y64"/>
    <mergeCell ref="Z64:AB64"/>
    <mergeCell ref="AC64:AE64"/>
    <mergeCell ref="AF64:AH64"/>
    <mergeCell ref="BG62:BI62"/>
    <mergeCell ref="T63:V63"/>
    <mergeCell ref="W63:Y63"/>
    <mergeCell ref="Z63:AB63"/>
    <mergeCell ref="AC63:AE63"/>
    <mergeCell ref="AF63:AH63"/>
    <mergeCell ref="AI63:AK63"/>
    <mergeCell ref="AL63:AN63"/>
    <mergeCell ref="AO63:AQ63"/>
    <mergeCell ref="AR63:AT63"/>
    <mergeCell ref="AO62:AQ62"/>
    <mergeCell ref="AR62:AT62"/>
    <mergeCell ref="AU62:AW62"/>
    <mergeCell ref="AX62:AZ62"/>
    <mergeCell ref="BA62:BC62"/>
    <mergeCell ref="BD62:BF62"/>
    <mergeCell ref="BG65:BI65"/>
    <mergeCell ref="T66:V66"/>
    <mergeCell ref="W66:Y66"/>
    <mergeCell ref="Z66:AB66"/>
    <mergeCell ref="AC66:AE66"/>
    <mergeCell ref="AF66:AH66"/>
    <mergeCell ref="AI66:AK66"/>
    <mergeCell ref="AL66:AN66"/>
    <mergeCell ref="AO66:AQ66"/>
    <mergeCell ref="AR66:AT66"/>
    <mergeCell ref="AO65:AQ65"/>
    <mergeCell ref="AR65:AT65"/>
    <mergeCell ref="AU65:AW65"/>
    <mergeCell ref="AX65:AZ65"/>
    <mergeCell ref="BA65:BC65"/>
    <mergeCell ref="BD65:BF65"/>
    <mergeCell ref="BA64:BC64"/>
    <mergeCell ref="BD64:BF64"/>
    <mergeCell ref="BG64:BI64"/>
    <mergeCell ref="T65:V65"/>
    <mergeCell ref="W65:Y65"/>
    <mergeCell ref="Z65:AB65"/>
    <mergeCell ref="AC65:AE65"/>
    <mergeCell ref="AF65:AH65"/>
    <mergeCell ref="AI65:AK65"/>
    <mergeCell ref="AL65:AN65"/>
    <mergeCell ref="AI64:AK64"/>
    <mergeCell ref="AL64:AN64"/>
    <mergeCell ref="AO64:AQ64"/>
    <mergeCell ref="AR64:AT64"/>
    <mergeCell ref="AU64:AW64"/>
    <mergeCell ref="AX64:AZ64"/>
    <mergeCell ref="BA67:BC67"/>
    <mergeCell ref="BD67:BF67"/>
    <mergeCell ref="BG67:BI67"/>
    <mergeCell ref="T68:V68"/>
    <mergeCell ref="W68:Y68"/>
    <mergeCell ref="Z68:AB68"/>
    <mergeCell ref="AC68:AE68"/>
    <mergeCell ref="AF68:AH68"/>
    <mergeCell ref="AI68:AK68"/>
    <mergeCell ref="AL68:AN68"/>
    <mergeCell ref="AI67:AK67"/>
    <mergeCell ref="AL67:AN67"/>
    <mergeCell ref="AO67:AQ67"/>
    <mergeCell ref="AR67:AT67"/>
    <mergeCell ref="AU67:AW67"/>
    <mergeCell ref="AX67:AZ67"/>
    <mergeCell ref="AU66:AW66"/>
    <mergeCell ref="AX66:AZ66"/>
    <mergeCell ref="BA66:BC66"/>
    <mergeCell ref="BD66:BF66"/>
    <mergeCell ref="BG66:BI66"/>
    <mergeCell ref="T67:V67"/>
    <mergeCell ref="W67:Y67"/>
    <mergeCell ref="Z67:AB67"/>
    <mergeCell ref="AC67:AE67"/>
    <mergeCell ref="AF67:AH67"/>
    <mergeCell ref="AU69:AW69"/>
    <mergeCell ref="AX69:AZ69"/>
    <mergeCell ref="BA69:BC69"/>
    <mergeCell ref="BD69:BF69"/>
    <mergeCell ref="BG69:BI69"/>
    <mergeCell ref="T70:V70"/>
    <mergeCell ref="W70:Y70"/>
    <mergeCell ref="Z70:AB70"/>
    <mergeCell ref="AC70:AE70"/>
    <mergeCell ref="AF70:AH70"/>
    <mergeCell ref="BG68:BI68"/>
    <mergeCell ref="T69:V69"/>
    <mergeCell ref="W69:Y69"/>
    <mergeCell ref="Z69:AB69"/>
    <mergeCell ref="AC69:AE69"/>
    <mergeCell ref="AF69:AH69"/>
    <mergeCell ref="AI69:AK69"/>
    <mergeCell ref="AL69:AN69"/>
    <mergeCell ref="AO69:AQ69"/>
    <mergeCell ref="AR69:AT69"/>
    <mergeCell ref="AO68:AQ68"/>
    <mergeCell ref="AR68:AT68"/>
    <mergeCell ref="AU68:AW68"/>
    <mergeCell ref="AX68:AZ68"/>
    <mergeCell ref="BA68:BC68"/>
    <mergeCell ref="BD68:BF68"/>
    <mergeCell ref="BG71:BI71"/>
    <mergeCell ref="T72:V72"/>
    <mergeCell ref="W72:Y72"/>
    <mergeCell ref="Z72:AB72"/>
    <mergeCell ref="AC72:AE72"/>
    <mergeCell ref="AF72:AH72"/>
    <mergeCell ref="AI72:AK72"/>
    <mergeCell ref="AL72:AN72"/>
    <mergeCell ref="AO72:AQ72"/>
    <mergeCell ref="AR72:AT72"/>
    <mergeCell ref="AO71:AQ71"/>
    <mergeCell ref="AR71:AT71"/>
    <mergeCell ref="AU71:AW71"/>
    <mergeCell ref="AX71:AZ71"/>
    <mergeCell ref="BA71:BC71"/>
    <mergeCell ref="BD71:BF71"/>
    <mergeCell ref="BA70:BC70"/>
    <mergeCell ref="BD70:BF70"/>
    <mergeCell ref="BG70:BI70"/>
    <mergeCell ref="T71:V71"/>
    <mergeCell ref="W71:Y71"/>
    <mergeCell ref="Z71:AB71"/>
    <mergeCell ref="AC71:AE71"/>
    <mergeCell ref="AF71:AH71"/>
    <mergeCell ref="AI71:AK71"/>
    <mergeCell ref="AL71:AN71"/>
    <mergeCell ref="AI70:AK70"/>
    <mergeCell ref="AL70:AN70"/>
    <mergeCell ref="AO70:AQ70"/>
    <mergeCell ref="AR70:AT70"/>
    <mergeCell ref="AU70:AW70"/>
    <mergeCell ref="AX70:AZ70"/>
    <mergeCell ref="BA73:BC73"/>
    <mergeCell ref="BD73:BF73"/>
    <mergeCell ref="BG73:BI73"/>
    <mergeCell ref="T74:V74"/>
    <mergeCell ref="W74:Y74"/>
    <mergeCell ref="Z74:AB74"/>
    <mergeCell ref="AC74:AE74"/>
    <mergeCell ref="AF74:AH74"/>
    <mergeCell ref="AI74:AK74"/>
    <mergeCell ref="AL74:AN74"/>
    <mergeCell ref="AI73:AK73"/>
    <mergeCell ref="AL73:AN73"/>
    <mergeCell ref="AO73:AQ73"/>
    <mergeCell ref="AR73:AT73"/>
    <mergeCell ref="AU73:AW73"/>
    <mergeCell ref="AX73:AZ73"/>
    <mergeCell ref="AU72:AW72"/>
    <mergeCell ref="AX72:AZ72"/>
    <mergeCell ref="BA72:BC72"/>
    <mergeCell ref="BD72:BF72"/>
    <mergeCell ref="BG72:BI72"/>
    <mergeCell ref="T73:V73"/>
    <mergeCell ref="W73:Y73"/>
    <mergeCell ref="Z73:AB73"/>
    <mergeCell ref="AC73:AE73"/>
    <mergeCell ref="AF73:AH73"/>
    <mergeCell ref="AU75:AW75"/>
    <mergeCell ref="AX75:AZ75"/>
    <mergeCell ref="BA75:BC75"/>
    <mergeCell ref="BD75:BF75"/>
    <mergeCell ref="BG75:BI75"/>
    <mergeCell ref="T76:V76"/>
    <mergeCell ref="W76:Y76"/>
    <mergeCell ref="Z76:AB76"/>
    <mergeCell ref="AC76:AE76"/>
    <mergeCell ref="AF76:AH76"/>
    <mergeCell ref="BG74:BI74"/>
    <mergeCell ref="T75:V75"/>
    <mergeCell ref="W75:Y75"/>
    <mergeCell ref="Z75:AB75"/>
    <mergeCell ref="AC75:AE75"/>
    <mergeCell ref="AF75:AH75"/>
    <mergeCell ref="AI75:AK75"/>
    <mergeCell ref="AL75:AN75"/>
    <mergeCell ref="AO75:AQ75"/>
    <mergeCell ref="AR75:AT75"/>
    <mergeCell ref="AO74:AQ74"/>
    <mergeCell ref="AR74:AT74"/>
    <mergeCell ref="AU74:AW74"/>
    <mergeCell ref="AX74:AZ74"/>
    <mergeCell ref="BA74:BC74"/>
    <mergeCell ref="BD74:BF74"/>
    <mergeCell ref="BG77:BI77"/>
    <mergeCell ref="T78:V78"/>
    <mergeCell ref="W78:Y78"/>
    <mergeCell ref="Z78:AB78"/>
    <mergeCell ref="AC78:AE78"/>
    <mergeCell ref="AF78:AH78"/>
    <mergeCell ref="AI78:AK78"/>
    <mergeCell ref="AL78:AN78"/>
    <mergeCell ref="AO78:AQ78"/>
    <mergeCell ref="AR78:AT78"/>
    <mergeCell ref="AO77:AQ77"/>
    <mergeCell ref="AR77:AT77"/>
    <mergeCell ref="AU77:AW77"/>
    <mergeCell ref="AX77:AZ77"/>
    <mergeCell ref="BA77:BC77"/>
    <mergeCell ref="BD77:BF77"/>
    <mergeCell ref="BA76:BC76"/>
    <mergeCell ref="BD76:BF76"/>
    <mergeCell ref="BG76:BI76"/>
    <mergeCell ref="T77:V77"/>
    <mergeCell ref="W77:Y77"/>
    <mergeCell ref="Z77:AB77"/>
    <mergeCell ref="AC77:AE77"/>
    <mergeCell ref="AF77:AH77"/>
    <mergeCell ref="AI77:AK77"/>
    <mergeCell ref="AL77:AN77"/>
    <mergeCell ref="AI76:AK76"/>
    <mergeCell ref="AL76:AN76"/>
    <mergeCell ref="AO76:AQ76"/>
    <mergeCell ref="AR76:AT76"/>
    <mergeCell ref="AU76:AW76"/>
    <mergeCell ref="AX76:AZ76"/>
    <mergeCell ref="BA79:BC79"/>
    <mergeCell ref="BD79:BF79"/>
    <mergeCell ref="BG79:BI79"/>
    <mergeCell ref="T80:V80"/>
    <mergeCell ref="W80:Y80"/>
    <mergeCell ref="Z80:AB80"/>
    <mergeCell ref="AC80:AE80"/>
    <mergeCell ref="AF80:AH80"/>
    <mergeCell ref="AI80:AK80"/>
    <mergeCell ref="AL80:AN80"/>
    <mergeCell ref="AI79:AK79"/>
    <mergeCell ref="AL79:AN79"/>
    <mergeCell ref="AO79:AQ79"/>
    <mergeCell ref="AR79:AT79"/>
    <mergeCell ref="AU79:AW79"/>
    <mergeCell ref="AX79:AZ79"/>
    <mergeCell ref="AU78:AW78"/>
    <mergeCell ref="AX78:AZ78"/>
    <mergeCell ref="BA78:BC78"/>
    <mergeCell ref="BD78:BF78"/>
    <mergeCell ref="BG78:BI78"/>
    <mergeCell ref="T79:V79"/>
    <mergeCell ref="W79:Y79"/>
    <mergeCell ref="Z79:AB79"/>
    <mergeCell ref="AC79:AE79"/>
    <mergeCell ref="AF79:AH79"/>
    <mergeCell ref="AU81:AW81"/>
    <mergeCell ref="AX81:AZ81"/>
    <mergeCell ref="BA81:BC81"/>
    <mergeCell ref="BD81:BF81"/>
    <mergeCell ref="BG81:BI81"/>
    <mergeCell ref="T82:V82"/>
    <mergeCell ref="W82:Y82"/>
    <mergeCell ref="Z82:AB82"/>
    <mergeCell ref="AC82:AE82"/>
    <mergeCell ref="AF82:AH82"/>
    <mergeCell ref="BG80:BI80"/>
    <mergeCell ref="T81:V81"/>
    <mergeCell ref="W81:Y81"/>
    <mergeCell ref="Z81:AB81"/>
    <mergeCell ref="AC81:AE81"/>
    <mergeCell ref="AF81:AH81"/>
    <mergeCell ref="AI81:AK81"/>
    <mergeCell ref="AL81:AN81"/>
    <mergeCell ref="AO81:AQ81"/>
    <mergeCell ref="AR81:AT81"/>
    <mergeCell ref="AO80:AQ80"/>
    <mergeCell ref="AR80:AT80"/>
    <mergeCell ref="AU80:AW80"/>
    <mergeCell ref="AX80:AZ80"/>
    <mergeCell ref="BA80:BC80"/>
    <mergeCell ref="BD80:BF80"/>
    <mergeCell ref="BG83:BI83"/>
    <mergeCell ref="AO83:AQ83"/>
    <mergeCell ref="AR83:AT83"/>
    <mergeCell ref="AU83:AW83"/>
    <mergeCell ref="AX83:AZ83"/>
    <mergeCell ref="BA83:BC83"/>
    <mergeCell ref="BD83:BF83"/>
    <mergeCell ref="BA82:BC82"/>
    <mergeCell ref="BD82:BF82"/>
    <mergeCell ref="BG82:BI82"/>
    <mergeCell ref="T83:V83"/>
    <mergeCell ref="W83:Y83"/>
    <mergeCell ref="Z83:AB83"/>
    <mergeCell ref="AC83:AE83"/>
    <mergeCell ref="AF83:AH83"/>
    <mergeCell ref="AI83:AK83"/>
    <mergeCell ref="AL83:AN83"/>
    <mergeCell ref="AI82:AK82"/>
    <mergeCell ref="AL82:AN82"/>
    <mergeCell ref="AO82:AQ82"/>
    <mergeCell ref="AR82:AT82"/>
    <mergeCell ref="AU82:AW82"/>
    <mergeCell ref="AX82:AZ82"/>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75AD8-C769-4FA5-A15C-B54D252BAF8C}">
  <sheetPr codeName="Sheet11">
    <tabColor theme="6"/>
  </sheetPr>
  <dimension ref="A1:AM61"/>
  <sheetViews>
    <sheetView zoomScale="80" zoomScaleNormal="80" workbookViewId="0"/>
  </sheetViews>
  <sheetFormatPr defaultColWidth="8.1640625" defaultRowHeight="15.6" x14ac:dyDescent="0.25"/>
  <cols>
    <col min="1" max="7" width="6.6640625" style="34" customWidth="1"/>
    <col min="8" max="32" width="6.6640625" style="28" customWidth="1"/>
    <col min="33" max="33" width="6.6640625" style="35" customWidth="1"/>
    <col min="34" max="38" width="6.6640625" style="36" customWidth="1"/>
    <col min="39" max="39" width="6.58203125" style="36" customWidth="1"/>
    <col min="40" max="16384" width="8.1640625" style="28"/>
  </cols>
  <sheetData>
    <row r="1" spans="1:39" ht="30" customHeight="1" x14ac:dyDescent="0.25">
      <c r="A1" s="25"/>
      <c r="B1" s="25"/>
      <c r="C1" s="25"/>
      <c r="D1" s="25"/>
      <c r="E1" s="25"/>
      <c r="F1" s="25"/>
      <c r="G1" s="25"/>
      <c r="H1" s="152" t="s">
        <v>108</v>
      </c>
      <c r="I1" s="152"/>
      <c r="J1" s="152"/>
      <c r="K1" s="152"/>
      <c r="L1" s="152"/>
      <c r="M1" s="152"/>
      <c r="N1" s="152"/>
      <c r="O1" s="152"/>
      <c r="P1" s="152"/>
      <c r="Q1" s="152"/>
      <c r="R1" s="152"/>
      <c r="S1" s="152"/>
      <c r="T1" s="152"/>
      <c r="U1" s="152"/>
      <c r="V1" s="152"/>
      <c r="W1" s="152"/>
      <c r="X1" s="152"/>
      <c r="Y1" s="152"/>
      <c r="Z1" s="152"/>
      <c r="AA1" s="152"/>
      <c r="AB1" s="152"/>
      <c r="AC1" s="152"/>
      <c r="AD1" s="152"/>
      <c r="AE1" s="152"/>
      <c r="AF1" s="152"/>
      <c r="AG1" s="26"/>
      <c r="AH1" s="24"/>
      <c r="AI1" s="24"/>
      <c r="AJ1" s="24"/>
      <c r="AK1" s="24"/>
      <c r="AL1" s="24"/>
      <c r="AM1" s="24"/>
    </row>
    <row r="2" spans="1:39" ht="30" customHeight="1" x14ac:dyDescent="0.25">
      <c r="A2" s="25"/>
      <c r="B2" s="25"/>
      <c r="C2" s="25"/>
      <c r="D2" s="25"/>
      <c r="E2" s="25"/>
      <c r="F2" s="25"/>
      <c r="G2" s="25"/>
      <c r="H2" s="658"/>
      <c r="I2" s="658"/>
      <c r="J2" s="658"/>
      <c r="K2" s="658"/>
      <c r="L2" s="658"/>
      <c r="M2" s="658"/>
      <c r="N2" s="658"/>
      <c r="O2" s="658"/>
      <c r="P2" s="658"/>
      <c r="Q2" s="658"/>
      <c r="R2" s="658"/>
      <c r="S2" s="658"/>
      <c r="T2" s="658"/>
      <c r="U2" s="658"/>
      <c r="V2" s="658"/>
      <c r="W2" s="658"/>
      <c r="X2" s="658"/>
      <c r="Y2" s="658"/>
      <c r="Z2" s="658"/>
      <c r="AA2" s="658"/>
      <c r="AB2" s="658"/>
      <c r="AC2" s="658"/>
      <c r="AD2" s="658"/>
      <c r="AE2" s="658"/>
      <c r="AF2" s="658"/>
      <c r="AG2" s="26"/>
      <c r="AH2" s="24"/>
      <c r="AI2" s="24"/>
      <c r="AJ2" s="24"/>
      <c r="AK2" s="24"/>
      <c r="AL2" s="24"/>
      <c r="AM2" s="24"/>
    </row>
    <row r="3" spans="1:39" ht="30" customHeight="1" x14ac:dyDescent="0.3">
      <c r="A3" s="25"/>
      <c r="B3" s="25"/>
      <c r="C3" s="25"/>
      <c r="D3" s="25"/>
      <c r="E3" s="25"/>
      <c r="F3" s="25"/>
      <c r="G3" s="25"/>
      <c r="H3" s="659" t="s">
        <v>952</v>
      </c>
      <c r="I3" s="660"/>
      <c r="J3" s="660"/>
      <c r="K3" s="660"/>
      <c r="L3" s="660"/>
      <c r="M3" s="660"/>
      <c r="N3" s="660"/>
      <c r="O3" s="660"/>
      <c r="P3" s="660"/>
      <c r="Q3" s="660"/>
      <c r="R3" s="660"/>
      <c r="S3" s="660"/>
      <c r="T3" s="660"/>
      <c r="U3" s="660"/>
      <c r="V3" s="660"/>
      <c r="W3" s="660"/>
      <c r="X3" s="660"/>
      <c r="Y3" s="660"/>
      <c r="Z3" s="660"/>
      <c r="AA3" s="660"/>
      <c r="AB3" s="660"/>
      <c r="AC3" s="660"/>
      <c r="AD3" s="660"/>
      <c r="AE3" s="660"/>
      <c r="AF3" s="661"/>
      <c r="AG3" s="29"/>
      <c r="AH3" s="24"/>
      <c r="AI3" s="24"/>
      <c r="AJ3" s="24"/>
      <c r="AK3" s="24"/>
      <c r="AL3" s="24"/>
      <c r="AM3" s="24"/>
    </row>
    <row r="4" spans="1:39" ht="30" customHeight="1" x14ac:dyDescent="0.3">
      <c r="A4" s="25"/>
      <c r="B4" s="25"/>
      <c r="C4" s="25"/>
      <c r="D4" s="25"/>
      <c r="E4" s="25"/>
      <c r="F4" s="25"/>
      <c r="G4" s="25"/>
      <c r="H4" s="662" t="s">
        <v>1032</v>
      </c>
      <c r="I4" s="662"/>
      <c r="J4" s="662"/>
      <c r="K4" s="662"/>
      <c r="L4" s="662"/>
      <c r="M4" s="662"/>
      <c r="N4" s="662"/>
      <c r="O4" s="662"/>
      <c r="P4" s="662"/>
      <c r="Q4" s="662"/>
      <c r="R4" s="662"/>
      <c r="S4" s="662"/>
      <c r="T4" s="662"/>
      <c r="U4" s="662"/>
      <c r="V4" s="662"/>
      <c r="W4" s="662"/>
      <c r="X4" s="662"/>
      <c r="Y4" s="662"/>
      <c r="Z4" s="662"/>
      <c r="AA4" s="662"/>
      <c r="AB4" s="662"/>
      <c r="AC4" s="662"/>
      <c r="AD4" s="662"/>
      <c r="AE4" s="662"/>
      <c r="AF4" s="662"/>
      <c r="AG4" s="29"/>
      <c r="AH4" s="24"/>
      <c r="AI4" s="24"/>
      <c r="AJ4" s="24"/>
      <c r="AK4" s="24"/>
      <c r="AL4" s="24"/>
      <c r="AM4" s="24"/>
    </row>
    <row r="5" spans="1:39" ht="30" customHeight="1" x14ac:dyDescent="0.3">
      <c r="A5" s="25"/>
      <c r="B5" s="25"/>
      <c r="C5" s="25"/>
      <c r="D5" s="25"/>
      <c r="E5" s="25"/>
      <c r="F5" s="25"/>
      <c r="G5" s="25"/>
      <c r="H5" s="24"/>
      <c r="I5" s="24"/>
      <c r="J5" s="24"/>
      <c r="K5" s="24"/>
      <c r="L5" s="24"/>
      <c r="M5" s="24"/>
      <c r="N5" s="24"/>
      <c r="O5" s="24"/>
      <c r="P5" s="24"/>
      <c r="Q5" s="24"/>
      <c r="R5" s="24"/>
      <c r="S5" s="24"/>
      <c r="T5" s="24"/>
      <c r="U5" s="24"/>
      <c r="V5" s="24"/>
      <c r="W5" s="24"/>
      <c r="X5" s="24"/>
      <c r="Y5" s="24"/>
      <c r="Z5" s="24"/>
      <c r="AA5" s="24"/>
      <c r="AB5" s="24"/>
      <c r="AC5" s="24"/>
      <c r="AD5" s="24"/>
      <c r="AE5" s="24"/>
      <c r="AF5" s="24"/>
      <c r="AG5" s="29"/>
      <c r="AH5" s="24"/>
      <c r="AI5" s="24"/>
      <c r="AJ5" s="24"/>
      <c r="AK5" s="24"/>
      <c r="AL5" s="24"/>
      <c r="AM5" s="24"/>
    </row>
    <row r="6" spans="1:39" ht="30" customHeight="1" x14ac:dyDescent="0.3">
      <c r="A6" s="25"/>
      <c r="B6" s="25"/>
      <c r="C6" s="25"/>
      <c r="D6" s="25"/>
      <c r="E6" s="25"/>
      <c r="F6" s="25"/>
      <c r="G6" s="25"/>
      <c r="H6" s="663" t="s">
        <v>0</v>
      </c>
      <c r="I6" s="664"/>
      <c r="J6" s="664"/>
      <c r="K6" s="664"/>
      <c r="L6" s="664"/>
      <c r="M6" s="664"/>
      <c r="N6" s="664"/>
      <c r="O6" s="664"/>
      <c r="P6" s="667" t="s">
        <v>59</v>
      </c>
      <c r="Q6" s="667"/>
      <c r="R6" s="669" t="s">
        <v>921</v>
      </c>
      <c r="S6" s="669"/>
      <c r="T6" s="669"/>
      <c r="U6" s="669" t="s">
        <v>922</v>
      </c>
      <c r="V6" s="669"/>
      <c r="W6" s="669"/>
      <c r="X6" s="669" t="s">
        <v>1035</v>
      </c>
      <c r="Y6" s="669"/>
      <c r="Z6" s="669"/>
      <c r="AA6" s="671" t="s">
        <v>1034</v>
      </c>
      <c r="AB6" s="671"/>
      <c r="AC6" s="671"/>
      <c r="AD6" s="669" t="s">
        <v>1033</v>
      </c>
      <c r="AE6" s="669"/>
      <c r="AF6" s="673"/>
      <c r="AG6" s="29"/>
      <c r="AH6" s="24"/>
      <c r="AI6" s="24"/>
      <c r="AJ6" s="24"/>
      <c r="AK6" s="24"/>
      <c r="AL6" s="24"/>
      <c r="AM6" s="24"/>
    </row>
    <row r="7" spans="1:39" ht="30" customHeight="1" x14ac:dyDescent="0.3">
      <c r="A7" s="25"/>
      <c r="B7" s="25"/>
      <c r="C7" s="25"/>
      <c r="D7" s="25"/>
      <c r="E7" s="25"/>
      <c r="F7" s="25"/>
      <c r="G7" s="25"/>
      <c r="H7" s="665"/>
      <c r="I7" s="666"/>
      <c r="J7" s="666"/>
      <c r="K7" s="666"/>
      <c r="L7" s="666"/>
      <c r="M7" s="666"/>
      <c r="N7" s="666"/>
      <c r="O7" s="666"/>
      <c r="P7" s="668"/>
      <c r="Q7" s="668"/>
      <c r="R7" s="670"/>
      <c r="S7" s="670"/>
      <c r="T7" s="670"/>
      <c r="U7" s="670"/>
      <c r="V7" s="670"/>
      <c r="W7" s="670"/>
      <c r="X7" s="670"/>
      <c r="Y7" s="670"/>
      <c r="Z7" s="670"/>
      <c r="AA7" s="672"/>
      <c r="AB7" s="672"/>
      <c r="AC7" s="672"/>
      <c r="AD7" s="670"/>
      <c r="AE7" s="670"/>
      <c r="AF7" s="674"/>
      <c r="AG7" s="29"/>
      <c r="AH7" s="24"/>
      <c r="AI7" s="24"/>
      <c r="AJ7" s="24"/>
      <c r="AK7" s="24"/>
      <c r="AL7" s="24"/>
      <c r="AM7" s="24"/>
    </row>
    <row r="8" spans="1:39" ht="30" customHeight="1" x14ac:dyDescent="0.3">
      <c r="A8" s="25"/>
      <c r="B8" s="25"/>
      <c r="C8" s="25"/>
      <c r="D8" s="25"/>
      <c r="E8" s="25"/>
      <c r="F8" s="25"/>
      <c r="G8" s="25"/>
      <c r="H8" s="701" t="s">
        <v>29</v>
      </c>
      <c r="I8" s="702"/>
      <c r="J8" s="702"/>
      <c r="K8" s="702"/>
      <c r="L8" s="702"/>
      <c r="M8" s="702"/>
      <c r="N8" s="702"/>
      <c r="O8" s="702"/>
      <c r="P8" s="690">
        <v>3656</v>
      </c>
      <c r="Q8" s="690"/>
      <c r="R8" s="691">
        <f>SUMIFS(Input[Instr E&amp;G],Input[Institution Name],H8)
+SUMIFS(Input[Instr Desg],Input[Institution Name],H8)
+SUMIFS(Input[Instr R Exp],Input[Institution Name],H8)
+SUMIFS(Input[Instr Unexp],Input[Institution Name],H8)
+SUMIFS(Input[Cost Study Inst.],Input[Institution Name],H8)</f>
        <v>237498278</v>
      </c>
      <c r="S8" s="691"/>
      <c r="T8" s="691"/>
      <c r="U8" s="691">
        <f>SUMIFS(Input[Res E&amp;G],Input[Institution Name],H8)
+SUMIFS(Input[Res Desg],Input[Institution Name],H8)
+SUMIFS(Input[Res R Exp],Input[Institution Name],H8)
+SUMIFS(Input[Res Unexp],Input[Institution Name],H8)
+SUMIFS(Input[Cost Study Resh],Input[Institution Name],H8)</f>
        <v>170781117</v>
      </c>
      <c r="V8" s="691"/>
      <c r="W8" s="691"/>
      <c r="X8" s="691">
        <f>SUMIFS(Input[Acad Sup E&amp;G],Input[Institution Name],H8)
+SUMIFS(Input[Acad Sup Desg],Input[Institution Name],H8)
+SUMIFS(Input[Acad Sup R Exp],Input[Institution Name],H8)
+SUMIFS(Input[Acad Sup Unexp],Input[Institution Name],H8)
+SUMIFS(Input[Cost Study Aca Sppt],Input[Institution Name],H8)</f>
        <v>65758664</v>
      </c>
      <c r="Y8" s="691"/>
      <c r="Z8" s="691"/>
      <c r="AA8" s="691">
        <f>SUMIFS(Input[Stu Svc E&amp;G],Input[Institution Name],H8)
+SUMIFS(Input[Stu Svc Desg],Input[Institution Name],H8)
+SUMIFS(Input[Stu Svc R Exp],Input[Institution Name],H8)
+SUMIFS(Input[Stu Svc Unexp],Input[Institution Name],H8)
+SUMIFS(Input[Cost Study Stu Svcs],Input[Institution Name],H8)
-SUMIFS(Input[Cost Study Intr C. Ath],Input[Institution Name],H8)</f>
        <v>102149915</v>
      </c>
      <c r="AB8" s="691"/>
      <c r="AC8" s="691"/>
      <c r="AD8" s="691">
        <f>SUMIFS(Input[Inst. Spt E&amp;G],Input[Institution Name],H8)
+SUMIFS(Input[Inst. Spt Desg],Input[Institution Name],H8)
+SUMIFS(Input[Inst. Spt R Exp],Input[Institution Name],H8)
+SUMIFS(Input[Inst. Spt Unexp],Input[Institution Name],H8)
+SUMIFS(Input[Cost Study Inst. Sppt],Input[Institution Name],H8)</f>
        <v>60736881</v>
      </c>
      <c r="AE8" s="691"/>
      <c r="AF8" s="692"/>
      <c r="AG8" s="29"/>
      <c r="AH8" s="24"/>
      <c r="AI8" s="24"/>
      <c r="AJ8" s="24"/>
      <c r="AK8" s="24"/>
      <c r="AL8" s="24"/>
      <c r="AM8" s="24"/>
    </row>
    <row r="9" spans="1:39" ht="30" customHeight="1" x14ac:dyDescent="0.3">
      <c r="A9" s="25"/>
      <c r="B9" s="25"/>
      <c r="C9" s="25"/>
      <c r="D9" s="25"/>
      <c r="E9" s="25"/>
      <c r="F9" s="25"/>
      <c r="G9" s="25"/>
      <c r="H9" s="699" t="s">
        <v>40</v>
      </c>
      <c r="I9" s="700"/>
      <c r="J9" s="700"/>
      <c r="K9" s="700"/>
      <c r="L9" s="700"/>
      <c r="M9" s="700"/>
      <c r="N9" s="700"/>
      <c r="O9" s="700"/>
      <c r="P9" s="695">
        <v>3658</v>
      </c>
      <c r="Q9" s="695"/>
      <c r="R9" s="683">
        <f>SUMIFS(Input[Instr E&amp;G],Input[Institution Name],H9)
+SUMIFS(Input[Instr Desg],Input[Institution Name],H9)
+SUMIFS(Input[Instr R Exp],Input[Institution Name],H9)
+SUMIFS(Input[Instr Unexp],Input[Institution Name],H9)
+SUMIFS(Input[Cost Study Inst.],Input[Institution Name],H9)</f>
        <v>776128217</v>
      </c>
      <c r="S9" s="683"/>
      <c r="T9" s="683"/>
      <c r="U9" s="683">
        <f>SUMIFS(Input[Res E&amp;G],Input[Institution Name],H9)
+SUMIFS(Input[Res Desg],Input[Institution Name],H9)
+SUMIFS(Input[Res R Exp],Input[Institution Name],H9)
+SUMIFS(Input[Res Unexp],Input[Institution Name],H9)
+SUMIFS(Input[Cost Study Resh],Input[Institution Name],H9)</f>
        <v>1043714545</v>
      </c>
      <c r="V9" s="683"/>
      <c r="W9" s="683"/>
      <c r="X9" s="683">
        <f>SUMIFS(Input[Acad Sup E&amp;G],Input[Institution Name],H9)
+SUMIFS(Input[Acad Sup Desg],Input[Institution Name],H9)
+SUMIFS(Input[Acad Sup R Exp],Input[Institution Name],H9)
+SUMIFS(Input[Acad Sup Unexp],Input[Institution Name],H9)
+SUMIFS(Input[Cost Study Aca Sppt],Input[Institution Name],H9)</f>
        <v>618213965</v>
      </c>
      <c r="Y9" s="683"/>
      <c r="Z9" s="683"/>
      <c r="AA9" s="683">
        <f>SUMIFS(Input[Stu Svc E&amp;G],Input[Institution Name],H9)
+SUMIFS(Input[Stu Svc Desg],Input[Institution Name],H9)
+SUMIFS(Input[Stu Svc R Exp],Input[Institution Name],H9)
+SUMIFS(Input[Stu Svc Unexp],Input[Institution Name],H9)
+SUMIFS(Input[Cost Study Stu Svcs],Input[Institution Name],H9)
-SUMIFS(Input[Cost Study Intr C. Ath],Input[Institution Name],H9)</f>
        <v>52721491</v>
      </c>
      <c r="AB9" s="683"/>
      <c r="AC9" s="683"/>
      <c r="AD9" s="683">
        <f>SUMIFS(Input[Inst. Spt E&amp;G],Input[Institution Name],H9)
+SUMIFS(Input[Inst. Spt Desg],Input[Institution Name],H9)
+SUMIFS(Input[Inst. Spt R Exp],Input[Institution Name],H9)
+SUMIFS(Input[Inst. Spt Unexp],Input[Institution Name],H9)
+SUMIFS(Input[Cost Study Inst. Sppt],Input[Institution Name],H9)</f>
        <v>322942835</v>
      </c>
      <c r="AE9" s="683"/>
      <c r="AF9" s="684"/>
      <c r="AG9" s="677" t="s">
        <v>953</v>
      </c>
      <c r="AH9" s="677"/>
      <c r="AI9" s="677"/>
      <c r="AJ9" s="677"/>
      <c r="AK9" s="24"/>
      <c r="AL9" s="24"/>
      <c r="AM9" s="24"/>
    </row>
    <row r="10" spans="1:39" ht="30" customHeight="1" x14ac:dyDescent="0.3">
      <c r="A10" s="25"/>
      <c r="B10" s="25"/>
      <c r="C10" s="25"/>
      <c r="D10" s="25"/>
      <c r="E10" s="25"/>
      <c r="F10" s="25"/>
      <c r="G10" s="25"/>
      <c r="H10" s="168" t="s">
        <v>52</v>
      </c>
      <c r="I10" s="157"/>
      <c r="J10" s="157"/>
      <c r="K10" s="157"/>
      <c r="L10" s="157"/>
      <c r="M10" s="157"/>
      <c r="N10" s="157"/>
      <c r="O10" s="157"/>
      <c r="P10" s="698">
        <v>9741</v>
      </c>
      <c r="Q10" s="698"/>
      <c r="R10" s="685">
        <f>SUMIFS(Input[Instr E&amp;G],Input[Institution Name],H10)
+SUMIFS(Input[Instr Desg],Input[Institution Name],H10)
+SUMIFS(Input[Instr R Exp],Input[Institution Name],H10)
+SUMIFS(Input[Instr Unexp],Input[Institution Name],H10)
+SUMIFS(Input[Cost Study Inst.],Input[Institution Name],H10)</f>
        <v>253286915</v>
      </c>
      <c r="S10" s="685"/>
      <c r="T10" s="685"/>
      <c r="U10" s="685">
        <f>SUMIFS(Input[Res E&amp;G],Input[Institution Name],H10)
+SUMIFS(Input[Res Desg],Input[Institution Name],H10)
+SUMIFS(Input[Res R Exp],Input[Institution Name],H10)
+SUMIFS(Input[Res Unexp],Input[Institution Name],H10)
+SUMIFS(Input[Cost Study Resh],Input[Institution Name],H10)</f>
        <v>163204224</v>
      </c>
      <c r="V10" s="685"/>
      <c r="W10" s="685"/>
      <c r="X10" s="685">
        <f>SUMIFS(Input[Acad Sup E&amp;G],Input[Institution Name],H10)
+SUMIFS(Input[Acad Sup Desg],Input[Institution Name],H10)
+SUMIFS(Input[Acad Sup R Exp],Input[Institution Name],H10)
+SUMIFS(Input[Acad Sup Unexp],Input[Institution Name],H10)
+SUMIFS(Input[Cost Study Aca Sppt],Input[Institution Name],H10)</f>
        <v>114552520</v>
      </c>
      <c r="Y10" s="685"/>
      <c r="Z10" s="685"/>
      <c r="AA10" s="685">
        <f>SUMIFS(Input[Stu Svc E&amp;G],Input[Institution Name],H10)
+SUMIFS(Input[Stu Svc Desg],Input[Institution Name],H10)
+SUMIFS(Input[Stu Svc R Exp],Input[Institution Name],H10)
+SUMIFS(Input[Stu Svc Unexp],Input[Institution Name],H10)
+SUMIFS(Input[Cost Study Stu Svcs],Input[Institution Name],H10)
-SUMIFS(Input[Cost Study Intr C. Ath],Input[Institution Name],H10)</f>
        <v>26459307</v>
      </c>
      <c r="AB10" s="685"/>
      <c r="AC10" s="685"/>
      <c r="AD10" s="685">
        <f>SUMIFS(Input[Inst. Spt E&amp;G],Input[Institution Name],H10)
+SUMIFS(Input[Inst. Spt Desg],Input[Institution Name],H10)
+SUMIFS(Input[Inst. Spt R Exp],Input[Institution Name],H10)
+SUMIFS(Input[Inst. Spt Unexp],Input[Institution Name],H10)
+SUMIFS(Input[Cost Study Inst. Sppt],Input[Institution Name],H10)</f>
        <v>58232892</v>
      </c>
      <c r="AE10" s="685"/>
      <c r="AF10" s="686"/>
      <c r="AG10" s="29"/>
      <c r="AH10" s="24"/>
      <c r="AI10" s="24"/>
      <c r="AJ10" s="24"/>
      <c r="AK10" s="24"/>
      <c r="AL10" s="24"/>
      <c r="AM10" s="24"/>
    </row>
    <row r="11" spans="1:39" ht="30" customHeight="1" x14ac:dyDescent="0.3">
      <c r="A11" s="25"/>
      <c r="B11" s="25"/>
      <c r="C11" s="25"/>
      <c r="D11" s="25"/>
      <c r="E11" s="25"/>
      <c r="F11" s="25"/>
      <c r="G11" s="25"/>
      <c r="H11" s="167" t="s">
        <v>55</v>
      </c>
      <c r="I11" s="158"/>
      <c r="J11" s="158"/>
      <c r="K11" s="158"/>
      <c r="L11" s="158"/>
      <c r="M11" s="158"/>
      <c r="N11" s="158"/>
      <c r="O11" s="158"/>
      <c r="P11" s="695">
        <v>3661</v>
      </c>
      <c r="Q11" s="695"/>
      <c r="R11" s="683">
        <f>SUMIFS(Input[Instr E&amp;G],Input[Institution Name],H11)
+SUMIFS(Input[Instr Desg],Input[Institution Name],H11)
+SUMIFS(Input[Instr R Exp],Input[Institution Name],H11)
+SUMIFS(Input[Instr Unexp],Input[Institution Name],H11)
+SUMIFS(Input[Cost Study Inst.],Input[Institution Name],H11)</f>
        <v>133372161</v>
      </c>
      <c r="S11" s="683"/>
      <c r="T11" s="683"/>
      <c r="U11" s="683">
        <f>SUMIFS(Input[Res E&amp;G],Input[Institution Name],H11)
+SUMIFS(Input[Res Desg],Input[Institution Name],H11)
+SUMIFS(Input[Res R Exp],Input[Institution Name],H11)
+SUMIFS(Input[Res Unexp],Input[Institution Name],H11)
+SUMIFS(Input[Cost Study Resh],Input[Institution Name],H11)</f>
        <v>135985295</v>
      </c>
      <c r="V11" s="683"/>
      <c r="W11" s="683"/>
      <c r="X11" s="683">
        <f>SUMIFS(Input[Acad Sup E&amp;G],Input[Institution Name],H11)
+SUMIFS(Input[Acad Sup Desg],Input[Institution Name],H11)
+SUMIFS(Input[Acad Sup R Exp],Input[Institution Name],H11)
+SUMIFS(Input[Acad Sup Unexp],Input[Institution Name],H11)
+SUMIFS(Input[Cost Study Aca Sppt],Input[Institution Name],H11)</f>
        <v>34606138</v>
      </c>
      <c r="Y11" s="683"/>
      <c r="Z11" s="683"/>
      <c r="AA11" s="683">
        <f>SUMIFS(Input[Stu Svc E&amp;G],Input[Institution Name],H11)
+SUMIFS(Input[Stu Svc Desg],Input[Institution Name],H11)
+SUMIFS(Input[Stu Svc R Exp],Input[Institution Name],H11)
+SUMIFS(Input[Stu Svc Unexp],Input[Institution Name],H11)
+SUMIFS(Input[Cost Study Stu Svcs],Input[Institution Name],H11)
-SUMIFS(Input[Cost Study Intr C. Ath],Input[Institution Name],H11)</f>
        <v>27094824</v>
      </c>
      <c r="AB11" s="683"/>
      <c r="AC11" s="683"/>
      <c r="AD11" s="683">
        <f>SUMIFS(Input[Inst. Spt E&amp;G],Input[Institution Name],H11)
+SUMIFS(Input[Inst. Spt Desg],Input[Institution Name],H11)
+SUMIFS(Input[Inst. Spt R Exp],Input[Institution Name],H11)
+SUMIFS(Input[Inst. Spt Unexp],Input[Institution Name],H11)
+SUMIFS(Input[Cost Study Inst. Sppt],Input[Institution Name],H11)</f>
        <v>47092187</v>
      </c>
      <c r="AE11" s="683"/>
      <c r="AF11" s="684"/>
      <c r="AG11" s="29"/>
      <c r="AH11" s="24"/>
      <c r="AI11" s="24"/>
      <c r="AJ11" s="24"/>
      <c r="AK11" s="24"/>
      <c r="AL11" s="24"/>
      <c r="AM11" s="24"/>
    </row>
    <row r="12" spans="1:39" ht="30" customHeight="1" x14ac:dyDescent="0.3">
      <c r="A12" s="25"/>
      <c r="B12" s="25"/>
      <c r="C12" s="25"/>
      <c r="D12" s="25"/>
      <c r="E12" s="25"/>
      <c r="F12" s="25"/>
      <c r="G12" s="25"/>
      <c r="H12" s="679" t="s">
        <v>164</v>
      </c>
      <c r="I12" s="680"/>
      <c r="J12" s="680"/>
      <c r="K12" s="680"/>
      <c r="L12" s="680"/>
      <c r="M12" s="680"/>
      <c r="N12" s="680"/>
      <c r="O12" s="680"/>
      <c r="P12" s="698">
        <v>3599</v>
      </c>
      <c r="Q12" s="698"/>
      <c r="R12" s="685">
        <f>SUMIFS(Input[Instr E&amp;G],Input[Institution Name],H12)
+SUMIFS(Input[Instr Desg],Input[Institution Name],H12)
+SUMIFS(Input[Instr R Exp],Input[Institution Name],H12)
+SUMIFS(Input[Instr Unexp],Input[Institution Name],H12)
+SUMIFS(Input[Cost Study Inst.],Input[Institution Name],H12)</f>
        <v>177093847</v>
      </c>
      <c r="S12" s="685"/>
      <c r="T12" s="685"/>
      <c r="U12" s="685">
        <f>SUMIFS(Input[Res E&amp;G],Input[Institution Name],H12)
+SUMIFS(Input[Res Desg],Input[Institution Name],H12)
+SUMIFS(Input[Res R Exp],Input[Institution Name],H12)
+SUMIFS(Input[Res Unexp],Input[Institution Name],H12)
+SUMIFS(Input[Cost Study Resh],Input[Institution Name],H12)</f>
        <v>68515179</v>
      </c>
      <c r="V12" s="685"/>
      <c r="W12" s="685"/>
      <c r="X12" s="685">
        <f>SUMIFS(Input[Acad Sup E&amp;G],Input[Institution Name],H12)
+SUMIFS(Input[Acad Sup Desg],Input[Institution Name],H12)
+SUMIFS(Input[Acad Sup R Exp],Input[Institution Name],H12)
+SUMIFS(Input[Acad Sup Unexp],Input[Institution Name],H12)
+SUMIFS(Input[Cost Study Aca Sppt],Input[Institution Name],H12)</f>
        <v>65010623</v>
      </c>
      <c r="Y12" s="685"/>
      <c r="Z12" s="685"/>
      <c r="AA12" s="685">
        <f>SUMIFS(Input[Stu Svc E&amp;G],Input[Institution Name],H12)
+SUMIFS(Input[Stu Svc Desg],Input[Institution Name],H12)
+SUMIFS(Input[Stu Svc R Exp],Input[Institution Name],H12)
+SUMIFS(Input[Stu Svc Unexp],Input[Institution Name],H12)
+SUMIFS(Input[Cost Study Stu Svcs],Input[Institution Name],H12)
-SUMIFS(Input[Cost Study Intr C. Ath],Input[Institution Name],H12)</f>
        <v>35910263</v>
      </c>
      <c r="AB12" s="685"/>
      <c r="AC12" s="685"/>
      <c r="AD12" s="685">
        <f>SUMIFS(Input[Inst. Spt E&amp;G],Input[Institution Name],H12)
+SUMIFS(Input[Inst. Spt Desg],Input[Institution Name],H12)
+SUMIFS(Input[Inst. Spt R Exp],Input[Institution Name],H12)
+SUMIFS(Input[Inst. Spt Unexp],Input[Institution Name],H12)
+SUMIFS(Input[Cost Study Inst. Sppt],Input[Institution Name],H12)</f>
        <v>44371929</v>
      </c>
      <c r="AE12" s="685"/>
      <c r="AF12" s="686"/>
      <c r="AG12" s="677" t="s">
        <v>953</v>
      </c>
      <c r="AH12" s="677"/>
      <c r="AI12" s="677"/>
      <c r="AJ12" s="677"/>
      <c r="AK12" s="24"/>
      <c r="AL12" s="24"/>
      <c r="AM12" s="24"/>
    </row>
    <row r="13" spans="1:39" ht="30" customHeight="1" x14ac:dyDescent="0.3">
      <c r="A13" s="25"/>
      <c r="B13" s="25"/>
      <c r="C13" s="25"/>
      <c r="D13" s="25"/>
      <c r="E13" s="25"/>
      <c r="F13" s="25"/>
      <c r="G13" s="25"/>
      <c r="H13" s="167" t="s">
        <v>1</v>
      </c>
      <c r="I13" s="158"/>
      <c r="J13" s="158"/>
      <c r="K13" s="158"/>
      <c r="L13" s="158"/>
      <c r="M13" s="158"/>
      <c r="N13" s="158"/>
      <c r="O13" s="158"/>
      <c r="P13" s="695">
        <v>9930</v>
      </c>
      <c r="Q13" s="695"/>
      <c r="R13" s="683">
        <f>SUMIFS(Input[Instr E&amp;G],Input[Institution Name],H13)
+SUMIFS(Input[Instr Desg],Input[Institution Name],H13)
+SUMIFS(Input[Instr R Exp],Input[Institution Name],H13)
+SUMIFS(Input[Instr Unexp],Input[Institution Name],H13)
+SUMIFS(Input[Cost Study Inst.],Input[Institution Name],H13)</f>
        <v>30896895</v>
      </c>
      <c r="S13" s="683"/>
      <c r="T13" s="683"/>
      <c r="U13" s="683">
        <f>SUMIFS(Input[Res E&amp;G],Input[Institution Name],H13)
+SUMIFS(Input[Res Desg],Input[Institution Name],H13)
+SUMIFS(Input[Res R Exp],Input[Institution Name],H13)
+SUMIFS(Input[Res Unexp],Input[Institution Name],H13)
+SUMIFS(Input[Cost Study Resh],Input[Institution Name],H13)</f>
        <v>2896756</v>
      </c>
      <c r="V13" s="683"/>
      <c r="W13" s="683"/>
      <c r="X13" s="683">
        <f>SUMIFS(Input[Acad Sup E&amp;G],Input[Institution Name],H13)
+SUMIFS(Input[Acad Sup Desg],Input[Institution Name],H13)
+SUMIFS(Input[Acad Sup R Exp],Input[Institution Name],H13)
+SUMIFS(Input[Acad Sup Unexp],Input[Institution Name],H13)
+SUMIFS(Input[Cost Study Aca Sppt],Input[Institution Name],H13)</f>
        <v>9038118</v>
      </c>
      <c r="Y13" s="683"/>
      <c r="Z13" s="683"/>
      <c r="AA13" s="683">
        <f>SUMIFS(Input[Stu Svc E&amp;G],Input[Institution Name],H13)
+SUMIFS(Input[Stu Svc Desg],Input[Institution Name],H13)
+SUMIFS(Input[Stu Svc R Exp],Input[Institution Name],H13)
+SUMIFS(Input[Stu Svc Unexp],Input[Institution Name],H13)
+SUMIFS(Input[Cost Study Stu Svcs],Input[Institution Name],H13)
-SUMIFS(Input[Cost Study Intr C. Ath],Input[Institution Name],H13)</f>
        <v>3869612</v>
      </c>
      <c r="AB13" s="683"/>
      <c r="AC13" s="683"/>
      <c r="AD13" s="683">
        <f>SUMIFS(Input[Inst. Spt E&amp;G],Input[Institution Name],H13)
+SUMIFS(Input[Inst. Spt Desg],Input[Institution Name],H13)
+SUMIFS(Input[Inst. Spt R Exp],Input[Institution Name],H13)
+SUMIFS(Input[Inst. Spt Unexp],Input[Institution Name],H13)
+SUMIFS(Input[Cost Study Inst. Sppt],Input[Institution Name],H13)</f>
        <v>17093104</v>
      </c>
      <c r="AE13" s="683"/>
      <c r="AF13" s="684"/>
      <c r="AG13" s="29"/>
      <c r="AH13" s="24"/>
      <c r="AI13" s="24"/>
      <c r="AJ13" s="24"/>
      <c r="AK13" s="24"/>
      <c r="AL13" s="24"/>
      <c r="AM13" s="24"/>
    </row>
    <row r="14" spans="1:39" ht="30" customHeight="1" x14ac:dyDescent="0.3">
      <c r="A14" s="25"/>
      <c r="B14" s="25"/>
      <c r="C14" s="25"/>
      <c r="D14" s="25"/>
      <c r="E14" s="25"/>
      <c r="F14" s="25"/>
      <c r="G14" s="25"/>
      <c r="H14" s="168" t="s">
        <v>2</v>
      </c>
      <c r="I14" s="157"/>
      <c r="J14" s="157"/>
      <c r="K14" s="157"/>
      <c r="L14" s="157"/>
      <c r="M14" s="157"/>
      <c r="N14" s="157"/>
      <c r="O14" s="157"/>
      <c r="P14" s="698">
        <v>10115</v>
      </c>
      <c r="Q14" s="698"/>
      <c r="R14" s="685">
        <f>SUMIFS(Input[Instr E&amp;G],Input[Institution Name],H14)
+SUMIFS(Input[Instr Desg],Input[Institution Name],H14)
+SUMIFS(Input[Instr R Exp],Input[Institution Name],H14)
+SUMIFS(Input[Instr Unexp],Input[Institution Name],H14)
+SUMIFS(Input[Cost Study Inst.],Input[Institution Name],H14)</f>
        <v>147104869</v>
      </c>
      <c r="S14" s="685"/>
      <c r="T14" s="685"/>
      <c r="U14" s="685">
        <f>SUMIFS(Input[Res E&amp;G],Input[Institution Name],H14)
+SUMIFS(Input[Res Desg],Input[Institution Name],H14)
+SUMIFS(Input[Res R Exp],Input[Institution Name],H14)
+SUMIFS(Input[Res Unexp],Input[Institution Name],H14)
+SUMIFS(Input[Cost Study Resh],Input[Institution Name],H14)</f>
        <v>166784795</v>
      </c>
      <c r="V14" s="685"/>
      <c r="W14" s="685"/>
      <c r="X14" s="685">
        <f>SUMIFS(Input[Acad Sup E&amp;G],Input[Institution Name],H14)
+SUMIFS(Input[Acad Sup Desg],Input[Institution Name],H14)
+SUMIFS(Input[Acad Sup R Exp],Input[Institution Name],H14)
+SUMIFS(Input[Acad Sup Unexp],Input[Institution Name],H14)
+SUMIFS(Input[Cost Study Aca Sppt],Input[Institution Name],H14)</f>
        <v>108330637</v>
      </c>
      <c r="Y14" s="685"/>
      <c r="Z14" s="685"/>
      <c r="AA14" s="685">
        <f>SUMIFS(Input[Stu Svc E&amp;G],Input[Institution Name],H14)
+SUMIFS(Input[Stu Svc Desg],Input[Institution Name],H14)
+SUMIFS(Input[Stu Svc R Exp],Input[Institution Name],H14)
+SUMIFS(Input[Stu Svc Unexp],Input[Institution Name],H14)
+SUMIFS(Input[Cost Study Stu Svcs],Input[Institution Name],H14)
-SUMIFS(Input[Cost Study Intr C. Ath],Input[Institution Name],H14)</f>
        <v>40806230</v>
      </c>
      <c r="AB14" s="685"/>
      <c r="AC14" s="685"/>
      <c r="AD14" s="685">
        <f>SUMIFS(Input[Inst. Spt E&amp;G],Input[Institution Name],H14)
+SUMIFS(Input[Inst. Spt Desg],Input[Institution Name],H14)
+SUMIFS(Input[Inst. Spt R Exp],Input[Institution Name],H14)
+SUMIFS(Input[Inst. Spt Unexp],Input[Institution Name],H14)
+SUMIFS(Input[Cost Study Inst. Sppt],Input[Institution Name],H14)</f>
        <v>56652134</v>
      </c>
      <c r="AE14" s="685"/>
      <c r="AF14" s="686"/>
      <c r="AG14" s="29"/>
      <c r="AH14" s="24"/>
      <c r="AI14" s="24"/>
      <c r="AJ14" s="24"/>
      <c r="AK14" s="24"/>
      <c r="AL14" s="24"/>
      <c r="AM14" s="24"/>
    </row>
    <row r="15" spans="1:39" ht="30" customHeight="1" x14ac:dyDescent="0.3">
      <c r="A15" s="25"/>
      <c r="B15" s="25"/>
      <c r="C15" s="25"/>
      <c r="D15" s="25"/>
      <c r="E15" s="25"/>
      <c r="F15" s="25"/>
      <c r="G15" s="25"/>
      <c r="H15" s="167" t="s">
        <v>3</v>
      </c>
      <c r="I15" s="158"/>
      <c r="J15" s="158"/>
      <c r="K15" s="158"/>
      <c r="L15" s="158"/>
      <c r="M15" s="158"/>
      <c r="N15" s="158"/>
      <c r="O15" s="158"/>
      <c r="P15" s="695">
        <v>11163</v>
      </c>
      <c r="Q15" s="695"/>
      <c r="R15" s="683">
        <f>SUMIFS(Input[Instr E&amp;G],Input[Institution Name],H15)
+SUMIFS(Input[Instr Desg],Input[Institution Name],H15)
+SUMIFS(Input[Instr R Exp],Input[Institution Name],H15)
+SUMIFS(Input[Instr Unexp],Input[Institution Name],H15)
+SUMIFS(Input[Cost Study Inst.],Input[Institution Name],H15)</f>
        <v>83606696</v>
      </c>
      <c r="S15" s="683"/>
      <c r="T15" s="683"/>
      <c r="U15" s="683">
        <f>SUMIFS(Input[Res E&amp;G],Input[Institution Name],H15)
+SUMIFS(Input[Res Desg],Input[Institution Name],H15)
+SUMIFS(Input[Res R Exp],Input[Institution Name],H15)
+SUMIFS(Input[Res Unexp],Input[Institution Name],H15)
+SUMIFS(Input[Cost Study Resh],Input[Institution Name],H15)</f>
        <v>5329483</v>
      </c>
      <c r="V15" s="683"/>
      <c r="W15" s="683"/>
      <c r="X15" s="683">
        <f>SUMIFS(Input[Acad Sup E&amp;G],Input[Institution Name],H15)
+SUMIFS(Input[Acad Sup Desg],Input[Institution Name],H15)
+SUMIFS(Input[Acad Sup R Exp],Input[Institution Name],H15)
+SUMIFS(Input[Acad Sup Unexp],Input[Institution Name],H15)
+SUMIFS(Input[Cost Study Aca Sppt],Input[Institution Name],H15)</f>
        <v>23635175</v>
      </c>
      <c r="Y15" s="683"/>
      <c r="Z15" s="683"/>
      <c r="AA15" s="683">
        <f>SUMIFS(Input[Stu Svc E&amp;G],Input[Institution Name],H15)
+SUMIFS(Input[Stu Svc Desg],Input[Institution Name],H15)
+SUMIFS(Input[Stu Svc R Exp],Input[Institution Name],H15)
+SUMIFS(Input[Stu Svc Unexp],Input[Institution Name],H15)
+SUMIFS(Input[Cost Study Stu Svcs],Input[Institution Name],H15)
-SUMIFS(Input[Cost Study Intr C. Ath],Input[Institution Name],H15)</f>
        <v>18162054</v>
      </c>
      <c r="AB15" s="683"/>
      <c r="AC15" s="683"/>
      <c r="AD15" s="683">
        <f>SUMIFS(Input[Inst. Spt E&amp;G],Input[Institution Name],H15)
+SUMIFS(Input[Inst. Spt Desg],Input[Institution Name],H15)
+SUMIFS(Input[Inst. Spt R Exp],Input[Institution Name],H15)
+SUMIFS(Input[Inst. Spt Unexp],Input[Institution Name],H15)
+SUMIFS(Input[Cost Study Inst. Sppt],Input[Institution Name],H15)</f>
        <v>18918326</v>
      </c>
      <c r="AE15" s="683"/>
      <c r="AF15" s="684"/>
      <c r="AG15" s="29"/>
      <c r="AH15" s="24"/>
      <c r="AI15" s="24"/>
      <c r="AJ15" s="24"/>
      <c r="AK15" s="24"/>
      <c r="AL15" s="24"/>
      <c r="AM15" s="24"/>
    </row>
    <row r="16" spans="1:39" ht="30" customHeight="1" x14ac:dyDescent="0.3">
      <c r="A16" s="25"/>
      <c r="B16" s="25"/>
      <c r="C16" s="25"/>
      <c r="D16" s="25"/>
      <c r="E16" s="25"/>
      <c r="F16" s="25"/>
      <c r="G16" s="25"/>
      <c r="H16" s="168" t="s">
        <v>4</v>
      </c>
      <c r="I16" s="157"/>
      <c r="J16" s="157"/>
      <c r="K16" s="157"/>
      <c r="L16" s="157"/>
      <c r="M16" s="157"/>
      <c r="N16" s="157"/>
      <c r="O16" s="157"/>
      <c r="P16" s="698">
        <v>3632</v>
      </c>
      <c r="Q16" s="698"/>
      <c r="R16" s="685">
        <f>SUMIFS(Input[Instr E&amp;G],Input[Institution Name],H16)
+SUMIFS(Input[Instr Desg],Input[Institution Name],H16)
+SUMIFS(Input[Instr R Exp],Input[Institution Name],H16)
+SUMIFS(Input[Instr Unexp],Input[Institution Name],H16)
+SUMIFS(Input[Cost Study Inst.],Input[Institution Name],H16)</f>
        <v>768332525</v>
      </c>
      <c r="S16" s="685"/>
      <c r="T16" s="685"/>
      <c r="U16" s="685">
        <f>SUMIFS(Input[Res E&amp;G],Input[Institution Name],H16)
+SUMIFS(Input[Res Desg],Input[Institution Name],H16)
+SUMIFS(Input[Res R Exp],Input[Institution Name],H16)
+SUMIFS(Input[Res Unexp],Input[Institution Name],H16)
+SUMIFS(Input[Cost Study Resh],Input[Institution Name],H16)</f>
        <v>341632176</v>
      </c>
      <c r="V16" s="685"/>
      <c r="W16" s="685"/>
      <c r="X16" s="685">
        <f>SUMIFS(Input[Acad Sup E&amp;G],Input[Institution Name],H16)
+SUMIFS(Input[Acad Sup Desg],Input[Institution Name],H16)
+SUMIFS(Input[Acad Sup R Exp],Input[Institution Name],H16)
+SUMIFS(Input[Acad Sup Unexp],Input[Institution Name],H16)
+SUMIFS(Input[Cost Study Aca Sppt],Input[Institution Name],H16)</f>
        <v>379591848</v>
      </c>
      <c r="Y16" s="685"/>
      <c r="Z16" s="685"/>
      <c r="AA16" s="685">
        <f>SUMIFS(Input[Stu Svc E&amp;G],Input[Institution Name],H16)
+SUMIFS(Input[Stu Svc Desg],Input[Institution Name],H16)
+SUMIFS(Input[Stu Svc R Exp],Input[Institution Name],H16)
+SUMIFS(Input[Stu Svc Unexp],Input[Institution Name],H16)
+SUMIFS(Input[Cost Study Stu Svcs],Input[Institution Name],H16)
-SUMIFS(Input[Cost Study Intr C. Ath],Input[Institution Name],H16)</f>
        <v>110459881</v>
      </c>
      <c r="AB16" s="685"/>
      <c r="AC16" s="685"/>
      <c r="AD16" s="685">
        <f>SUMIFS(Input[Inst. Spt E&amp;G],Input[Institution Name],H16)
+SUMIFS(Input[Inst. Spt Desg],Input[Institution Name],H16)
+SUMIFS(Input[Inst. Spt R Exp],Input[Institution Name],H16)
+SUMIFS(Input[Inst. Spt Unexp],Input[Institution Name],H16)
+SUMIFS(Input[Cost Study Inst. Sppt],Input[Institution Name],H16)</f>
        <v>132861340</v>
      </c>
      <c r="AE16" s="685"/>
      <c r="AF16" s="686"/>
      <c r="AG16" s="29"/>
      <c r="AH16" s="24"/>
      <c r="AI16" s="24"/>
      <c r="AJ16" s="24"/>
      <c r="AK16" s="24"/>
      <c r="AL16" s="24"/>
      <c r="AM16" s="24"/>
    </row>
    <row r="17" spans="1:39" ht="30" customHeight="1" x14ac:dyDescent="0.3">
      <c r="A17" s="25"/>
      <c r="B17" s="25"/>
      <c r="C17" s="25"/>
      <c r="D17" s="25"/>
      <c r="E17" s="25"/>
      <c r="F17" s="25"/>
      <c r="G17" s="25"/>
      <c r="H17" s="167" t="s">
        <v>5</v>
      </c>
      <c r="I17" s="158"/>
      <c r="J17" s="158"/>
      <c r="K17" s="158"/>
      <c r="L17" s="158"/>
      <c r="M17" s="158"/>
      <c r="N17" s="158"/>
      <c r="O17" s="158"/>
      <c r="P17" s="695">
        <v>10298</v>
      </c>
      <c r="Q17" s="695"/>
      <c r="R17" s="683">
        <f>SUMIFS(Input[Instr E&amp;G],Input[Institution Name],H17)
+SUMIFS(Input[Instr Desg],Input[Institution Name],H17)
+SUMIFS(Input[Instr R Exp],Input[Institution Name],H17)
+SUMIFS(Input[Instr Unexp],Input[Institution Name],H17)
+SUMIFS(Input[Cost Study Inst.],Input[Institution Name],H17)</f>
        <v>27812743</v>
      </c>
      <c r="S17" s="683"/>
      <c r="T17" s="683"/>
      <c r="U17" s="683">
        <f>SUMIFS(Input[Res E&amp;G],Input[Institution Name],H17)
+SUMIFS(Input[Res Desg],Input[Institution Name],H17)
+SUMIFS(Input[Res R Exp],Input[Institution Name],H17)
+SUMIFS(Input[Res Unexp],Input[Institution Name],H17)
+SUMIFS(Input[Cost Study Resh],Input[Institution Name],H17)</f>
        <v>14316130</v>
      </c>
      <c r="V17" s="683"/>
      <c r="W17" s="683"/>
      <c r="X17" s="683">
        <f>SUMIFS(Input[Acad Sup E&amp;G],Input[Institution Name],H17)
+SUMIFS(Input[Acad Sup Desg],Input[Institution Name],H17)
+SUMIFS(Input[Acad Sup R Exp],Input[Institution Name],H17)
+SUMIFS(Input[Acad Sup Unexp],Input[Institution Name],H17)
+SUMIFS(Input[Cost Study Aca Sppt],Input[Institution Name],H17)</f>
        <v>6699276</v>
      </c>
      <c r="Y17" s="683"/>
      <c r="Z17" s="683"/>
      <c r="AA17" s="683">
        <f>SUMIFS(Input[Stu Svc E&amp;G],Input[Institution Name],H17)
+SUMIFS(Input[Stu Svc Desg],Input[Institution Name],H17)
+SUMIFS(Input[Stu Svc R Exp],Input[Institution Name],H17)
+SUMIFS(Input[Stu Svc Unexp],Input[Institution Name],H17)
+SUMIFS(Input[Cost Study Stu Svcs],Input[Institution Name],H17)
-SUMIFS(Input[Cost Study Intr C. Ath],Input[Institution Name],H17)</f>
        <v>4386236</v>
      </c>
      <c r="AB17" s="683"/>
      <c r="AC17" s="683"/>
      <c r="AD17" s="683">
        <f>SUMIFS(Input[Inst. Spt E&amp;G],Input[Institution Name],H17)
+SUMIFS(Input[Inst. Spt Desg],Input[Institution Name],H17)
+SUMIFS(Input[Inst. Spt R Exp],Input[Institution Name],H17)
+SUMIFS(Input[Inst. Spt Unexp],Input[Institution Name],H17)
+SUMIFS(Input[Cost Study Inst. Sppt],Input[Institution Name],H17)</f>
        <v>8751050</v>
      </c>
      <c r="AE17" s="683"/>
      <c r="AF17" s="684"/>
      <c r="AG17" s="29"/>
      <c r="AH17" s="24"/>
      <c r="AI17" s="24"/>
      <c r="AJ17" s="24"/>
      <c r="AK17" s="24"/>
      <c r="AL17" s="24"/>
      <c r="AM17" s="24"/>
    </row>
    <row r="18" spans="1:39" ht="30" customHeight="1" x14ac:dyDescent="0.3">
      <c r="A18" s="25"/>
      <c r="B18" s="25"/>
      <c r="C18" s="25"/>
      <c r="D18" s="25"/>
      <c r="E18" s="25"/>
      <c r="F18" s="25"/>
      <c r="G18" s="25"/>
      <c r="H18" s="168" t="s">
        <v>6</v>
      </c>
      <c r="I18" s="157"/>
      <c r="J18" s="157"/>
      <c r="K18" s="157"/>
      <c r="L18" s="157"/>
      <c r="M18" s="157"/>
      <c r="N18" s="157"/>
      <c r="O18" s="157"/>
      <c r="P18" s="698">
        <v>3630</v>
      </c>
      <c r="Q18" s="698"/>
      <c r="R18" s="685">
        <f>SUMIFS(Input[Instr E&amp;G],Input[Institution Name],H18)
+SUMIFS(Input[Instr Desg],Input[Institution Name],H18)
+SUMIFS(Input[Instr R Exp],Input[Institution Name],H18)
+SUMIFS(Input[Instr Unexp],Input[Institution Name],H18)
+SUMIFS(Input[Cost Study Inst.],Input[Institution Name],H18)</f>
        <v>57841042</v>
      </c>
      <c r="S18" s="685"/>
      <c r="T18" s="685"/>
      <c r="U18" s="685">
        <f>SUMIFS(Input[Res E&amp;G],Input[Institution Name],H18)
+SUMIFS(Input[Res Desg],Input[Institution Name],H18)
+SUMIFS(Input[Res R Exp],Input[Institution Name],H18)
+SUMIFS(Input[Res Unexp],Input[Institution Name],H18)
+SUMIFS(Input[Cost Study Resh],Input[Institution Name],H18)</f>
        <v>45262367</v>
      </c>
      <c r="V18" s="685"/>
      <c r="W18" s="685"/>
      <c r="X18" s="685">
        <f>SUMIFS(Input[Acad Sup E&amp;G],Input[Institution Name],H18)
+SUMIFS(Input[Acad Sup Desg],Input[Institution Name],H18)
+SUMIFS(Input[Acad Sup R Exp],Input[Institution Name],H18)
+SUMIFS(Input[Acad Sup Unexp],Input[Institution Name],H18)
+SUMIFS(Input[Cost Study Aca Sppt],Input[Institution Name],H18)</f>
        <v>37568160</v>
      </c>
      <c r="Y18" s="685"/>
      <c r="Z18" s="685"/>
      <c r="AA18" s="685">
        <f>SUMIFS(Input[Stu Svc E&amp;G],Input[Institution Name],H18)
+SUMIFS(Input[Stu Svc Desg],Input[Institution Name],H18)
+SUMIFS(Input[Stu Svc R Exp],Input[Institution Name],H18)
+SUMIFS(Input[Stu Svc Unexp],Input[Institution Name],H18)
+SUMIFS(Input[Cost Study Stu Svcs],Input[Institution Name],H18)
-SUMIFS(Input[Cost Study Intr C. Ath],Input[Institution Name],H18)</f>
        <v>26970625</v>
      </c>
      <c r="AB18" s="685"/>
      <c r="AC18" s="685"/>
      <c r="AD18" s="685">
        <f>SUMIFS(Input[Inst. Spt E&amp;G],Input[Institution Name],H18)
+SUMIFS(Input[Inst. Spt Desg],Input[Institution Name],H18)
+SUMIFS(Input[Inst. Spt R Exp],Input[Institution Name],H18)
+SUMIFS(Input[Inst. Spt Unexp],Input[Institution Name],H18)
+SUMIFS(Input[Cost Study Inst. Sppt],Input[Institution Name],H18)</f>
        <v>38139164</v>
      </c>
      <c r="AE18" s="685"/>
      <c r="AF18" s="686"/>
      <c r="AG18" s="29"/>
      <c r="AH18" s="24"/>
      <c r="AI18" s="24"/>
      <c r="AJ18" s="24"/>
      <c r="AK18" s="24"/>
      <c r="AL18" s="24"/>
      <c r="AM18" s="24"/>
    </row>
    <row r="19" spans="1:39" ht="30" customHeight="1" x14ac:dyDescent="0.3">
      <c r="A19" s="25"/>
      <c r="B19" s="25"/>
      <c r="C19" s="25"/>
      <c r="D19" s="25"/>
      <c r="E19" s="25"/>
      <c r="F19" s="25"/>
      <c r="G19" s="25"/>
      <c r="H19" s="167" t="s">
        <v>7</v>
      </c>
      <c r="I19" s="158"/>
      <c r="J19" s="158"/>
      <c r="K19" s="158"/>
      <c r="L19" s="158"/>
      <c r="M19" s="158"/>
      <c r="N19" s="158"/>
      <c r="O19" s="158"/>
      <c r="P19" s="695">
        <v>3631</v>
      </c>
      <c r="Q19" s="695"/>
      <c r="R19" s="683">
        <f>SUMIFS(Input[Instr E&amp;G],Input[Institution Name],H19)
+SUMIFS(Input[Instr Desg],Input[Institution Name],H19)
+SUMIFS(Input[Instr R Exp],Input[Institution Name],H19)
+SUMIFS(Input[Instr Unexp],Input[Institution Name],H19)
+SUMIFS(Input[Cost Study Inst.],Input[Institution Name],H19)</f>
        <v>64515352</v>
      </c>
      <c r="S19" s="683"/>
      <c r="T19" s="683"/>
      <c r="U19" s="683">
        <f>SUMIFS(Input[Res E&amp;G],Input[Institution Name],H19)
+SUMIFS(Input[Res Desg],Input[Institution Name],H19)
+SUMIFS(Input[Res R Exp],Input[Institution Name],H19)
+SUMIFS(Input[Res Unexp],Input[Institution Name],H19)
+SUMIFS(Input[Cost Study Resh],Input[Institution Name],H19)</f>
        <v>23326666</v>
      </c>
      <c r="V19" s="683"/>
      <c r="W19" s="683"/>
      <c r="X19" s="683">
        <f>SUMIFS(Input[Acad Sup E&amp;G],Input[Institution Name],H19)
+SUMIFS(Input[Acad Sup Desg],Input[Institution Name],H19)
+SUMIFS(Input[Acad Sup R Exp],Input[Institution Name],H19)
+SUMIFS(Input[Acad Sup Unexp],Input[Institution Name],H19)
+SUMIFS(Input[Cost Study Aca Sppt],Input[Institution Name],H19)</f>
        <v>29986052</v>
      </c>
      <c r="Y19" s="683"/>
      <c r="Z19" s="683"/>
      <c r="AA19" s="683">
        <f>SUMIFS(Input[Stu Svc E&amp;G],Input[Institution Name],H19)
+SUMIFS(Input[Stu Svc Desg],Input[Institution Name],H19)
+SUMIFS(Input[Stu Svc R Exp],Input[Institution Name],H19)
+SUMIFS(Input[Stu Svc Unexp],Input[Institution Name],H19)
+SUMIFS(Input[Cost Study Stu Svcs],Input[Institution Name],H19)
-SUMIFS(Input[Cost Study Intr C. Ath],Input[Institution Name],H19)</f>
        <v>25612254</v>
      </c>
      <c r="AB19" s="683"/>
      <c r="AC19" s="683"/>
      <c r="AD19" s="683">
        <f>SUMIFS(Input[Inst. Spt E&amp;G],Input[Institution Name],H19)
+SUMIFS(Input[Inst. Spt Desg],Input[Institution Name],H19)
+SUMIFS(Input[Inst. Spt R Exp],Input[Institution Name],H19)
+SUMIFS(Input[Inst. Spt Unexp],Input[Institution Name],H19)
+SUMIFS(Input[Cost Study Inst. Sppt],Input[Institution Name],H19)</f>
        <v>31212207</v>
      </c>
      <c r="AE19" s="683"/>
      <c r="AF19" s="684"/>
      <c r="AG19" s="29"/>
      <c r="AH19" s="24"/>
      <c r="AI19" s="24"/>
      <c r="AJ19" s="24"/>
      <c r="AK19" s="24"/>
      <c r="AL19" s="24"/>
      <c r="AM19" s="24"/>
    </row>
    <row r="20" spans="1:39" ht="30" customHeight="1" x14ac:dyDescent="0.3">
      <c r="A20" s="25"/>
      <c r="B20" s="25"/>
      <c r="C20" s="25"/>
      <c r="D20" s="25"/>
      <c r="E20" s="25"/>
      <c r="F20" s="25"/>
      <c r="G20" s="25"/>
      <c r="H20" s="168" t="s">
        <v>8</v>
      </c>
      <c r="I20" s="157"/>
      <c r="J20" s="157"/>
      <c r="K20" s="157"/>
      <c r="L20" s="157"/>
      <c r="M20" s="157"/>
      <c r="N20" s="157"/>
      <c r="O20" s="157"/>
      <c r="P20" s="698">
        <v>11161</v>
      </c>
      <c r="Q20" s="698"/>
      <c r="R20" s="685">
        <f>SUMIFS(Input[Instr E&amp;G],Input[Institution Name],H20)
+SUMIFS(Input[Instr Desg],Input[Institution Name],H20)
+SUMIFS(Input[Instr R Exp],Input[Institution Name],H20)
+SUMIFS(Input[Instr Unexp],Input[Institution Name],H20)
+SUMIFS(Input[Cost Study Inst.],Input[Institution Name],H20)</f>
        <v>68758806</v>
      </c>
      <c r="S20" s="685"/>
      <c r="T20" s="685"/>
      <c r="U20" s="685">
        <f>SUMIFS(Input[Res E&amp;G],Input[Institution Name],H20)
+SUMIFS(Input[Res Desg],Input[Institution Name],H20)
+SUMIFS(Input[Res R Exp],Input[Institution Name],H20)
+SUMIFS(Input[Res Unexp],Input[Institution Name],H20)
+SUMIFS(Input[Cost Study Resh],Input[Institution Name],H20)</f>
        <v>46618511</v>
      </c>
      <c r="V20" s="685"/>
      <c r="W20" s="685"/>
      <c r="X20" s="685">
        <f>SUMIFS(Input[Acad Sup E&amp;G],Input[Institution Name],H20)
+SUMIFS(Input[Acad Sup Desg],Input[Institution Name],H20)
+SUMIFS(Input[Acad Sup R Exp],Input[Institution Name],H20)
+SUMIFS(Input[Acad Sup Unexp],Input[Institution Name],H20)
+SUMIFS(Input[Cost Study Aca Sppt],Input[Institution Name],H20)</f>
        <v>35008334</v>
      </c>
      <c r="Y20" s="685"/>
      <c r="Z20" s="685"/>
      <c r="AA20" s="685">
        <f>SUMIFS(Input[Stu Svc E&amp;G],Input[Institution Name],H20)
+SUMIFS(Input[Stu Svc Desg],Input[Institution Name],H20)
+SUMIFS(Input[Stu Svc R Exp],Input[Institution Name],H20)
+SUMIFS(Input[Stu Svc Unexp],Input[Institution Name],H20)
+SUMIFS(Input[Cost Study Stu Svcs],Input[Institution Name],H20)
-SUMIFS(Input[Cost Study Intr C. Ath],Input[Institution Name],H20)</f>
        <v>14443670</v>
      </c>
      <c r="AB20" s="685"/>
      <c r="AC20" s="685"/>
      <c r="AD20" s="685">
        <f>SUMIFS(Input[Inst. Spt E&amp;G],Input[Institution Name],H20)
+SUMIFS(Input[Inst. Spt Desg],Input[Institution Name],H20)
+SUMIFS(Input[Inst. Spt R Exp],Input[Institution Name],H20)
+SUMIFS(Input[Inst. Spt Unexp],Input[Institution Name],H20)
+SUMIFS(Input[Cost Study Inst. Sppt],Input[Institution Name],H20)</f>
        <v>21576176</v>
      </c>
      <c r="AE20" s="685"/>
      <c r="AF20" s="686"/>
      <c r="AG20" s="29"/>
      <c r="AH20" s="24"/>
      <c r="AI20" s="24"/>
      <c r="AJ20" s="24"/>
      <c r="AK20" s="24"/>
      <c r="AL20" s="24"/>
      <c r="AM20" s="24"/>
    </row>
    <row r="21" spans="1:39" ht="30" customHeight="1" x14ac:dyDescent="0.3">
      <c r="A21" s="25"/>
      <c r="B21" s="25"/>
      <c r="C21" s="25"/>
      <c r="D21" s="25"/>
      <c r="E21" s="25"/>
      <c r="F21" s="25"/>
      <c r="G21" s="25"/>
      <c r="H21" s="167" t="s">
        <v>9</v>
      </c>
      <c r="I21" s="158"/>
      <c r="J21" s="158"/>
      <c r="K21" s="158"/>
      <c r="L21" s="158"/>
      <c r="M21" s="158"/>
      <c r="N21" s="158"/>
      <c r="O21" s="158"/>
      <c r="P21" s="695">
        <v>3639</v>
      </c>
      <c r="Q21" s="695"/>
      <c r="R21" s="683">
        <f>SUMIFS(Input[Instr E&amp;G],Input[Institution Name],H21)
+SUMIFS(Input[Instr Desg],Input[Institution Name],H21)
+SUMIFS(Input[Instr R Exp],Input[Institution Name],H21)
+SUMIFS(Input[Instr Unexp],Input[Institution Name],H21)
+SUMIFS(Input[Cost Study Inst.],Input[Institution Name],H21)</f>
        <v>43365181</v>
      </c>
      <c r="S21" s="683"/>
      <c r="T21" s="683"/>
      <c r="U21" s="683">
        <f>SUMIFS(Input[Res E&amp;G],Input[Institution Name],H21)
+SUMIFS(Input[Res Desg],Input[Institution Name],H21)
+SUMIFS(Input[Res R Exp],Input[Institution Name],H21)
+SUMIFS(Input[Res Unexp],Input[Institution Name],H21)
+SUMIFS(Input[Cost Study Resh],Input[Institution Name],H21)</f>
        <v>33955976</v>
      </c>
      <c r="V21" s="683"/>
      <c r="W21" s="683"/>
      <c r="X21" s="683">
        <f>SUMIFS(Input[Acad Sup E&amp;G],Input[Institution Name],H21)
+SUMIFS(Input[Acad Sup Desg],Input[Institution Name],H21)
+SUMIFS(Input[Acad Sup R Exp],Input[Institution Name],H21)
+SUMIFS(Input[Acad Sup Unexp],Input[Institution Name],H21)
+SUMIFS(Input[Cost Study Aca Sppt],Input[Institution Name],H21)</f>
        <v>19020681</v>
      </c>
      <c r="Y21" s="683"/>
      <c r="Z21" s="683"/>
      <c r="AA21" s="683">
        <f>SUMIFS(Input[Stu Svc E&amp;G],Input[Institution Name],H21)
+SUMIFS(Input[Stu Svc Desg],Input[Institution Name],H21)
+SUMIFS(Input[Stu Svc R Exp],Input[Institution Name],H21)
+SUMIFS(Input[Stu Svc Unexp],Input[Institution Name],H21)
+SUMIFS(Input[Cost Study Stu Svcs],Input[Institution Name],H21)
-SUMIFS(Input[Cost Study Intr C. Ath],Input[Institution Name],H21)</f>
        <v>18437210</v>
      </c>
      <c r="AB21" s="683"/>
      <c r="AC21" s="683"/>
      <c r="AD21" s="683">
        <f>SUMIFS(Input[Inst. Spt E&amp;G],Input[Institution Name],H21)
+SUMIFS(Input[Inst. Spt Desg],Input[Institution Name],H21)
+SUMIFS(Input[Inst. Spt R Exp],Input[Institution Name],H21)
+SUMIFS(Input[Inst. Spt Unexp],Input[Institution Name],H21)
+SUMIFS(Input[Cost Study Inst. Sppt],Input[Institution Name],H21)</f>
        <v>15720850</v>
      </c>
      <c r="AE21" s="683"/>
      <c r="AF21" s="684"/>
      <c r="AG21" s="29"/>
      <c r="AH21" s="24"/>
      <c r="AI21" s="24"/>
      <c r="AJ21" s="24"/>
      <c r="AK21" s="24"/>
      <c r="AL21" s="24"/>
      <c r="AM21" s="24"/>
    </row>
    <row r="22" spans="1:39" ht="30" customHeight="1" x14ac:dyDescent="0.3">
      <c r="A22" s="25"/>
      <c r="B22" s="25"/>
      <c r="C22" s="25"/>
      <c r="D22" s="25"/>
      <c r="E22" s="25"/>
      <c r="F22" s="25"/>
      <c r="G22" s="25"/>
      <c r="H22" s="168" t="s">
        <v>10</v>
      </c>
      <c r="I22" s="157"/>
      <c r="J22" s="157"/>
      <c r="K22" s="157"/>
      <c r="L22" s="157"/>
      <c r="M22" s="157"/>
      <c r="N22" s="157"/>
      <c r="O22" s="157"/>
      <c r="P22" s="698">
        <v>9651</v>
      </c>
      <c r="Q22" s="698"/>
      <c r="R22" s="685">
        <f>SUMIFS(Input[Instr E&amp;G],Input[Institution Name],H22)
+SUMIFS(Input[Instr Desg],Input[Institution Name],H22)
+SUMIFS(Input[Instr R Exp],Input[Institution Name],H22)
+SUMIFS(Input[Instr Unexp],Input[Institution Name],H22)
+SUMIFS(Input[Cost Study Inst.],Input[Institution Name],H22)</f>
        <v>40813515</v>
      </c>
      <c r="S22" s="685"/>
      <c r="T22" s="685"/>
      <c r="U22" s="685">
        <f>SUMIFS(Input[Res E&amp;G],Input[Institution Name],H22)
+SUMIFS(Input[Res Desg],Input[Institution Name],H22)
+SUMIFS(Input[Res R Exp],Input[Institution Name],H22)
+SUMIFS(Input[Res Unexp],Input[Institution Name],H22)
+SUMIFS(Input[Cost Study Resh],Input[Institution Name],H22)</f>
        <v>10022862</v>
      </c>
      <c r="V22" s="685"/>
      <c r="W22" s="685"/>
      <c r="X22" s="685">
        <f>SUMIFS(Input[Acad Sup E&amp;G],Input[Institution Name],H22)
+SUMIFS(Input[Acad Sup Desg],Input[Institution Name],H22)
+SUMIFS(Input[Acad Sup R Exp],Input[Institution Name],H22)
+SUMIFS(Input[Acad Sup Unexp],Input[Institution Name],H22)
+SUMIFS(Input[Cost Study Aca Sppt],Input[Institution Name],H22)</f>
        <v>27348860</v>
      </c>
      <c r="Y22" s="685"/>
      <c r="Z22" s="685"/>
      <c r="AA22" s="685">
        <f>SUMIFS(Input[Stu Svc E&amp;G],Input[Institution Name],H22)
+SUMIFS(Input[Stu Svc Desg],Input[Institution Name],H22)
+SUMIFS(Input[Stu Svc R Exp],Input[Institution Name],H22)
+SUMIFS(Input[Stu Svc Unexp],Input[Institution Name],H22)
+SUMIFS(Input[Cost Study Stu Svcs],Input[Institution Name],H22)
-SUMIFS(Input[Cost Study Intr C. Ath],Input[Institution Name],H22)</f>
        <v>16412225</v>
      </c>
      <c r="AB22" s="685"/>
      <c r="AC22" s="685"/>
      <c r="AD22" s="685">
        <f>SUMIFS(Input[Inst. Spt E&amp;G],Input[Institution Name],H22)
+SUMIFS(Input[Inst. Spt Desg],Input[Institution Name],H22)
+SUMIFS(Input[Inst. Spt R Exp],Input[Institution Name],H22)
+SUMIFS(Input[Inst. Spt Unexp],Input[Institution Name],H22)
+SUMIFS(Input[Cost Study Inst. Sppt],Input[Institution Name],H22)</f>
        <v>10758937</v>
      </c>
      <c r="AE22" s="685"/>
      <c r="AF22" s="686"/>
      <c r="AG22" s="29"/>
      <c r="AH22" s="24"/>
      <c r="AI22" s="24"/>
      <c r="AJ22" s="24"/>
      <c r="AK22" s="24"/>
      <c r="AL22" s="24"/>
      <c r="AM22" s="24"/>
    </row>
    <row r="23" spans="1:39" ht="30" customHeight="1" x14ac:dyDescent="0.3">
      <c r="A23" s="25"/>
      <c r="B23" s="25"/>
      <c r="C23" s="25"/>
      <c r="D23" s="25"/>
      <c r="E23" s="25"/>
      <c r="F23" s="25"/>
      <c r="G23" s="25"/>
      <c r="H23" s="167" t="s">
        <v>11</v>
      </c>
      <c r="I23" s="158"/>
      <c r="J23" s="158"/>
      <c r="K23" s="158"/>
      <c r="L23" s="158"/>
      <c r="M23" s="158"/>
      <c r="N23" s="158"/>
      <c r="O23" s="158"/>
      <c r="P23" s="695">
        <v>3665</v>
      </c>
      <c r="Q23" s="695"/>
      <c r="R23" s="683">
        <f>SUMIFS(Input[Instr E&amp;G],Input[Institution Name],H23)
+SUMIFS(Input[Instr Desg],Input[Institution Name],H23)
+SUMIFS(Input[Instr R Exp],Input[Institution Name],H23)
+SUMIFS(Input[Instr Unexp],Input[Institution Name],H23)
+SUMIFS(Input[Cost Study Inst.],Input[Institution Name],H23)</f>
        <v>45205406</v>
      </c>
      <c r="S23" s="683"/>
      <c r="T23" s="683"/>
      <c r="U23" s="683">
        <f>SUMIFS(Input[Res E&amp;G],Input[Institution Name],H23)
+SUMIFS(Input[Res Desg],Input[Institution Name],H23)
+SUMIFS(Input[Res R Exp],Input[Institution Name],H23)
+SUMIFS(Input[Res Unexp],Input[Institution Name],H23)
+SUMIFS(Input[Cost Study Resh],Input[Institution Name],H23)</f>
        <v>13154591</v>
      </c>
      <c r="V23" s="683"/>
      <c r="W23" s="683"/>
      <c r="X23" s="683">
        <f>SUMIFS(Input[Acad Sup E&amp;G],Input[Institution Name],H23)
+SUMIFS(Input[Acad Sup Desg],Input[Institution Name],H23)
+SUMIFS(Input[Acad Sup R Exp],Input[Institution Name],H23)
+SUMIFS(Input[Acad Sup Unexp],Input[Institution Name],H23)
+SUMIFS(Input[Cost Study Aca Sppt],Input[Institution Name],H23)</f>
        <v>21988801</v>
      </c>
      <c r="Y23" s="683"/>
      <c r="Z23" s="683"/>
      <c r="AA23" s="683">
        <f>SUMIFS(Input[Stu Svc E&amp;G],Input[Institution Name],H23)
+SUMIFS(Input[Stu Svc Desg],Input[Institution Name],H23)
+SUMIFS(Input[Stu Svc R Exp],Input[Institution Name],H23)
+SUMIFS(Input[Stu Svc Unexp],Input[Institution Name],H23)
+SUMIFS(Input[Cost Study Stu Svcs],Input[Institution Name],H23)
-SUMIFS(Input[Cost Study Intr C. Ath],Input[Institution Name],H23)</f>
        <v>11831469</v>
      </c>
      <c r="AB23" s="683"/>
      <c r="AC23" s="683"/>
      <c r="AD23" s="683">
        <f>SUMIFS(Input[Inst. Spt E&amp;G],Input[Institution Name],H23)
+SUMIFS(Input[Inst. Spt Desg],Input[Institution Name],H23)
+SUMIFS(Input[Inst. Spt R Exp],Input[Institution Name],H23)
+SUMIFS(Input[Inst. Spt Unexp],Input[Institution Name],H23)
+SUMIFS(Input[Cost Study Inst. Sppt],Input[Institution Name],H23)</f>
        <v>15768326</v>
      </c>
      <c r="AE23" s="683"/>
      <c r="AF23" s="684"/>
      <c r="AG23" s="29"/>
      <c r="AH23" s="24"/>
      <c r="AI23" s="24"/>
      <c r="AJ23" s="24"/>
      <c r="AK23" s="24"/>
      <c r="AL23" s="24"/>
      <c r="AM23" s="24"/>
    </row>
    <row r="24" spans="1:39" ht="30" customHeight="1" x14ac:dyDescent="0.3">
      <c r="A24" s="25"/>
      <c r="B24" s="25"/>
      <c r="C24" s="25"/>
      <c r="D24" s="25"/>
      <c r="E24" s="25"/>
      <c r="F24" s="25"/>
      <c r="G24" s="25"/>
      <c r="H24" s="168" t="s">
        <v>12</v>
      </c>
      <c r="I24" s="157"/>
      <c r="J24" s="157"/>
      <c r="K24" s="157"/>
      <c r="L24" s="157"/>
      <c r="M24" s="157"/>
      <c r="N24" s="157"/>
      <c r="O24" s="157"/>
      <c r="P24" s="698">
        <v>3565</v>
      </c>
      <c r="Q24" s="698"/>
      <c r="R24" s="685">
        <f>SUMIFS(Input[Instr E&amp;G],Input[Institution Name],H24)
+SUMIFS(Input[Instr Desg],Input[Institution Name],H24)
+SUMIFS(Input[Instr R Exp],Input[Institution Name],H24)
+SUMIFS(Input[Instr Unexp],Input[Institution Name],H24)
+SUMIFS(Input[Cost Study Inst.],Input[Institution Name],H24)</f>
        <v>60134374</v>
      </c>
      <c r="S24" s="685"/>
      <c r="T24" s="685"/>
      <c r="U24" s="685">
        <f>SUMIFS(Input[Res E&amp;G],Input[Institution Name],H24)
+SUMIFS(Input[Res Desg],Input[Institution Name],H24)
+SUMIFS(Input[Res R Exp],Input[Institution Name],H24)
+SUMIFS(Input[Res Unexp],Input[Institution Name],H24)
+SUMIFS(Input[Cost Study Resh],Input[Institution Name],H24)</f>
        <v>6682212</v>
      </c>
      <c r="V24" s="685"/>
      <c r="W24" s="685"/>
      <c r="X24" s="685">
        <f>SUMIFS(Input[Acad Sup E&amp;G],Input[Institution Name],H24)
+SUMIFS(Input[Acad Sup Desg],Input[Institution Name],H24)
+SUMIFS(Input[Acad Sup R Exp],Input[Institution Name],H24)
+SUMIFS(Input[Acad Sup Unexp],Input[Institution Name],H24)
+SUMIFS(Input[Cost Study Aca Sppt],Input[Institution Name],H24)</f>
        <v>18400882</v>
      </c>
      <c r="Y24" s="685"/>
      <c r="Z24" s="685"/>
      <c r="AA24" s="685">
        <f>SUMIFS(Input[Stu Svc E&amp;G],Input[Institution Name],H24)
+SUMIFS(Input[Stu Svc Desg],Input[Institution Name],H24)
+SUMIFS(Input[Stu Svc R Exp],Input[Institution Name],H24)
+SUMIFS(Input[Stu Svc Unexp],Input[Institution Name],H24)
+SUMIFS(Input[Cost Study Stu Svcs],Input[Institution Name],H24)
-SUMIFS(Input[Cost Study Intr C. Ath],Input[Institution Name],H24)</f>
        <v>22372047</v>
      </c>
      <c r="AB24" s="685"/>
      <c r="AC24" s="685"/>
      <c r="AD24" s="685">
        <f>SUMIFS(Input[Inst. Spt E&amp;G],Input[Institution Name],H24)
+SUMIFS(Input[Inst. Spt Desg],Input[Institution Name],H24)
+SUMIFS(Input[Inst. Spt R Exp],Input[Institution Name],H24)
+SUMIFS(Input[Inst. Spt Unexp],Input[Institution Name],H24)
+SUMIFS(Input[Cost Study Inst. Sppt],Input[Institution Name],H24)</f>
        <v>18029926</v>
      </c>
      <c r="AE24" s="685"/>
      <c r="AF24" s="686"/>
      <c r="AG24" s="29"/>
      <c r="AH24" s="24"/>
      <c r="AI24" s="24"/>
      <c r="AJ24" s="24"/>
      <c r="AK24" s="24"/>
      <c r="AL24" s="24"/>
      <c r="AM24" s="24"/>
    </row>
    <row r="25" spans="1:39" ht="30" customHeight="1" x14ac:dyDescent="0.3">
      <c r="A25" s="25"/>
      <c r="B25" s="25"/>
      <c r="C25" s="25"/>
      <c r="D25" s="25"/>
      <c r="E25" s="25"/>
      <c r="F25" s="25"/>
      <c r="G25" s="25"/>
      <c r="H25" s="167" t="s">
        <v>13</v>
      </c>
      <c r="I25" s="158"/>
      <c r="J25" s="158"/>
      <c r="K25" s="158"/>
      <c r="L25" s="158"/>
      <c r="M25" s="158"/>
      <c r="N25" s="158"/>
      <c r="O25" s="158"/>
      <c r="P25" s="695">
        <v>29269</v>
      </c>
      <c r="Q25" s="695"/>
      <c r="R25" s="683">
        <f>SUMIFS(Input[Instr E&amp;G],Input[Institution Name],H25)
+SUMIFS(Input[Instr Desg],Input[Institution Name],H25)
+SUMIFS(Input[Instr R Exp],Input[Institution Name],H25)
+SUMIFS(Input[Instr Unexp],Input[Institution Name],H25)
+SUMIFS(Input[Cost Study Inst.],Input[Institution Name],H25)</f>
        <v>18606629</v>
      </c>
      <c r="S25" s="683"/>
      <c r="T25" s="683"/>
      <c r="U25" s="683">
        <f>SUMIFS(Input[Res E&amp;G],Input[Institution Name],H25)
+SUMIFS(Input[Res Desg],Input[Institution Name],H25)
+SUMIFS(Input[Res R Exp],Input[Institution Name],H25)
+SUMIFS(Input[Res Unexp],Input[Institution Name],H25)
+SUMIFS(Input[Cost Study Resh],Input[Institution Name],H25)</f>
        <v>117301</v>
      </c>
      <c r="V25" s="683"/>
      <c r="W25" s="683"/>
      <c r="X25" s="683">
        <f>SUMIFS(Input[Acad Sup E&amp;G],Input[Institution Name],H25)
+SUMIFS(Input[Acad Sup Desg],Input[Institution Name],H25)
+SUMIFS(Input[Acad Sup R Exp],Input[Institution Name],H25)
+SUMIFS(Input[Acad Sup Unexp],Input[Institution Name],H25)
+SUMIFS(Input[Cost Study Aca Sppt],Input[Institution Name],H25)</f>
        <v>6013670</v>
      </c>
      <c r="Y25" s="683"/>
      <c r="Z25" s="683"/>
      <c r="AA25" s="683">
        <f>SUMIFS(Input[Stu Svc E&amp;G],Input[Institution Name],H25)
+SUMIFS(Input[Stu Svc Desg],Input[Institution Name],H25)
+SUMIFS(Input[Stu Svc R Exp],Input[Institution Name],H25)
+SUMIFS(Input[Stu Svc Unexp],Input[Institution Name],H25)
+SUMIFS(Input[Cost Study Stu Svcs],Input[Institution Name],H25)
-SUMIFS(Input[Cost Study Intr C. Ath],Input[Institution Name],H25)</f>
        <v>5126976</v>
      </c>
      <c r="AB25" s="683"/>
      <c r="AC25" s="683"/>
      <c r="AD25" s="683">
        <f>SUMIFS(Input[Inst. Spt E&amp;G],Input[Institution Name],H25)
+SUMIFS(Input[Inst. Spt Desg],Input[Institution Name],H25)
+SUMIFS(Input[Inst. Spt R Exp],Input[Institution Name],H25)
+SUMIFS(Input[Inst. Spt Unexp],Input[Institution Name],H25)
+SUMIFS(Input[Cost Study Inst. Sppt],Input[Institution Name],H25)</f>
        <v>11471447</v>
      </c>
      <c r="AE25" s="683"/>
      <c r="AF25" s="684"/>
      <c r="AG25" s="29"/>
      <c r="AH25" s="24"/>
      <c r="AI25" s="24"/>
      <c r="AJ25" s="24"/>
      <c r="AK25" s="24"/>
      <c r="AL25" s="24"/>
      <c r="AM25" s="24"/>
    </row>
    <row r="26" spans="1:39" ht="30" customHeight="1" x14ac:dyDescent="0.3">
      <c r="A26" s="25"/>
      <c r="B26" s="25"/>
      <c r="C26" s="25"/>
      <c r="D26" s="25"/>
      <c r="E26" s="25"/>
      <c r="F26" s="25"/>
      <c r="G26" s="25"/>
      <c r="H26" s="168" t="s">
        <v>14</v>
      </c>
      <c r="I26" s="157"/>
      <c r="J26" s="157"/>
      <c r="K26" s="157"/>
      <c r="L26" s="157"/>
      <c r="M26" s="157"/>
      <c r="N26" s="157"/>
      <c r="O26" s="157"/>
      <c r="P26" s="698">
        <v>42295</v>
      </c>
      <c r="Q26" s="698"/>
      <c r="R26" s="685">
        <f>SUMIFS(Input[Instr E&amp;G],Input[Institution Name],H26)
+SUMIFS(Input[Instr Desg],Input[Institution Name],H26)
+SUMIFS(Input[Instr R Exp],Input[Institution Name],H26)
+SUMIFS(Input[Instr Unexp],Input[Institution Name],H26)
+SUMIFS(Input[Cost Study Inst.],Input[Institution Name],H26)</f>
        <v>15373235</v>
      </c>
      <c r="S26" s="685"/>
      <c r="T26" s="685"/>
      <c r="U26" s="685">
        <f>SUMIFS(Input[Res E&amp;G],Input[Institution Name],H26)
+SUMIFS(Input[Res Desg],Input[Institution Name],H26)
+SUMIFS(Input[Res R Exp],Input[Institution Name],H26)
+SUMIFS(Input[Res Unexp],Input[Institution Name],H26)
+SUMIFS(Input[Cost Study Resh],Input[Institution Name],H26)</f>
        <v>1881512</v>
      </c>
      <c r="V26" s="685"/>
      <c r="W26" s="685"/>
      <c r="X26" s="685">
        <f>SUMIFS(Input[Acad Sup E&amp;G],Input[Institution Name],H26)
+SUMIFS(Input[Acad Sup Desg],Input[Institution Name],H26)
+SUMIFS(Input[Acad Sup R Exp],Input[Institution Name],H26)
+SUMIFS(Input[Acad Sup Unexp],Input[Institution Name],H26)
+SUMIFS(Input[Cost Study Aca Sppt],Input[Institution Name],H26)</f>
        <v>8642407</v>
      </c>
      <c r="Y26" s="685"/>
      <c r="Z26" s="685"/>
      <c r="AA26" s="685">
        <f>SUMIFS(Input[Stu Svc E&amp;G],Input[Institution Name],H26)
+SUMIFS(Input[Stu Svc Desg],Input[Institution Name],H26)
+SUMIFS(Input[Stu Svc R Exp],Input[Institution Name],H26)
+SUMIFS(Input[Stu Svc Unexp],Input[Institution Name],H26)
+SUMIFS(Input[Cost Study Stu Svcs],Input[Institution Name],H26)
-SUMIFS(Input[Cost Study Intr C. Ath],Input[Institution Name],H26)</f>
        <v>8968911</v>
      </c>
      <c r="AB26" s="685"/>
      <c r="AC26" s="685"/>
      <c r="AD26" s="685">
        <f>SUMIFS(Input[Inst. Spt E&amp;G],Input[Institution Name],H26)
+SUMIFS(Input[Inst. Spt Desg],Input[Institution Name],H26)
+SUMIFS(Input[Inst. Spt R Exp],Input[Institution Name],H26)
+SUMIFS(Input[Inst. Spt Unexp],Input[Institution Name],H26)
+SUMIFS(Input[Cost Study Inst. Sppt],Input[Institution Name],H26)</f>
        <v>6214658</v>
      </c>
      <c r="AE26" s="685"/>
      <c r="AF26" s="686"/>
      <c r="AG26" s="29"/>
      <c r="AH26" s="24"/>
      <c r="AI26" s="24"/>
      <c r="AJ26" s="24"/>
      <c r="AK26" s="24"/>
      <c r="AL26" s="24"/>
      <c r="AM26" s="24"/>
    </row>
    <row r="27" spans="1:39" ht="30" customHeight="1" x14ac:dyDescent="0.3">
      <c r="A27" s="25"/>
      <c r="B27" s="25"/>
      <c r="C27" s="25"/>
      <c r="D27" s="25"/>
      <c r="E27" s="25"/>
      <c r="F27" s="25"/>
      <c r="G27" s="25"/>
      <c r="H27" s="167" t="s">
        <v>15</v>
      </c>
      <c r="I27" s="158"/>
      <c r="J27" s="158"/>
      <c r="K27" s="158"/>
      <c r="L27" s="158"/>
      <c r="M27" s="158"/>
      <c r="N27" s="158"/>
      <c r="O27" s="158"/>
      <c r="P27" s="695">
        <v>42485</v>
      </c>
      <c r="Q27" s="695"/>
      <c r="R27" s="683">
        <f>SUMIFS(Input[Instr E&amp;G],Input[Institution Name],H27)
+SUMIFS(Input[Instr Desg],Input[Institution Name],H27)
+SUMIFS(Input[Instr R Exp],Input[Institution Name],H27)
+SUMIFS(Input[Instr Unexp],Input[Institution Name],H27)
+SUMIFS(Input[Cost Study Inst.],Input[Institution Name],H27)</f>
        <v>32551345</v>
      </c>
      <c r="S27" s="683"/>
      <c r="T27" s="683"/>
      <c r="U27" s="683">
        <f>SUMIFS(Input[Res E&amp;G],Input[Institution Name],H27)
+SUMIFS(Input[Res Desg],Input[Institution Name],H27)
+SUMIFS(Input[Res R Exp],Input[Institution Name],H27)
+SUMIFS(Input[Res Unexp],Input[Institution Name],H27)
+SUMIFS(Input[Cost Study Resh],Input[Institution Name],H27)</f>
        <v>4911199</v>
      </c>
      <c r="V27" s="683"/>
      <c r="W27" s="683"/>
      <c r="X27" s="683">
        <f>SUMIFS(Input[Acad Sup E&amp;G],Input[Institution Name],H27)
+SUMIFS(Input[Acad Sup Desg],Input[Institution Name],H27)
+SUMIFS(Input[Acad Sup R Exp],Input[Institution Name],H27)
+SUMIFS(Input[Acad Sup Unexp],Input[Institution Name],H27)
+SUMIFS(Input[Cost Study Aca Sppt],Input[Institution Name],H27)</f>
        <v>13833130</v>
      </c>
      <c r="Y27" s="683"/>
      <c r="Z27" s="683"/>
      <c r="AA27" s="683">
        <f>SUMIFS(Input[Stu Svc E&amp;G],Input[Institution Name],H27)
+SUMIFS(Input[Stu Svc Desg],Input[Institution Name],H27)
+SUMIFS(Input[Stu Svc R Exp],Input[Institution Name],H27)
+SUMIFS(Input[Stu Svc Unexp],Input[Institution Name],H27)
+SUMIFS(Input[Cost Study Stu Svcs],Input[Institution Name],H27)
-SUMIFS(Input[Cost Study Intr C. Ath],Input[Institution Name],H27)</f>
        <v>21707415</v>
      </c>
      <c r="AB27" s="683"/>
      <c r="AC27" s="683"/>
      <c r="AD27" s="683">
        <f>SUMIFS(Input[Inst. Spt E&amp;G],Input[Institution Name],H27)
+SUMIFS(Input[Inst. Spt Desg],Input[Institution Name],H27)
+SUMIFS(Input[Inst. Spt R Exp],Input[Institution Name],H27)
+SUMIFS(Input[Inst. Spt Unexp],Input[Institution Name],H27)
+SUMIFS(Input[Cost Study Inst. Sppt],Input[Institution Name],H27)</f>
        <v>15846434</v>
      </c>
      <c r="AE27" s="683"/>
      <c r="AF27" s="684"/>
      <c r="AG27" s="29"/>
      <c r="AH27" s="24"/>
      <c r="AI27" s="24"/>
      <c r="AJ27" s="24"/>
      <c r="AK27" s="24"/>
      <c r="AL27" s="24"/>
      <c r="AM27" s="24"/>
    </row>
    <row r="28" spans="1:39" ht="30" customHeight="1" x14ac:dyDescent="0.3">
      <c r="A28" s="25"/>
      <c r="B28" s="25"/>
      <c r="C28" s="25"/>
      <c r="D28" s="25"/>
      <c r="E28" s="25"/>
      <c r="F28" s="25"/>
      <c r="G28" s="25"/>
      <c r="H28" s="679" t="s">
        <v>16</v>
      </c>
      <c r="I28" s="680"/>
      <c r="J28" s="680"/>
      <c r="K28" s="680"/>
      <c r="L28" s="680"/>
      <c r="M28" s="680"/>
      <c r="N28" s="680"/>
      <c r="O28" s="680"/>
      <c r="P28" s="698">
        <v>3652</v>
      </c>
      <c r="Q28" s="698"/>
      <c r="R28" s="685">
        <f>SUMIFS(Input[Instr E&amp;G],Input[Institution Name],H28)
+SUMIFS(Input[Instr Desg],Input[Institution Name],H28)
+SUMIFS(Input[Instr R Exp],Input[Institution Name],H28)
+SUMIFS(Input[Instr Unexp],Input[Institution Name],H28)
+SUMIFS(Input[Cost Study Inst.],Input[Institution Name],H28)</f>
        <v>301570635</v>
      </c>
      <c r="S28" s="685"/>
      <c r="T28" s="685"/>
      <c r="U28" s="685">
        <f>SUMIFS(Input[Res E&amp;G],Input[Institution Name],H28)
+SUMIFS(Input[Res Desg],Input[Institution Name],H28)
+SUMIFS(Input[Res R Exp],Input[Institution Name],H28)
+SUMIFS(Input[Res Unexp],Input[Institution Name],H28)
+SUMIFS(Input[Cost Study Resh],Input[Institution Name],H28)</f>
        <v>212592747</v>
      </c>
      <c r="V28" s="685"/>
      <c r="W28" s="685"/>
      <c r="X28" s="685">
        <f>SUMIFS(Input[Acad Sup E&amp;G],Input[Institution Name],H28)
+SUMIFS(Input[Acad Sup Desg],Input[Institution Name],H28)
+SUMIFS(Input[Acad Sup R Exp],Input[Institution Name],H28)
+SUMIFS(Input[Acad Sup Unexp],Input[Institution Name],H28)
+SUMIFS(Input[Cost Study Aca Sppt],Input[Institution Name],H28)</f>
        <v>200887075</v>
      </c>
      <c r="Y28" s="685"/>
      <c r="Z28" s="685"/>
      <c r="AA28" s="685">
        <f>SUMIFS(Input[Stu Svc E&amp;G],Input[Institution Name],H28)
+SUMIFS(Input[Stu Svc Desg],Input[Institution Name],H28)
+SUMIFS(Input[Stu Svc R Exp],Input[Institution Name],H28)
+SUMIFS(Input[Stu Svc Unexp],Input[Institution Name],H28)
+SUMIFS(Input[Cost Study Stu Svcs],Input[Institution Name],H28)
-SUMIFS(Input[Cost Study Intr C. Ath],Input[Institution Name],H28)</f>
        <v>35467011</v>
      </c>
      <c r="AB28" s="685"/>
      <c r="AC28" s="685"/>
      <c r="AD28" s="685">
        <f>SUMIFS(Input[Inst. Spt E&amp;G],Input[Institution Name],H28)
+SUMIFS(Input[Inst. Spt Desg],Input[Institution Name],H28)
+SUMIFS(Input[Inst. Spt R Exp],Input[Institution Name],H28)
+SUMIFS(Input[Inst. Spt Unexp],Input[Institution Name],H28)
+SUMIFS(Input[Cost Study Inst. Sppt],Input[Institution Name],H28)</f>
        <v>91544139</v>
      </c>
      <c r="AE28" s="685"/>
      <c r="AF28" s="686"/>
      <c r="AG28" s="677" t="s">
        <v>953</v>
      </c>
      <c r="AH28" s="677"/>
      <c r="AI28" s="677"/>
      <c r="AJ28" s="677"/>
      <c r="AK28" s="24"/>
      <c r="AL28" s="24"/>
      <c r="AM28" s="24"/>
    </row>
    <row r="29" spans="1:39" ht="30" customHeight="1" x14ac:dyDescent="0.3">
      <c r="A29" s="25"/>
      <c r="B29" s="25"/>
      <c r="C29" s="25"/>
      <c r="D29" s="25"/>
      <c r="E29" s="25"/>
      <c r="F29" s="25"/>
      <c r="G29" s="25"/>
      <c r="H29" s="167" t="s">
        <v>17</v>
      </c>
      <c r="I29" s="158"/>
      <c r="J29" s="158"/>
      <c r="K29" s="158"/>
      <c r="L29" s="158"/>
      <c r="M29" s="158"/>
      <c r="N29" s="158"/>
      <c r="O29" s="158"/>
      <c r="P29" s="695">
        <v>11711</v>
      </c>
      <c r="Q29" s="695"/>
      <c r="R29" s="683">
        <f>SUMIFS(Input[Instr E&amp;G],Input[Institution Name],H29)
+SUMIFS(Input[Instr Desg],Input[Institution Name],H29)
+SUMIFS(Input[Instr R Exp],Input[Institution Name],H29)
+SUMIFS(Input[Instr Unexp],Input[Institution Name],H29)
+SUMIFS(Input[Cost Study Inst.],Input[Institution Name],H29)</f>
        <v>49351891</v>
      </c>
      <c r="S29" s="683"/>
      <c r="T29" s="683"/>
      <c r="U29" s="683">
        <f>SUMIFS(Input[Res E&amp;G],Input[Institution Name],H29)
+SUMIFS(Input[Res Desg],Input[Institution Name],H29)
+SUMIFS(Input[Res R Exp],Input[Institution Name],H29)
+SUMIFS(Input[Res Unexp],Input[Institution Name],H29)
+SUMIFS(Input[Cost Study Resh],Input[Institution Name],H29)</f>
        <v>4183107</v>
      </c>
      <c r="V29" s="683"/>
      <c r="W29" s="683"/>
      <c r="X29" s="683">
        <f>SUMIFS(Input[Acad Sup E&amp;G],Input[Institution Name],H29)
+SUMIFS(Input[Acad Sup Desg],Input[Institution Name],H29)
+SUMIFS(Input[Acad Sup R Exp],Input[Institution Name],H29)
+SUMIFS(Input[Acad Sup Unexp],Input[Institution Name],H29)
+SUMIFS(Input[Cost Study Aca Sppt],Input[Institution Name],H29)</f>
        <v>27813393</v>
      </c>
      <c r="Y29" s="683"/>
      <c r="Z29" s="683"/>
      <c r="AA29" s="683">
        <f>SUMIFS(Input[Stu Svc E&amp;G],Input[Institution Name],H29)
+SUMIFS(Input[Stu Svc Desg],Input[Institution Name],H29)
+SUMIFS(Input[Stu Svc R Exp],Input[Institution Name],H29)
+SUMIFS(Input[Stu Svc Unexp],Input[Institution Name],H29)
+SUMIFS(Input[Cost Study Stu Svcs],Input[Institution Name],H29)
-SUMIFS(Input[Cost Study Intr C. Ath],Input[Institution Name],H29)</f>
        <v>10087528</v>
      </c>
      <c r="AB29" s="683"/>
      <c r="AC29" s="683"/>
      <c r="AD29" s="683">
        <f>SUMIFS(Input[Inst. Spt E&amp;G],Input[Institution Name],H29)
+SUMIFS(Input[Inst. Spt Desg],Input[Institution Name],H29)
+SUMIFS(Input[Inst. Spt R Exp],Input[Institution Name],H29)
+SUMIFS(Input[Inst. Spt Unexp],Input[Institution Name],H29)
+SUMIFS(Input[Cost Study Inst. Sppt],Input[Institution Name],H29)</f>
        <v>17897734</v>
      </c>
      <c r="AE29" s="683"/>
      <c r="AF29" s="684"/>
      <c r="AG29" s="29"/>
      <c r="AH29" s="24"/>
      <c r="AI29" s="24"/>
      <c r="AJ29" s="24"/>
      <c r="AK29" s="24"/>
      <c r="AL29" s="24"/>
      <c r="AM29" s="24"/>
    </row>
    <row r="30" spans="1:39" ht="30" customHeight="1" x14ac:dyDescent="0.3">
      <c r="A30" s="25"/>
      <c r="B30" s="25"/>
      <c r="C30" s="25"/>
      <c r="D30" s="25"/>
      <c r="E30" s="25"/>
      <c r="F30" s="25"/>
      <c r="G30" s="25"/>
      <c r="H30" s="168" t="s">
        <v>18</v>
      </c>
      <c r="I30" s="157"/>
      <c r="J30" s="157"/>
      <c r="K30" s="157"/>
      <c r="L30" s="157"/>
      <c r="M30" s="157"/>
      <c r="N30" s="157"/>
      <c r="O30" s="157"/>
      <c r="P30" s="698">
        <v>12826</v>
      </c>
      <c r="Q30" s="698"/>
      <c r="R30" s="685">
        <f>SUMIFS(Input[Instr E&amp;G],Input[Institution Name],H30)
+SUMIFS(Input[Instr Desg],Input[Institution Name],H30)
+SUMIFS(Input[Instr R Exp],Input[Institution Name],H30)
+SUMIFS(Input[Instr Unexp],Input[Institution Name],H30)
+SUMIFS(Input[Cost Study Inst.],Input[Institution Name],H30)</f>
        <v>58008921</v>
      </c>
      <c r="S30" s="685"/>
      <c r="T30" s="685"/>
      <c r="U30" s="685">
        <f>SUMIFS(Input[Res E&amp;G],Input[Institution Name],H30)
+SUMIFS(Input[Res Desg],Input[Institution Name],H30)
+SUMIFS(Input[Res R Exp],Input[Institution Name],H30)
+SUMIFS(Input[Res Unexp],Input[Institution Name],H30)
+SUMIFS(Input[Cost Study Resh],Input[Institution Name],H30)</f>
        <v>3624230</v>
      </c>
      <c r="V30" s="685"/>
      <c r="W30" s="685"/>
      <c r="X30" s="685">
        <f>SUMIFS(Input[Acad Sup E&amp;G],Input[Institution Name],H30)
+SUMIFS(Input[Acad Sup Desg],Input[Institution Name],H30)
+SUMIFS(Input[Acad Sup R Exp],Input[Institution Name],H30)
+SUMIFS(Input[Acad Sup Unexp],Input[Institution Name],H30)
+SUMIFS(Input[Cost Study Aca Sppt],Input[Institution Name],H30)</f>
        <v>33664671</v>
      </c>
      <c r="Y30" s="685"/>
      <c r="Z30" s="685"/>
      <c r="AA30" s="685">
        <f>SUMIFS(Input[Stu Svc E&amp;G],Input[Institution Name],H30)
+SUMIFS(Input[Stu Svc Desg],Input[Institution Name],H30)
+SUMIFS(Input[Stu Svc R Exp],Input[Institution Name],H30)
+SUMIFS(Input[Stu Svc Unexp],Input[Institution Name],H30)
+SUMIFS(Input[Cost Study Stu Svcs],Input[Institution Name],H30)
-SUMIFS(Input[Cost Study Intr C. Ath],Input[Institution Name],H30)</f>
        <v>7755099</v>
      </c>
      <c r="AB30" s="685"/>
      <c r="AC30" s="685"/>
      <c r="AD30" s="685">
        <f>SUMIFS(Input[Inst. Spt E&amp;G],Input[Institution Name],H30)
+SUMIFS(Input[Inst. Spt Desg],Input[Institution Name],H30)
+SUMIFS(Input[Inst. Spt R Exp],Input[Institution Name],H30)
+SUMIFS(Input[Inst. Spt Unexp],Input[Institution Name],H30)
+SUMIFS(Input[Cost Study Inst. Sppt],Input[Institution Name],H30)</f>
        <v>26948549</v>
      </c>
      <c r="AE30" s="685"/>
      <c r="AF30" s="686"/>
      <c r="AG30" s="29"/>
      <c r="AH30" s="24"/>
      <c r="AI30" s="24"/>
      <c r="AJ30" s="24"/>
      <c r="AK30" s="24"/>
      <c r="AL30" s="24"/>
      <c r="AM30" s="24"/>
    </row>
    <row r="31" spans="1:39" ht="30" customHeight="1" x14ac:dyDescent="0.3">
      <c r="A31" s="25"/>
      <c r="B31" s="25"/>
      <c r="C31" s="25"/>
      <c r="D31" s="25"/>
      <c r="E31" s="25"/>
      <c r="F31" s="25"/>
      <c r="G31" s="25"/>
      <c r="H31" s="167" t="s">
        <v>19</v>
      </c>
      <c r="I31" s="158"/>
      <c r="J31" s="158"/>
      <c r="K31" s="158"/>
      <c r="L31" s="158"/>
      <c r="M31" s="158"/>
      <c r="N31" s="158"/>
      <c r="O31" s="158"/>
      <c r="P31" s="695">
        <v>13231</v>
      </c>
      <c r="Q31" s="695"/>
      <c r="R31" s="683">
        <f>SUMIFS(Input[Instr E&amp;G],Input[Institution Name],H31)
+SUMIFS(Input[Instr Desg],Input[Institution Name],H31)
+SUMIFS(Input[Instr R Exp],Input[Institution Name],H31)
+SUMIFS(Input[Instr Unexp],Input[Institution Name],H31)
+SUMIFS(Input[Cost Study Inst.],Input[Institution Name],H31)</f>
        <v>19280290</v>
      </c>
      <c r="S31" s="683"/>
      <c r="T31" s="683"/>
      <c r="U31" s="683">
        <f>SUMIFS(Input[Res E&amp;G],Input[Institution Name],H31)
+SUMIFS(Input[Res Desg],Input[Institution Name],H31)
+SUMIFS(Input[Res R Exp],Input[Institution Name],H31)
+SUMIFS(Input[Res Unexp],Input[Institution Name],H31)
+SUMIFS(Input[Cost Study Resh],Input[Institution Name],H31)</f>
        <v>358352</v>
      </c>
      <c r="V31" s="683"/>
      <c r="W31" s="683"/>
      <c r="X31" s="683">
        <f>SUMIFS(Input[Acad Sup E&amp;G],Input[Institution Name],H31)
+SUMIFS(Input[Acad Sup Desg],Input[Institution Name],H31)
+SUMIFS(Input[Acad Sup R Exp],Input[Institution Name],H31)
+SUMIFS(Input[Acad Sup Unexp],Input[Institution Name],H31)
+SUMIFS(Input[Cost Study Aca Sppt],Input[Institution Name],H31)</f>
        <v>6420954</v>
      </c>
      <c r="Y31" s="683"/>
      <c r="Z31" s="683"/>
      <c r="AA31" s="683">
        <f>SUMIFS(Input[Stu Svc E&amp;G],Input[Institution Name],H31)
+SUMIFS(Input[Stu Svc Desg],Input[Institution Name],H31)
+SUMIFS(Input[Stu Svc R Exp],Input[Institution Name],H31)
+SUMIFS(Input[Stu Svc Unexp],Input[Institution Name],H31)
+SUMIFS(Input[Cost Study Stu Svcs],Input[Institution Name],H31)
-SUMIFS(Input[Cost Study Intr C. Ath],Input[Institution Name],H31)</f>
        <v>3338715</v>
      </c>
      <c r="AB31" s="683"/>
      <c r="AC31" s="683"/>
      <c r="AD31" s="683">
        <f>SUMIFS(Input[Inst. Spt E&amp;G],Input[Institution Name],H31)
+SUMIFS(Input[Inst. Spt Desg],Input[Institution Name],H31)
+SUMIFS(Input[Inst. Spt R Exp],Input[Institution Name],H31)
+SUMIFS(Input[Inst. Spt Unexp],Input[Institution Name],H31)
+SUMIFS(Input[Cost Study Inst. Sppt],Input[Institution Name],H31)</f>
        <v>6271511</v>
      </c>
      <c r="AE31" s="683"/>
      <c r="AF31" s="684"/>
      <c r="AG31" s="29"/>
      <c r="AH31" s="24"/>
      <c r="AI31" s="24"/>
      <c r="AJ31" s="24"/>
      <c r="AK31" s="24"/>
      <c r="AL31" s="24"/>
      <c r="AM31" s="24"/>
    </row>
    <row r="32" spans="1:39" ht="30" customHeight="1" x14ac:dyDescent="0.3">
      <c r="A32" s="25"/>
      <c r="B32" s="25"/>
      <c r="C32" s="25"/>
      <c r="D32" s="25"/>
      <c r="E32" s="25"/>
      <c r="F32" s="25"/>
      <c r="G32" s="25"/>
      <c r="H32" s="168" t="s">
        <v>20</v>
      </c>
      <c r="I32" s="157"/>
      <c r="J32" s="157"/>
      <c r="K32" s="157"/>
      <c r="L32" s="157"/>
      <c r="M32" s="157"/>
      <c r="N32" s="157"/>
      <c r="O32" s="157"/>
      <c r="P32" s="698">
        <v>3581</v>
      </c>
      <c r="Q32" s="698"/>
      <c r="R32" s="685">
        <f>SUMIFS(Input[Instr E&amp;G],Input[Institution Name],H32)
+SUMIFS(Input[Instr Desg],Input[Institution Name],H32)
+SUMIFS(Input[Instr R Exp],Input[Institution Name],H32)
+SUMIFS(Input[Instr Unexp],Input[Institution Name],H32)
+SUMIFS(Input[Cost Study Inst.],Input[Institution Name],H32)</f>
        <v>70860959</v>
      </c>
      <c r="S32" s="685"/>
      <c r="T32" s="685"/>
      <c r="U32" s="685">
        <f>SUMIFS(Input[Res E&amp;G],Input[Institution Name],H32)
+SUMIFS(Input[Res Desg],Input[Institution Name],H32)
+SUMIFS(Input[Res R Exp],Input[Institution Name],H32)
+SUMIFS(Input[Res Unexp],Input[Institution Name],H32)
+SUMIFS(Input[Cost Study Resh],Input[Institution Name],H32)</f>
        <v>10387270</v>
      </c>
      <c r="V32" s="685"/>
      <c r="W32" s="685"/>
      <c r="X32" s="685">
        <f>SUMIFS(Input[Acad Sup E&amp;G],Input[Institution Name],H32)
+SUMIFS(Input[Acad Sup Desg],Input[Institution Name],H32)
+SUMIFS(Input[Acad Sup R Exp],Input[Institution Name],H32)
+SUMIFS(Input[Acad Sup Unexp],Input[Institution Name],H32)
+SUMIFS(Input[Cost Study Aca Sppt],Input[Institution Name],H32)</f>
        <v>52591365</v>
      </c>
      <c r="Y32" s="685"/>
      <c r="Z32" s="685"/>
      <c r="AA32" s="685">
        <f>SUMIFS(Input[Stu Svc E&amp;G],Input[Institution Name],H32)
+SUMIFS(Input[Stu Svc Desg],Input[Institution Name],H32)
+SUMIFS(Input[Stu Svc R Exp],Input[Institution Name],H32)
+SUMIFS(Input[Stu Svc Unexp],Input[Institution Name],H32)
+SUMIFS(Input[Cost Study Stu Svcs],Input[Institution Name],H32)
-SUMIFS(Input[Cost Study Intr C. Ath],Input[Institution Name],H32)</f>
        <v>13587068</v>
      </c>
      <c r="AB32" s="685"/>
      <c r="AC32" s="685"/>
      <c r="AD32" s="685">
        <f>SUMIFS(Input[Inst. Spt E&amp;G],Input[Institution Name],H32)
+SUMIFS(Input[Inst. Spt Desg],Input[Institution Name],H32)
+SUMIFS(Input[Inst. Spt R Exp],Input[Institution Name],H32)
+SUMIFS(Input[Inst. Spt Unexp],Input[Institution Name],H32)
+SUMIFS(Input[Cost Study Inst. Sppt],Input[Institution Name],H32)</f>
        <v>22740117</v>
      </c>
      <c r="AE32" s="685"/>
      <c r="AF32" s="686"/>
      <c r="AG32" s="29"/>
      <c r="AH32" s="24"/>
      <c r="AI32" s="24"/>
      <c r="AJ32" s="24"/>
      <c r="AK32" s="24"/>
      <c r="AL32" s="24"/>
      <c r="AM32" s="24"/>
    </row>
    <row r="33" spans="1:39" ht="30" customHeight="1" x14ac:dyDescent="0.3">
      <c r="A33" s="25"/>
      <c r="B33" s="25"/>
      <c r="C33" s="25"/>
      <c r="D33" s="25"/>
      <c r="E33" s="25"/>
      <c r="F33" s="25"/>
      <c r="G33" s="25"/>
      <c r="H33" s="699" t="s">
        <v>21</v>
      </c>
      <c r="I33" s="700"/>
      <c r="J33" s="700"/>
      <c r="K33" s="700"/>
      <c r="L33" s="700"/>
      <c r="M33" s="700"/>
      <c r="N33" s="700"/>
      <c r="O33" s="700"/>
      <c r="P33" s="695">
        <v>3606</v>
      </c>
      <c r="Q33" s="695"/>
      <c r="R33" s="683">
        <f>SUMIFS(Input[Instr E&amp;G],Input[Institution Name],H33)
+SUMIFS(Input[Instr Desg],Input[Institution Name],H33)
+SUMIFS(Input[Instr R Exp],Input[Institution Name],H33)
+SUMIFS(Input[Instr Unexp],Input[Institution Name],H33)
+SUMIFS(Input[Cost Study Inst.],Input[Institution Name],H33)</f>
        <v>98404444</v>
      </c>
      <c r="S33" s="683"/>
      <c r="T33" s="683"/>
      <c r="U33" s="683">
        <f>SUMIFS(Input[Res E&amp;G],Input[Institution Name],H33)
+SUMIFS(Input[Res Desg],Input[Institution Name],H33)
+SUMIFS(Input[Res R Exp],Input[Institution Name],H33)
+SUMIFS(Input[Res Unexp],Input[Institution Name],H33)
+SUMIFS(Input[Cost Study Resh],Input[Institution Name],H33)</f>
        <v>27647457</v>
      </c>
      <c r="V33" s="683"/>
      <c r="W33" s="683"/>
      <c r="X33" s="683">
        <f>SUMIFS(Input[Acad Sup E&amp;G],Input[Institution Name],H33)
+SUMIFS(Input[Acad Sup Desg],Input[Institution Name],H33)
+SUMIFS(Input[Acad Sup R Exp],Input[Institution Name],H33)
+SUMIFS(Input[Acad Sup Unexp],Input[Institution Name],H33)
+SUMIFS(Input[Cost Study Aca Sppt],Input[Institution Name],H33)</f>
        <v>61163368</v>
      </c>
      <c r="Y33" s="683"/>
      <c r="Z33" s="683"/>
      <c r="AA33" s="683">
        <f>SUMIFS(Input[Stu Svc E&amp;G],Input[Institution Name],H33)
+SUMIFS(Input[Stu Svc Desg],Input[Institution Name],H33)
+SUMIFS(Input[Stu Svc R Exp],Input[Institution Name],H33)
+SUMIFS(Input[Stu Svc Unexp],Input[Institution Name],H33)
+SUMIFS(Input[Cost Study Stu Svcs],Input[Institution Name],H33)
-SUMIFS(Input[Cost Study Intr C. Ath],Input[Institution Name],H33)</f>
        <v>32017067</v>
      </c>
      <c r="AB33" s="683"/>
      <c r="AC33" s="683"/>
      <c r="AD33" s="683">
        <f>SUMIFS(Input[Inst. Spt E&amp;G],Input[Institution Name],H33)
+SUMIFS(Input[Inst. Spt Desg],Input[Institution Name],H33)
+SUMIFS(Input[Inst. Spt R Exp],Input[Institution Name],H33)
+SUMIFS(Input[Inst. Spt Unexp],Input[Institution Name],H33)
+SUMIFS(Input[Cost Study Inst. Sppt],Input[Institution Name],H33)</f>
        <v>32149752</v>
      </c>
      <c r="AE33" s="683"/>
      <c r="AF33" s="684"/>
      <c r="AG33" s="677" t="s">
        <v>953</v>
      </c>
      <c r="AH33" s="677"/>
      <c r="AI33" s="677"/>
      <c r="AJ33" s="677"/>
      <c r="AK33" s="24"/>
      <c r="AL33" s="24"/>
      <c r="AM33" s="24"/>
    </row>
    <row r="34" spans="1:39" ht="30" customHeight="1" x14ac:dyDescent="0.3">
      <c r="A34" s="25"/>
      <c r="B34" s="25"/>
      <c r="C34" s="25"/>
      <c r="D34" s="25"/>
      <c r="E34" s="25"/>
      <c r="F34" s="25"/>
      <c r="G34" s="25"/>
      <c r="H34" s="168" t="s">
        <v>61</v>
      </c>
      <c r="I34" s="157"/>
      <c r="J34" s="157"/>
      <c r="K34" s="157"/>
      <c r="L34" s="157"/>
      <c r="M34" s="157"/>
      <c r="N34" s="157"/>
      <c r="O34" s="157"/>
      <c r="P34" s="698">
        <v>3615</v>
      </c>
      <c r="Q34" s="698"/>
      <c r="R34" s="685">
        <f>SUMIFS(Input[Instr E&amp;G],Input[Institution Name],H34)
+SUMIFS(Input[Instr Desg],Input[Institution Name],H34)
+SUMIFS(Input[Instr R Exp],Input[Institution Name],H34)
+SUMIFS(Input[Instr Unexp],Input[Institution Name],H34)
+SUMIFS(Input[Cost Study Inst.],Input[Institution Name],H34)</f>
        <v>214098050</v>
      </c>
      <c r="S34" s="685"/>
      <c r="T34" s="685"/>
      <c r="U34" s="685">
        <f>SUMIFS(Input[Res E&amp;G],Input[Institution Name],H34)
+SUMIFS(Input[Res Desg],Input[Institution Name],H34)
+SUMIFS(Input[Res R Exp],Input[Institution Name],H34)
+SUMIFS(Input[Res Unexp],Input[Institution Name],H34)
+SUMIFS(Input[Cost Study Resh],Input[Institution Name],H34)</f>
        <v>171927622</v>
      </c>
      <c r="V34" s="685"/>
      <c r="W34" s="685"/>
      <c r="X34" s="685">
        <f>SUMIFS(Input[Acad Sup E&amp;G],Input[Institution Name],H34)
+SUMIFS(Input[Acad Sup Desg],Input[Institution Name],H34)
+SUMIFS(Input[Acad Sup R Exp],Input[Institution Name],H34)
+SUMIFS(Input[Acad Sup Unexp],Input[Institution Name],H34)
+SUMIFS(Input[Cost Study Aca Sppt],Input[Institution Name],H34)</f>
        <v>71562525</v>
      </c>
      <c r="Y34" s="685"/>
      <c r="Z34" s="685"/>
      <c r="AA34" s="685">
        <f>SUMIFS(Input[Stu Svc E&amp;G],Input[Institution Name],H34)
+SUMIFS(Input[Stu Svc Desg],Input[Institution Name],H34)
+SUMIFS(Input[Stu Svc R Exp],Input[Institution Name],H34)
+SUMIFS(Input[Stu Svc Unexp],Input[Institution Name],H34)
+SUMIFS(Input[Cost Study Stu Svcs],Input[Institution Name],H34)
-SUMIFS(Input[Cost Study Intr C. Ath],Input[Institution Name],H34)</f>
        <v>30264952</v>
      </c>
      <c r="AB34" s="685"/>
      <c r="AC34" s="685"/>
      <c r="AD34" s="685">
        <f>SUMIFS(Input[Inst. Spt E&amp;G],Input[Institution Name],H34)
+SUMIFS(Input[Inst. Spt Desg],Input[Institution Name],H34)
+SUMIFS(Input[Inst. Spt R Exp],Input[Institution Name],H34)
+SUMIFS(Input[Inst. Spt Unexp],Input[Institution Name],H34)
+SUMIFS(Input[Cost Study Inst. Sppt],Input[Institution Name],H34)</f>
        <v>46136302</v>
      </c>
      <c r="AE34" s="685"/>
      <c r="AF34" s="686"/>
      <c r="AG34" s="29"/>
      <c r="AH34" s="24"/>
      <c r="AI34" s="24"/>
      <c r="AJ34" s="24"/>
      <c r="AK34" s="24"/>
      <c r="AL34" s="24"/>
      <c r="AM34" s="24"/>
    </row>
    <row r="35" spans="1:39" ht="30" customHeight="1" x14ac:dyDescent="0.3">
      <c r="A35" s="25"/>
      <c r="B35" s="25"/>
      <c r="C35" s="25"/>
      <c r="D35" s="25"/>
      <c r="E35" s="25"/>
      <c r="F35" s="25"/>
      <c r="G35" s="25"/>
      <c r="H35" s="167" t="s">
        <v>22</v>
      </c>
      <c r="I35" s="158"/>
      <c r="J35" s="158"/>
      <c r="K35" s="158"/>
      <c r="L35" s="158"/>
      <c r="M35" s="158"/>
      <c r="N35" s="158"/>
      <c r="O35" s="158"/>
      <c r="P35" s="695">
        <v>3625</v>
      </c>
      <c r="Q35" s="695"/>
      <c r="R35" s="683">
        <f>SUMIFS(Input[Instr E&amp;G],Input[Institution Name],H35)
+SUMIFS(Input[Instr Desg],Input[Institution Name],H35)
+SUMIFS(Input[Instr R Exp],Input[Institution Name],H35)
+SUMIFS(Input[Instr Unexp],Input[Institution Name],H35)
+SUMIFS(Input[Cost Study Inst.],Input[Institution Name],H35)</f>
        <v>13307485</v>
      </c>
      <c r="S35" s="683"/>
      <c r="T35" s="683"/>
      <c r="U35" s="683">
        <f>SUMIFS(Input[Res E&amp;G],Input[Institution Name],H35)
+SUMIFS(Input[Res Desg],Input[Institution Name],H35)
+SUMIFS(Input[Res R Exp],Input[Institution Name],H35)
+SUMIFS(Input[Res Unexp],Input[Institution Name],H35)
+SUMIFS(Input[Cost Study Resh],Input[Institution Name],H35)</f>
        <v>7505123</v>
      </c>
      <c r="V35" s="683"/>
      <c r="W35" s="683"/>
      <c r="X35" s="683">
        <f>SUMIFS(Input[Acad Sup E&amp;G],Input[Institution Name],H35)
+SUMIFS(Input[Acad Sup Desg],Input[Institution Name],H35)
+SUMIFS(Input[Acad Sup R Exp],Input[Institution Name],H35)
+SUMIFS(Input[Acad Sup Unexp],Input[Institution Name],H35)
+SUMIFS(Input[Cost Study Aca Sppt],Input[Institution Name],H35)</f>
        <v>9873151</v>
      </c>
      <c r="Y35" s="683"/>
      <c r="Z35" s="683"/>
      <c r="AA35" s="683">
        <f>SUMIFS(Input[Stu Svc E&amp;G],Input[Institution Name],H35)
+SUMIFS(Input[Stu Svc Desg],Input[Institution Name],H35)
+SUMIFS(Input[Stu Svc R Exp],Input[Institution Name],H35)
+SUMIFS(Input[Stu Svc Unexp],Input[Institution Name],H35)
+SUMIFS(Input[Cost Study Stu Svcs],Input[Institution Name],H35)
-SUMIFS(Input[Cost Study Intr C. Ath],Input[Institution Name],H35)</f>
        <v>4669345</v>
      </c>
      <c r="AB35" s="683"/>
      <c r="AC35" s="683"/>
      <c r="AD35" s="683">
        <f>SUMIFS(Input[Inst. Spt E&amp;G],Input[Institution Name],H35)
+SUMIFS(Input[Inst. Spt Desg],Input[Institution Name],H35)
+SUMIFS(Input[Inst. Spt R Exp],Input[Institution Name],H35)
+SUMIFS(Input[Inst. Spt Unexp],Input[Institution Name],H35)
+SUMIFS(Input[Cost Study Inst. Sppt],Input[Institution Name],H35)</f>
        <v>7747638</v>
      </c>
      <c r="AE35" s="683"/>
      <c r="AF35" s="684"/>
      <c r="AG35" s="29"/>
      <c r="AH35" s="24"/>
      <c r="AI35" s="24"/>
      <c r="AJ35" s="24"/>
      <c r="AK35" s="24"/>
      <c r="AL35" s="24"/>
      <c r="AM35" s="24"/>
    </row>
    <row r="36" spans="1:39" ht="30" customHeight="1" x14ac:dyDescent="0.3">
      <c r="A36" s="25"/>
      <c r="B36" s="25"/>
      <c r="C36" s="25"/>
      <c r="D36" s="25"/>
      <c r="E36" s="25"/>
      <c r="F36" s="25"/>
      <c r="G36" s="25"/>
      <c r="H36" s="168" t="s">
        <v>23</v>
      </c>
      <c r="I36" s="157"/>
      <c r="J36" s="157"/>
      <c r="K36" s="157"/>
      <c r="L36" s="157"/>
      <c r="M36" s="157"/>
      <c r="N36" s="157"/>
      <c r="O36" s="157"/>
      <c r="P36" s="698">
        <v>3644</v>
      </c>
      <c r="Q36" s="698"/>
      <c r="R36" s="685">
        <f>SUMIFS(Input[Instr E&amp;G],Input[Institution Name],H36)
+SUMIFS(Input[Instr Desg],Input[Institution Name],H36)
+SUMIFS(Input[Instr R Exp],Input[Institution Name],H36)
+SUMIFS(Input[Instr Unexp],Input[Institution Name],H36)
+SUMIFS(Input[Cost Study Inst.],Input[Institution Name],H36)</f>
        <v>264855928</v>
      </c>
      <c r="S36" s="685"/>
      <c r="T36" s="685"/>
      <c r="U36" s="685">
        <f>SUMIFS(Input[Res E&amp;G],Input[Institution Name],H36)
+SUMIFS(Input[Res Desg],Input[Institution Name],H36)
+SUMIFS(Input[Res R Exp],Input[Institution Name],H36)
+SUMIFS(Input[Res Unexp],Input[Institution Name],H36)
+SUMIFS(Input[Cost Study Resh],Input[Institution Name],H36)</f>
        <v>261247835</v>
      </c>
      <c r="V36" s="685"/>
      <c r="W36" s="685"/>
      <c r="X36" s="685">
        <f>SUMIFS(Input[Acad Sup E&amp;G],Input[Institution Name],H36)
+SUMIFS(Input[Acad Sup Desg],Input[Institution Name],H36)
+SUMIFS(Input[Acad Sup R Exp],Input[Institution Name],H36)
+SUMIFS(Input[Acad Sup Unexp],Input[Institution Name],H36)
+SUMIFS(Input[Cost Study Aca Sppt],Input[Institution Name],H36)</f>
        <v>153400925</v>
      </c>
      <c r="Y36" s="685"/>
      <c r="Z36" s="685"/>
      <c r="AA36" s="685">
        <f>SUMIFS(Input[Stu Svc E&amp;G],Input[Institution Name],H36)
+SUMIFS(Input[Stu Svc Desg],Input[Institution Name],H36)
+SUMIFS(Input[Stu Svc R Exp],Input[Institution Name],H36)
+SUMIFS(Input[Stu Svc Unexp],Input[Institution Name],H36)
+SUMIFS(Input[Cost Study Stu Svcs],Input[Institution Name],H36)
-SUMIFS(Input[Cost Study Intr C. Ath],Input[Institution Name],H36)</f>
        <v>79275501</v>
      </c>
      <c r="AB36" s="685"/>
      <c r="AC36" s="685"/>
      <c r="AD36" s="685">
        <f>SUMIFS(Input[Inst. Spt E&amp;G],Input[Institution Name],H36)
+SUMIFS(Input[Inst. Spt Desg],Input[Institution Name],H36)
+SUMIFS(Input[Inst. Spt R Exp],Input[Institution Name],H36)
+SUMIFS(Input[Inst. Spt Unexp],Input[Institution Name],H36)
+SUMIFS(Input[Cost Study Inst. Sppt],Input[Institution Name],H36)</f>
        <v>76844660</v>
      </c>
      <c r="AE36" s="685"/>
      <c r="AF36" s="686"/>
      <c r="AG36" s="29"/>
      <c r="AH36" s="24"/>
      <c r="AI36" s="24"/>
      <c r="AJ36" s="24"/>
      <c r="AK36" s="24"/>
      <c r="AL36" s="24"/>
      <c r="AM36" s="24"/>
    </row>
    <row r="37" spans="1:39" ht="30" customHeight="1" x14ac:dyDescent="0.3">
      <c r="A37" s="25"/>
      <c r="B37" s="25"/>
      <c r="C37" s="25"/>
      <c r="D37" s="25"/>
      <c r="E37" s="25"/>
      <c r="F37" s="25"/>
      <c r="G37" s="25"/>
      <c r="H37" s="167" t="s">
        <v>24</v>
      </c>
      <c r="I37" s="158"/>
      <c r="J37" s="158"/>
      <c r="K37" s="158"/>
      <c r="L37" s="158"/>
      <c r="M37" s="158"/>
      <c r="N37" s="158"/>
      <c r="O37" s="158"/>
      <c r="P37" s="695">
        <v>3541</v>
      </c>
      <c r="Q37" s="695"/>
      <c r="R37" s="683">
        <f>SUMIFS(Input[Instr E&amp;G],Input[Institution Name],H37)
+SUMIFS(Input[Instr Desg],Input[Institution Name],H37)
+SUMIFS(Input[Instr R Exp],Input[Institution Name],H37)
+SUMIFS(Input[Instr Unexp],Input[Institution Name],H37)
+SUMIFS(Input[Cost Study Inst.],Input[Institution Name],H37)</f>
        <v>56788734</v>
      </c>
      <c r="S37" s="683"/>
      <c r="T37" s="683"/>
      <c r="U37" s="683">
        <f>SUMIFS(Input[Res E&amp;G],Input[Institution Name],H37)
+SUMIFS(Input[Res Desg],Input[Institution Name],H37)
+SUMIFS(Input[Res R Exp],Input[Institution Name],H37)
+SUMIFS(Input[Res Unexp],Input[Institution Name],H37)
+SUMIFS(Input[Cost Study Resh],Input[Institution Name],H37)</f>
        <v>1512896</v>
      </c>
      <c r="V37" s="683"/>
      <c r="W37" s="683"/>
      <c r="X37" s="683">
        <f>SUMIFS(Input[Acad Sup E&amp;G],Input[Institution Name],H37)
+SUMIFS(Input[Acad Sup Desg],Input[Institution Name],H37)
+SUMIFS(Input[Acad Sup R Exp],Input[Institution Name],H37)
+SUMIFS(Input[Acad Sup Unexp],Input[Institution Name],H37)
+SUMIFS(Input[Cost Study Aca Sppt],Input[Institution Name],H37)</f>
        <v>8130241</v>
      </c>
      <c r="Y37" s="683"/>
      <c r="Z37" s="683"/>
      <c r="AA37" s="683">
        <f>SUMIFS(Input[Stu Svc E&amp;G],Input[Institution Name],H37)
+SUMIFS(Input[Stu Svc Desg],Input[Institution Name],H37)
+SUMIFS(Input[Stu Svc R Exp],Input[Institution Name],H37)
+SUMIFS(Input[Stu Svc Unexp],Input[Institution Name],H37)
+SUMIFS(Input[Cost Study Stu Svcs],Input[Institution Name],H37)
-SUMIFS(Input[Cost Study Intr C. Ath],Input[Institution Name],H37)</f>
        <v>12388459</v>
      </c>
      <c r="AB37" s="683"/>
      <c r="AC37" s="683"/>
      <c r="AD37" s="683">
        <f>SUMIFS(Input[Inst. Spt E&amp;G],Input[Institution Name],H37)
+SUMIFS(Input[Inst. Spt Desg],Input[Institution Name],H37)
+SUMIFS(Input[Inst. Spt R Exp],Input[Institution Name],H37)
+SUMIFS(Input[Inst. Spt Unexp],Input[Institution Name],H37)
+SUMIFS(Input[Cost Study Inst. Sppt],Input[Institution Name],H37)</f>
        <v>22337875</v>
      </c>
      <c r="AE37" s="683"/>
      <c r="AF37" s="684"/>
      <c r="AG37" s="29"/>
      <c r="AH37" s="24"/>
      <c r="AI37" s="24"/>
      <c r="AJ37" s="24"/>
      <c r="AK37" s="24"/>
      <c r="AL37" s="24"/>
      <c r="AM37" s="24"/>
    </row>
    <row r="38" spans="1:39" ht="30" customHeight="1" x14ac:dyDescent="0.3">
      <c r="A38" s="25"/>
      <c r="B38" s="25"/>
      <c r="C38" s="25"/>
      <c r="D38" s="25"/>
      <c r="E38" s="25"/>
      <c r="F38" s="25"/>
      <c r="G38" s="25"/>
      <c r="H38" s="168" t="s">
        <v>62</v>
      </c>
      <c r="I38" s="157"/>
      <c r="J38" s="157"/>
      <c r="K38" s="157"/>
      <c r="L38" s="157"/>
      <c r="M38" s="157"/>
      <c r="N38" s="157"/>
      <c r="O38" s="157"/>
      <c r="P38" s="698">
        <v>3594</v>
      </c>
      <c r="Q38" s="698"/>
      <c r="R38" s="685">
        <f>SUMIFS(Input[Instr E&amp;G],Input[Institution Name],H38)
+SUMIFS(Input[Instr Desg],Input[Institution Name],H38)
+SUMIFS(Input[Instr R Exp],Input[Institution Name],H38)
+SUMIFS(Input[Instr Unexp],Input[Institution Name],H38)
+SUMIFS(Input[Cost Study Inst.],Input[Institution Name],H38)</f>
        <v>223025741</v>
      </c>
      <c r="S38" s="685"/>
      <c r="T38" s="685"/>
      <c r="U38" s="685">
        <f>SUMIFS(Input[Res E&amp;G],Input[Institution Name],H38)
+SUMIFS(Input[Res Desg],Input[Institution Name],H38)
+SUMIFS(Input[Res R Exp],Input[Institution Name],H38)
+SUMIFS(Input[Res Unexp],Input[Institution Name],H38)
+SUMIFS(Input[Cost Study Resh],Input[Institution Name],H38)</f>
        <v>117998101</v>
      </c>
      <c r="V38" s="685"/>
      <c r="W38" s="685"/>
      <c r="X38" s="685">
        <f>SUMIFS(Input[Acad Sup E&amp;G],Input[Institution Name],H38)
+SUMIFS(Input[Acad Sup Desg],Input[Institution Name],H38)
+SUMIFS(Input[Acad Sup R Exp],Input[Institution Name],H38)
+SUMIFS(Input[Acad Sup Unexp],Input[Institution Name],H38)
+SUMIFS(Input[Cost Study Aca Sppt],Input[Institution Name],H38)</f>
        <v>83248898</v>
      </c>
      <c r="Y38" s="685"/>
      <c r="Z38" s="685"/>
      <c r="AA38" s="685">
        <f>SUMIFS(Input[Stu Svc E&amp;G],Input[Institution Name],H38)
+SUMIFS(Input[Stu Svc Desg],Input[Institution Name],H38)
+SUMIFS(Input[Stu Svc R Exp],Input[Institution Name],H38)
+SUMIFS(Input[Stu Svc Unexp],Input[Institution Name],H38)
+SUMIFS(Input[Cost Study Stu Svcs],Input[Institution Name],H38)
-SUMIFS(Input[Cost Study Intr C. Ath],Input[Institution Name],H38)</f>
        <v>66553147</v>
      </c>
      <c r="AB38" s="685"/>
      <c r="AC38" s="685"/>
      <c r="AD38" s="685">
        <f>SUMIFS(Input[Inst. Spt E&amp;G],Input[Institution Name],H38)
+SUMIFS(Input[Inst. Spt Desg],Input[Institution Name],H38)
+SUMIFS(Input[Inst. Spt R Exp],Input[Institution Name],H38)
+SUMIFS(Input[Inst. Spt Unexp],Input[Institution Name],H38)
+SUMIFS(Input[Cost Study Inst. Sppt],Input[Institution Name],H38)</f>
        <v>60538139</v>
      </c>
      <c r="AE38" s="685"/>
      <c r="AF38" s="686"/>
      <c r="AG38" s="29"/>
      <c r="AH38" s="24"/>
      <c r="AI38" s="24"/>
      <c r="AJ38" s="24"/>
      <c r="AK38" s="24"/>
      <c r="AL38" s="24"/>
      <c r="AM38" s="24"/>
    </row>
    <row r="39" spans="1:39" ht="30" customHeight="1" x14ac:dyDescent="0.3">
      <c r="A39" s="25"/>
      <c r="B39" s="25"/>
      <c r="C39" s="25"/>
      <c r="D39" s="25"/>
      <c r="E39" s="25"/>
      <c r="F39" s="25"/>
      <c r="G39" s="25"/>
      <c r="H39" s="167" t="s">
        <v>25</v>
      </c>
      <c r="I39" s="158"/>
      <c r="J39" s="158"/>
      <c r="K39" s="158"/>
      <c r="L39" s="158"/>
      <c r="M39" s="158"/>
      <c r="N39" s="158"/>
      <c r="O39" s="158"/>
      <c r="P39" s="695">
        <v>42421</v>
      </c>
      <c r="Q39" s="695"/>
      <c r="R39" s="683">
        <f>SUMIFS(Input[Instr E&amp;G],Input[Institution Name],H39)
+SUMIFS(Input[Instr Desg],Input[Institution Name],H39)
+SUMIFS(Input[Instr R Exp],Input[Institution Name],H39)
+SUMIFS(Input[Instr Unexp],Input[Institution Name],H39)
+SUMIFS(Input[Cost Study Inst.],Input[Institution Name],H39)</f>
        <v>20590023</v>
      </c>
      <c r="S39" s="683"/>
      <c r="T39" s="683"/>
      <c r="U39" s="683">
        <f>SUMIFS(Input[Res E&amp;G],Input[Institution Name],H39)
+SUMIFS(Input[Res Desg],Input[Institution Name],H39)
+SUMIFS(Input[Res R Exp],Input[Institution Name],H39)
+SUMIFS(Input[Res Unexp],Input[Institution Name],H39)
+SUMIFS(Input[Cost Study Resh],Input[Institution Name],H39)</f>
        <v>585620</v>
      </c>
      <c r="V39" s="683"/>
      <c r="W39" s="683"/>
      <c r="X39" s="683">
        <f>SUMIFS(Input[Acad Sup E&amp;G],Input[Institution Name],H39)
+SUMIFS(Input[Acad Sup Desg],Input[Institution Name],H39)
+SUMIFS(Input[Acad Sup R Exp],Input[Institution Name],H39)
+SUMIFS(Input[Acad Sup Unexp],Input[Institution Name],H39)
+SUMIFS(Input[Cost Study Aca Sppt],Input[Institution Name],H39)</f>
        <v>7553264</v>
      </c>
      <c r="Y39" s="683"/>
      <c r="Z39" s="683"/>
      <c r="AA39" s="683">
        <f>SUMIFS(Input[Stu Svc E&amp;G],Input[Institution Name],H39)
+SUMIFS(Input[Stu Svc Desg],Input[Institution Name],H39)
+SUMIFS(Input[Stu Svc R Exp],Input[Institution Name],H39)
+SUMIFS(Input[Stu Svc Unexp],Input[Institution Name],H39)
+SUMIFS(Input[Cost Study Stu Svcs],Input[Institution Name],H39)
-SUMIFS(Input[Cost Study Intr C. Ath],Input[Institution Name],H39)</f>
        <v>11622083</v>
      </c>
      <c r="AB39" s="683"/>
      <c r="AC39" s="683"/>
      <c r="AD39" s="683">
        <f>SUMIFS(Input[Inst. Spt E&amp;G],Input[Institution Name],H39)
+SUMIFS(Input[Inst. Spt Desg],Input[Institution Name],H39)
+SUMIFS(Input[Inst. Spt R Exp],Input[Institution Name],H39)
+SUMIFS(Input[Inst. Spt Unexp],Input[Institution Name],H39)
+SUMIFS(Input[Cost Study Inst. Sppt],Input[Institution Name],H39)</f>
        <v>7117167</v>
      </c>
      <c r="AE39" s="683"/>
      <c r="AF39" s="684"/>
      <c r="AG39" s="29"/>
      <c r="AH39" s="24"/>
      <c r="AI39" s="24"/>
      <c r="AJ39" s="24"/>
      <c r="AK39" s="24"/>
      <c r="AL39" s="24"/>
      <c r="AM39" s="24"/>
    </row>
    <row r="40" spans="1:39" ht="30" customHeight="1" x14ac:dyDescent="0.3">
      <c r="A40" s="25"/>
      <c r="B40" s="25"/>
      <c r="C40" s="25"/>
      <c r="D40" s="25"/>
      <c r="E40" s="25"/>
      <c r="F40" s="25"/>
      <c r="G40" s="25"/>
      <c r="H40" s="168" t="s">
        <v>26</v>
      </c>
      <c r="I40" s="157"/>
      <c r="J40" s="157"/>
      <c r="K40" s="157"/>
      <c r="L40" s="157"/>
      <c r="M40" s="157"/>
      <c r="N40" s="157"/>
      <c r="O40" s="157"/>
      <c r="P40" s="698">
        <v>3592</v>
      </c>
      <c r="Q40" s="698"/>
      <c r="R40" s="685">
        <f>SUMIFS(Input[Instr E&amp;G],Input[Institution Name],H40)
+SUMIFS(Input[Instr Desg],Input[Institution Name],H40)
+SUMIFS(Input[Instr R Exp],Input[Institution Name],H40)
+SUMIFS(Input[Instr Unexp],Input[Institution Name],H40)
+SUMIFS(Input[Cost Study Inst.],Input[Institution Name],H40)</f>
        <v>32245763</v>
      </c>
      <c r="S40" s="685"/>
      <c r="T40" s="685"/>
      <c r="U40" s="685">
        <f>SUMIFS(Input[Res E&amp;G],Input[Institution Name],H40)
+SUMIFS(Input[Res Desg],Input[Institution Name],H40)
+SUMIFS(Input[Res R Exp],Input[Institution Name],H40)
+SUMIFS(Input[Res Unexp],Input[Institution Name],H40)
+SUMIFS(Input[Cost Study Resh],Input[Institution Name],H40)</f>
        <v>1413555</v>
      </c>
      <c r="V40" s="685"/>
      <c r="W40" s="685"/>
      <c r="X40" s="685">
        <f>SUMIFS(Input[Acad Sup E&amp;G],Input[Institution Name],H40)
+SUMIFS(Input[Acad Sup Desg],Input[Institution Name],H40)
+SUMIFS(Input[Acad Sup R Exp],Input[Institution Name],H40)
+SUMIFS(Input[Acad Sup Unexp],Input[Institution Name],H40)
+SUMIFS(Input[Cost Study Aca Sppt],Input[Institution Name],H40)</f>
        <v>7991629</v>
      </c>
      <c r="Y40" s="685"/>
      <c r="Z40" s="685"/>
      <c r="AA40" s="685">
        <f>SUMIFS(Input[Stu Svc E&amp;G],Input[Institution Name],H40)
+SUMIFS(Input[Stu Svc Desg],Input[Institution Name],H40)
+SUMIFS(Input[Stu Svc R Exp],Input[Institution Name],H40)
+SUMIFS(Input[Stu Svc Unexp],Input[Institution Name],H40)
+SUMIFS(Input[Cost Study Stu Svcs],Input[Institution Name],H40)
-SUMIFS(Input[Cost Study Intr C. Ath],Input[Institution Name],H40)</f>
        <v>13744473</v>
      </c>
      <c r="AB40" s="685"/>
      <c r="AC40" s="685"/>
      <c r="AD40" s="685">
        <f>SUMIFS(Input[Inst. Spt E&amp;G],Input[Institution Name],H40)
+SUMIFS(Input[Inst. Spt Desg],Input[Institution Name],H40)
+SUMIFS(Input[Inst. Spt R Exp],Input[Institution Name],H40)
+SUMIFS(Input[Inst. Spt Unexp],Input[Institution Name],H40)
+SUMIFS(Input[Cost Study Inst. Sppt],Input[Institution Name],H40)</f>
        <v>7710555</v>
      </c>
      <c r="AE40" s="685"/>
      <c r="AF40" s="686"/>
      <c r="AG40" s="29"/>
      <c r="AH40" s="24"/>
      <c r="AI40" s="24"/>
      <c r="AJ40" s="24"/>
      <c r="AK40" s="24"/>
      <c r="AL40" s="24"/>
      <c r="AM40" s="24"/>
    </row>
    <row r="41" spans="1:39" ht="30" customHeight="1" x14ac:dyDescent="0.3">
      <c r="A41" s="25"/>
      <c r="B41" s="25"/>
      <c r="C41" s="25"/>
      <c r="D41" s="25"/>
      <c r="E41" s="25"/>
      <c r="F41" s="25"/>
      <c r="G41" s="25"/>
      <c r="H41" s="167" t="s">
        <v>27</v>
      </c>
      <c r="I41" s="158"/>
      <c r="J41" s="158"/>
      <c r="K41" s="158"/>
      <c r="L41" s="158"/>
      <c r="M41" s="158"/>
      <c r="N41" s="158"/>
      <c r="O41" s="158"/>
      <c r="P41" s="695">
        <v>3624</v>
      </c>
      <c r="Q41" s="695"/>
      <c r="R41" s="683">
        <f>SUMIFS(Input[Instr E&amp;G],Input[Institution Name],H41)
+SUMIFS(Input[Instr Desg],Input[Institution Name],H41)
+SUMIFS(Input[Instr R Exp],Input[Institution Name],H41)
+SUMIFS(Input[Instr Unexp],Input[Institution Name],H41)
+SUMIFS(Input[Cost Study Inst.],Input[Institution Name],H41)</f>
        <v>71735749</v>
      </c>
      <c r="S41" s="683"/>
      <c r="T41" s="683"/>
      <c r="U41" s="683">
        <f>SUMIFS(Input[Res E&amp;G],Input[Institution Name],H41)
+SUMIFS(Input[Res Desg],Input[Institution Name],H41)
+SUMIFS(Input[Res R Exp],Input[Institution Name],H41)
+SUMIFS(Input[Res Unexp],Input[Institution Name],H41)
+SUMIFS(Input[Cost Study Resh],Input[Institution Name],H41)</f>
        <v>5421422</v>
      </c>
      <c r="V41" s="683"/>
      <c r="W41" s="683"/>
      <c r="X41" s="683">
        <f>SUMIFS(Input[Acad Sup E&amp;G],Input[Institution Name],H41)
+SUMIFS(Input[Acad Sup Desg],Input[Institution Name],H41)
+SUMIFS(Input[Acad Sup R Exp],Input[Institution Name],H41)
+SUMIFS(Input[Acad Sup Unexp],Input[Institution Name],H41)
+SUMIFS(Input[Cost Study Aca Sppt],Input[Institution Name],H41)</f>
        <v>21074058</v>
      </c>
      <c r="Y41" s="683"/>
      <c r="Z41" s="683"/>
      <c r="AA41" s="683">
        <f>SUMIFS(Input[Stu Svc E&amp;G],Input[Institution Name],H41)
+SUMIFS(Input[Stu Svc Desg],Input[Institution Name],H41)
+SUMIFS(Input[Stu Svc R Exp],Input[Institution Name],H41)
+SUMIFS(Input[Stu Svc Unexp],Input[Institution Name],H41)
+SUMIFS(Input[Cost Study Stu Svcs],Input[Institution Name],H41)
-SUMIFS(Input[Cost Study Intr C. Ath],Input[Institution Name],H41)</f>
        <v>12521972</v>
      </c>
      <c r="AB41" s="683"/>
      <c r="AC41" s="683"/>
      <c r="AD41" s="683">
        <f>SUMIFS(Input[Inst. Spt E&amp;G],Input[Institution Name],H41)
+SUMIFS(Input[Inst. Spt Desg],Input[Institution Name],H41)
+SUMIFS(Input[Inst. Spt R Exp],Input[Institution Name],H41)
+SUMIFS(Input[Inst. Spt Unexp],Input[Institution Name],H41)
+SUMIFS(Input[Cost Study Inst. Sppt],Input[Institution Name],H41)</f>
        <v>35925577</v>
      </c>
      <c r="AE41" s="683"/>
      <c r="AF41" s="684"/>
      <c r="AG41" s="29"/>
      <c r="AH41" s="24"/>
      <c r="AI41" s="24"/>
      <c r="AJ41" s="24"/>
      <c r="AK41" s="24"/>
      <c r="AL41" s="24"/>
      <c r="AM41" s="24"/>
    </row>
    <row r="42" spans="1:39" ht="30" customHeight="1" x14ac:dyDescent="0.3">
      <c r="A42" s="25"/>
      <c r="B42" s="25"/>
      <c r="C42" s="25"/>
      <c r="D42" s="25"/>
      <c r="E42" s="25"/>
      <c r="F42" s="25"/>
      <c r="G42" s="25"/>
      <c r="H42" s="168" t="s">
        <v>63</v>
      </c>
      <c r="I42" s="157"/>
      <c r="J42" s="157"/>
      <c r="K42" s="157"/>
      <c r="L42" s="157"/>
      <c r="M42" s="157"/>
      <c r="N42" s="157"/>
      <c r="O42" s="157"/>
      <c r="P42" s="698">
        <v>3642</v>
      </c>
      <c r="Q42" s="698"/>
      <c r="R42" s="685">
        <f>SUMIFS(Input[Instr E&amp;G],Input[Institution Name],H42)
+SUMIFS(Input[Instr Desg],Input[Institution Name],H42)
+SUMIFS(Input[Instr R Exp],Input[Institution Name],H42)
+SUMIFS(Input[Instr Unexp],Input[Institution Name],H42)
+SUMIFS(Input[Cost Study Inst.],Input[Institution Name],H42)</f>
        <v>73054623</v>
      </c>
      <c r="S42" s="685"/>
      <c r="T42" s="685"/>
      <c r="U42" s="685">
        <f>SUMIFS(Input[Res E&amp;G],Input[Institution Name],H42)
+SUMIFS(Input[Res Desg],Input[Institution Name],H42)
+SUMIFS(Input[Res R Exp],Input[Institution Name],H42)
+SUMIFS(Input[Res Unexp],Input[Institution Name],H42)
+SUMIFS(Input[Cost Study Resh],Input[Institution Name],H42)</f>
        <v>6504394</v>
      </c>
      <c r="V42" s="685"/>
      <c r="W42" s="685"/>
      <c r="X42" s="685">
        <f>SUMIFS(Input[Acad Sup E&amp;G],Input[Institution Name],H42)
+SUMIFS(Input[Acad Sup Desg],Input[Institution Name],H42)
+SUMIFS(Input[Acad Sup R Exp],Input[Institution Name],H42)
+SUMIFS(Input[Acad Sup Unexp],Input[Institution Name],H42)
+SUMIFS(Input[Cost Study Aca Sppt],Input[Institution Name],H42)</f>
        <v>11468999</v>
      </c>
      <c r="Y42" s="685"/>
      <c r="Z42" s="685"/>
      <c r="AA42" s="685">
        <f>SUMIFS(Input[Stu Svc E&amp;G],Input[Institution Name],H42)
+SUMIFS(Input[Stu Svc Desg],Input[Institution Name],H42)
+SUMIFS(Input[Stu Svc R Exp],Input[Institution Name],H42)
+SUMIFS(Input[Stu Svc Unexp],Input[Institution Name],H42)
+SUMIFS(Input[Cost Study Stu Svcs],Input[Institution Name],H42)
-SUMIFS(Input[Cost Study Intr C. Ath],Input[Institution Name],H42)</f>
        <v>13813911</v>
      </c>
      <c r="AB42" s="685"/>
      <c r="AC42" s="685"/>
      <c r="AD42" s="685">
        <f>SUMIFS(Input[Inst. Spt E&amp;G],Input[Institution Name],H42)
+SUMIFS(Input[Inst. Spt Desg],Input[Institution Name],H42)
+SUMIFS(Input[Inst. Spt R Exp],Input[Institution Name],H42)
+SUMIFS(Input[Inst. Spt Unexp],Input[Institution Name],H42)
+SUMIFS(Input[Cost Study Inst. Sppt],Input[Institution Name],H42)</f>
        <v>56011470</v>
      </c>
      <c r="AE42" s="685"/>
      <c r="AF42" s="686"/>
      <c r="AG42" s="29"/>
      <c r="AH42" s="24"/>
      <c r="AI42" s="24"/>
      <c r="AJ42" s="24"/>
      <c r="AK42" s="24"/>
      <c r="AL42" s="24"/>
      <c r="AM42" s="24"/>
    </row>
    <row r="43" spans="1:39" ht="30" customHeight="1" x14ac:dyDescent="0.3">
      <c r="A43" s="25"/>
      <c r="B43" s="25"/>
      <c r="C43" s="25"/>
      <c r="D43" s="25"/>
      <c r="E43" s="25"/>
      <c r="F43" s="25"/>
      <c r="G43" s="25"/>
      <c r="H43" s="170" t="s">
        <v>64</v>
      </c>
      <c r="I43" s="171"/>
      <c r="J43" s="171"/>
      <c r="K43" s="171"/>
      <c r="L43" s="171"/>
      <c r="M43" s="171"/>
      <c r="N43" s="171"/>
      <c r="O43" s="171"/>
      <c r="P43" s="705">
        <v>3646</v>
      </c>
      <c r="Q43" s="705"/>
      <c r="R43" s="703">
        <f>SUMIFS(Input[Instr E&amp;G],Input[Institution Name],H43)
+SUMIFS(Input[Instr Desg],Input[Institution Name],H43)
+SUMIFS(Input[Instr R Exp],Input[Institution Name],H43)
+SUMIFS(Input[Instr Unexp],Input[Institution Name],H43)
+SUMIFS(Input[Cost Study Inst.],Input[Institution Name],H43)</f>
        <v>87994163</v>
      </c>
      <c r="S43" s="703"/>
      <c r="T43" s="703"/>
      <c r="U43" s="703">
        <f>SUMIFS(Input[Res E&amp;G],Input[Institution Name],H43)
+SUMIFS(Input[Res Desg],Input[Institution Name],H43)
+SUMIFS(Input[Res R Exp],Input[Institution Name],H43)
+SUMIFS(Input[Res Unexp],Input[Institution Name],H43)
+SUMIFS(Input[Cost Study Resh],Input[Institution Name],H43)</f>
        <v>7132091</v>
      </c>
      <c r="V43" s="703"/>
      <c r="W43" s="703"/>
      <c r="X43" s="703">
        <f>SUMIFS(Input[Acad Sup E&amp;G],Input[Institution Name],H43)
+SUMIFS(Input[Acad Sup Desg],Input[Institution Name],H43)
+SUMIFS(Input[Acad Sup R Exp],Input[Institution Name],H43)
+SUMIFS(Input[Acad Sup Unexp],Input[Institution Name],H43)
+SUMIFS(Input[Cost Study Aca Sppt],Input[Institution Name],H43)</f>
        <v>37985370</v>
      </c>
      <c r="Y43" s="703"/>
      <c r="Z43" s="703"/>
      <c r="AA43" s="703">
        <f>SUMIFS(Input[Stu Svc E&amp;G],Input[Institution Name],H43)
+SUMIFS(Input[Stu Svc Desg],Input[Institution Name],H43)
+SUMIFS(Input[Stu Svc R Exp],Input[Institution Name],H43)
+SUMIFS(Input[Stu Svc Unexp],Input[Institution Name],H43)
+SUMIFS(Input[Cost Study Stu Svcs],Input[Institution Name],H43)
-SUMIFS(Input[Cost Study Intr C. Ath],Input[Institution Name],H43)</f>
        <v>16159591</v>
      </c>
      <c r="AB43" s="703"/>
      <c r="AC43" s="703"/>
      <c r="AD43" s="703">
        <f>SUMIFS(Input[Inst. Spt E&amp;G],Input[Institution Name],H43)
+SUMIFS(Input[Inst. Spt Desg],Input[Institution Name],H43)
+SUMIFS(Input[Inst. Spt R Exp],Input[Institution Name],H43)
+SUMIFS(Input[Inst. Spt Unexp],Input[Institution Name],H43)
+SUMIFS(Input[Cost Study Inst. Sppt],Input[Institution Name],H43)</f>
        <v>39595172</v>
      </c>
      <c r="AE43" s="703"/>
      <c r="AF43" s="704"/>
      <c r="AG43" s="29"/>
      <c r="AH43" s="24"/>
      <c r="AI43" s="24"/>
      <c r="AJ43" s="24"/>
      <c r="AK43" s="24"/>
      <c r="AL43" s="24"/>
      <c r="AM43" s="24"/>
    </row>
    <row r="44" spans="1:39" ht="30" customHeight="1" x14ac:dyDescent="0.3">
      <c r="A44" s="25"/>
      <c r="B44" s="25"/>
      <c r="C44" s="25"/>
      <c r="D44" s="25"/>
      <c r="E44" s="25"/>
      <c r="F44" s="25"/>
      <c r="G44" s="25"/>
      <c r="H44" s="675" t="s">
        <v>67</v>
      </c>
      <c r="I44" s="676"/>
      <c r="J44" s="676"/>
      <c r="K44" s="676"/>
      <c r="L44" s="676"/>
      <c r="M44" s="676"/>
      <c r="N44" s="676"/>
      <c r="O44" s="676"/>
      <c r="P44" s="678">
        <f>COUNTA(P8:Q43)</f>
        <v>36</v>
      </c>
      <c r="Q44" s="678"/>
      <c r="R44" s="681">
        <f>SUM(R8:R43)</f>
        <v>4737471430</v>
      </c>
      <c r="S44" s="681"/>
      <c r="T44" s="681"/>
      <c r="U44" s="681">
        <f>SUM(U8:U43)</f>
        <v>3139134719</v>
      </c>
      <c r="V44" s="681"/>
      <c r="W44" s="681"/>
      <c r="X44" s="681">
        <f>SUM(X8:X43)</f>
        <v>2438077827</v>
      </c>
      <c r="Y44" s="681"/>
      <c r="Z44" s="681"/>
      <c r="AA44" s="681">
        <f>SUM(AA8:AA43)</f>
        <v>957168537</v>
      </c>
      <c r="AB44" s="681"/>
      <c r="AC44" s="681"/>
      <c r="AD44" s="681">
        <f>SUM(AD8:AD43)</f>
        <v>1509907160</v>
      </c>
      <c r="AE44" s="681"/>
      <c r="AF44" s="682"/>
      <c r="AG44" s="29"/>
      <c r="AH44" s="24"/>
      <c r="AI44" s="24"/>
      <c r="AJ44" s="24"/>
      <c r="AK44" s="24"/>
      <c r="AL44" s="24"/>
      <c r="AM44" s="24"/>
    </row>
    <row r="45" spans="1:39" ht="30" customHeight="1" x14ac:dyDescent="0.3">
      <c r="A45" s="25"/>
      <c r="B45" s="25"/>
      <c r="C45" s="25"/>
      <c r="D45" s="25"/>
      <c r="E45" s="25"/>
      <c r="F45" s="25"/>
      <c r="G45" s="25"/>
      <c r="H45" s="30"/>
      <c r="I45" s="30"/>
      <c r="J45" s="30"/>
      <c r="K45" s="30"/>
      <c r="L45" s="30"/>
      <c r="M45" s="30"/>
      <c r="N45" s="30"/>
      <c r="O45" s="30"/>
      <c r="P45" s="24"/>
      <c r="Q45" s="24"/>
      <c r="R45" s="31"/>
      <c r="S45" s="31"/>
      <c r="T45" s="31"/>
      <c r="U45" s="31"/>
      <c r="V45" s="31"/>
      <c r="W45" s="31"/>
      <c r="X45" s="31"/>
      <c r="Y45" s="31"/>
      <c r="Z45" s="31"/>
      <c r="AA45" s="31"/>
      <c r="AB45" s="31"/>
      <c r="AC45" s="31"/>
      <c r="AD45" s="31"/>
      <c r="AE45" s="31"/>
      <c r="AF45" s="31"/>
      <c r="AG45" s="29"/>
      <c r="AH45" s="24"/>
      <c r="AI45" s="24"/>
      <c r="AJ45" s="24"/>
      <c r="AK45" s="24"/>
      <c r="AL45" s="24"/>
      <c r="AM45" s="24"/>
    </row>
    <row r="46" spans="1:39" ht="30" customHeight="1" x14ac:dyDescent="0.3">
      <c r="A46" s="25"/>
      <c r="B46" s="25"/>
      <c r="C46" s="25"/>
      <c r="D46" s="25"/>
      <c r="E46" s="25"/>
      <c r="F46" s="25"/>
      <c r="G46" s="25"/>
      <c r="H46" s="663" t="s">
        <v>0</v>
      </c>
      <c r="I46" s="664"/>
      <c r="J46" s="664"/>
      <c r="K46" s="664"/>
      <c r="L46" s="664"/>
      <c r="M46" s="664"/>
      <c r="N46" s="664"/>
      <c r="O46" s="664"/>
      <c r="P46" s="667" t="s">
        <v>59</v>
      </c>
      <c r="Q46" s="667"/>
      <c r="R46" s="669" t="s">
        <v>921</v>
      </c>
      <c r="S46" s="669"/>
      <c r="T46" s="669"/>
      <c r="U46" s="669" t="s">
        <v>922</v>
      </c>
      <c r="V46" s="669"/>
      <c r="W46" s="669"/>
      <c r="X46" s="669" t="s">
        <v>1035</v>
      </c>
      <c r="Y46" s="669"/>
      <c r="Z46" s="669"/>
      <c r="AA46" s="671" t="s">
        <v>1034</v>
      </c>
      <c r="AB46" s="671"/>
      <c r="AC46" s="671"/>
      <c r="AD46" s="669" t="s">
        <v>1033</v>
      </c>
      <c r="AE46" s="669"/>
      <c r="AF46" s="673"/>
      <c r="AG46" s="29"/>
      <c r="AH46" s="24"/>
      <c r="AI46" s="24"/>
      <c r="AJ46" s="24"/>
      <c r="AK46" s="24"/>
      <c r="AL46" s="24"/>
      <c r="AM46" s="24"/>
    </row>
    <row r="47" spans="1:39" ht="30" customHeight="1" x14ac:dyDescent="0.3">
      <c r="A47" s="25"/>
      <c r="B47" s="25"/>
      <c r="C47" s="25"/>
      <c r="D47" s="25"/>
      <c r="E47" s="25"/>
      <c r="F47" s="25"/>
      <c r="G47" s="25"/>
      <c r="H47" s="665"/>
      <c r="I47" s="666"/>
      <c r="J47" s="666"/>
      <c r="K47" s="666"/>
      <c r="L47" s="666"/>
      <c r="M47" s="666"/>
      <c r="N47" s="666"/>
      <c r="O47" s="666"/>
      <c r="P47" s="668"/>
      <c r="Q47" s="668"/>
      <c r="R47" s="670"/>
      <c r="S47" s="670"/>
      <c r="T47" s="670"/>
      <c r="U47" s="670"/>
      <c r="V47" s="670"/>
      <c r="W47" s="670"/>
      <c r="X47" s="670"/>
      <c r="Y47" s="670"/>
      <c r="Z47" s="670"/>
      <c r="AA47" s="672"/>
      <c r="AB47" s="672"/>
      <c r="AC47" s="672"/>
      <c r="AD47" s="670"/>
      <c r="AE47" s="670"/>
      <c r="AF47" s="674"/>
      <c r="AG47" s="29"/>
      <c r="AH47" s="24"/>
      <c r="AI47" s="24"/>
      <c r="AJ47" s="24"/>
      <c r="AK47" s="24"/>
      <c r="AL47" s="24"/>
      <c r="AM47" s="24"/>
    </row>
    <row r="48" spans="1:39" ht="30" customHeight="1" x14ac:dyDescent="0.3">
      <c r="A48" s="25"/>
      <c r="B48" s="25"/>
      <c r="C48" s="25"/>
      <c r="D48" s="25"/>
      <c r="E48" s="25"/>
      <c r="F48" s="25"/>
      <c r="G48" s="25"/>
      <c r="H48" s="688" t="s">
        <v>92</v>
      </c>
      <c r="I48" s="689"/>
      <c r="J48" s="689"/>
      <c r="K48" s="689"/>
      <c r="L48" s="689"/>
      <c r="M48" s="689"/>
      <c r="N48" s="689"/>
      <c r="O48" s="689"/>
      <c r="P48" s="690">
        <v>3658</v>
      </c>
      <c r="Q48" s="690"/>
      <c r="R48" s="691">
        <f>SUMIFS(Input[Instr E&amp;G],Input[Institution Name],H48)
+SUMIFS(Input[Instr Desg],Input[Institution Name],H48)
+SUMIFS(Input[Instr R Exp],Input[Institution Name],H48)
+SUMIFS(Input[Instr Unexp],Input[Institution Name],H48)
+SUMIFS(Input[Cost Study Inst.],Input[Institution Name],H48)</f>
        <v>784623218</v>
      </c>
      <c r="S48" s="691"/>
      <c r="T48" s="691"/>
      <c r="U48" s="691">
        <f>SUMIFS(Input[Res E&amp;G],Input[Institution Name],H48)
+SUMIFS(Input[Res Desg],Input[Institution Name],H48)
+SUMIFS(Input[Res R Exp],Input[Institution Name],H48)
+SUMIFS(Input[Res Unexp],Input[Institution Name],H48)
+SUMIFS(Input[Cost Study Resh],Input[Institution Name],H48)</f>
        <v>1092980813</v>
      </c>
      <c r="V48" s="691"/>
      <c r="W48" s="691"/>
      <c r="X48" s="691">
        <f>SUMIFS(Input[Acad Sup E&amp;G],Input[Institution Name],H48)
+SUMIFS(Input[Acad Sup Desg],Input[Institution Name],H48)
+SUMIFS(Input[Acad Sup R Exp],Input[Institution Name],H48)
+SUMIFS(Input[Acad Sup Unexp],Input[Institution Name],H48)
+SUMIFS(Input[Cost Study Aca Sppt],Input[Institution Name],H48)</f>
        <v>683999618</v>
      </c>
      <c r="Y48" s="691"/>
      <c r="Z48" s="691"/>
      <c r="AA48" s="691">
        <f>SUMIFS(Input[Stu Svc E&amp;G],Input[Institution Name],H48)
+SUMIFS(Input[Stu Svc Desg],Input[Institution Name],H48)
+SUMIFS(Input[Stu Svc R Exp],Input[Institution Name],H48)
+SUMIFS(Input[Stu Svc Unexp],Input[Institution Name],H48)
+SUMIFS(Input[Cost Study Stu Svcs],Input[Institution Name],H48)
-SUMIFS(Input[Cost Study Intr C. Ath],Input[Institution Name],H48)</f>
        <v>52731258</v>
      </c>
      <c r="AB48" s="691"/>
      <c r="AC48" s="691"/>
      <c r="AD48" s="691">
        <f>SUMIFS(Input[Inst. Spt E&amp;G],Input[Institution Name],H48)
+SUMIFS(Input[Inst. Spt Desg],Input[Institution Name],H48)
+SUMIFS(Input[Inst. Spt R Exp],Input[Institution Name],H48)
+SUMIFS(Input[Inst. Spt Unexp],Input[Institution Name],H48)
+SUMIFS(Input[Cost Study Inst. Sppt],Input[Institution Name],H48)</f>
        <v>356101400</v>
      </c>
      <c r="AE48" s="691"/>
      <c r="AF48" s="692"/>
      <c r="AG48" s="29"/>
      <c r="AH48" s="24"/>
      <c r="AI48" s="24"/>
      <c r="AJ48" s="24"/>
      <c r="AK48" s="24"/>
      <c r="AL48" s="24"/>
      <c r="AM48" s="24"/>
    </row>
    <row r="49" spans="1:39" ht="30" customHeight="1" x14ac:dyDescent="0.3">
      <c r="A49" s="25"/>
      <c r="B49" s="25"/>
      <c r="C49" s="25"/>
      <c r="D49" s="25"/>
      <c r="E49" s="25"/>
      <c r="F49" s="25"/>
      <c r="G49" s="25"/>
      <c r="H49" s="693" t="s">
        <v>166</v>
      </c>
      <c r="I49" s="694"/>
      <c r="J49" s="694"/>
      <c r="K49" s="694"/>
      <c r="L49" s="694"/>
      <c r="M49" s="694"/>
      <c r="N49" s="694"/>
      <c r="O49" s="694"/>
      <c r="P49" s="695">
        <v>3599</v>
      </c>
      <c r="Q49" s="695"/>
      <c r="R49" s="683">
        <f>SUMIFS(Input[Instr E&amp;G],Input[Institution Name],H49)
+SUMIFS(Input[Instr Desg],Input[Institution Name],H49)
+SUMIFS(Input[Instr R Exp],Input[Institution Name],H49)
+SUMIFS(Input[Instr Unexp],Input[Institution Name],H49)
+SUMIFS(Input[Cost Study Inst.],Input[Institution Name],H49)</f>
        <v>215293890</v>
      </c>
      <c r="S49" s="683"/>
      <c r="T49" s="683"/>
      <c r="U49" s="683">
        <f>SUMIFS(Input[Res E&amp;G],Input[Institution Name],H49)
+SUMIFS(Input[Res Desg],Input[Institution Name],H49)
+SUMIFS(Input[Res R Exp],Input[Institution Name],H49)
+SUMIFS(Input[Res Unexp],Input[Institution Name],H49)
+SUMIFS(Input[Cost Study Resh],Input[Institution Name],H49)</f>
        <v>94158446</v>
      </c>
      <c r="V49" s="683"/>
      <c r="W49" s="683"/>
      <c r="X49" s="683">
        <f>SUMIFS(Input[Acad Sup E&amp;G],Input[Institution Name],H49)
+SUMIFS(Input[Acad Sup Desg],Input[Institution Name],H49)
+SUMIFS(Input[Acad Sup R Exp],Input[Institution Name],H49)
+SUMIFS(Input[Acad Sup Unexp],Input[Institution Name],H49)
+SUMIFS(Input[Cost Study Aca Sppt],Input[Institution Name],H49)</f>
        <v>88278349</v>
      </c>
      <c r="Y49" s="683"/>
      <c r="Z49" s="683"/>
      <c r="AA49" s="683">
        <f>SUMIFS(Input[Stu Svc E&amp;G],Input[Institution Name],H49)
+SUMIFS(Input[Stu Svc Desg],Input[Institution Name],H49)
+SUMIFS(Input[Stu Svc R Exp],Input[Institution Name],H49)
+SUMIFS(Input[Stu Svc Unexp],Input[Institution Name],H49)
+SUMIFS(Input[Cost Study Stu Svcs],Input[Institution Name],H49)
-SUMIFS(Input[Cost Study Intr C. Ath],Input[Institution Name],H49)</f>
        <v>38577906</v>
      </c>
      <c r="AB49" s="683"/>
      <c r="AC49" s="683"/>
      <c r="AD49" s="683">
        <f>SUMIFS(Input[Inst. Spt E&amp;G],Input[Institution Name],H49)
+SUMIFS(Input[Inst. Spt Desg],Input[Institution Name],H49)
+SUMIFS(Input[Inst. Spt R Exp],Input[Institution Name],H49)
+SUMIFS(Input[Inst. Spt Unexp],Input[Institution Name],H49)
+SUMIFS(Input[Cost Study Inst. Sppt],Input[Institution Name],H49)</f>
        <v>44367758</v>
      </c>
      <c r="AE49" s="683"/>
      <c r="AF49" s="684"/>
      <c r="AG49" s="29"/>
      <c r="AH49" s="24"/>
      <c r="AI49" s="24"/>
      <c r="AJ49" s="24"/>
      <c r="AK49" s="24"/>
      <c r="AL49" s="24"/>
      <c r="AM49" s="24"/>
    </row>
    <row r="50" spans="1:39" ht="30" customHeight="1" x14ac:dyDescent="0.3">
      <c r="A50" s="25"/>
      <c r="B50" s="25"/>
      <c r="C50" s="25"/>
      <c r="D50" s="25"/>
      <c r="E50" s="25"/>
      <c r="F50" s="25"/>
      <c r="G50" s="25"/>
      <c r="H50" s="696" t="s">
        <v>73</v>
      </c>
      <c r="I50" s="697"/>
      <c r="J50" s="697"/>
      <c r="K50" s="697"/>
      <c r="L50" s="697"/>
      <c r="M50" s="697"/>
      <c r="N50" s="697"/>
      <c r="O50" s="697"/>
      <c r="P50" s="698">
        <v>3652</v>
      </c>
      <c r="Q50" s="698"/>
      <c r="R50" s="685">
        <f>SUMIFS(Input[Instr E&amp;G],Input[Institution Name],H50)
+SUMIFS(Input[Instr Desg],Input[Institution Name],H50)
+SUMIFS(Input[Instr R Exp],Input[Institution Name],H50)
+SUMIFS(Input[Instr Unexp],Input[Institution Name],H50)
+SUMIFS(Input[Cost Study Inst.],Input[Institution Name],H50)</f>
        <v>312505570</v>
      </c>
      <c r="S50" s="685"/>
      <c r="T50" s="685"/>
      <c r="U50" s="685">
        <f>SUMIFS(Input[Res E&amp;G],Input[Institution Name],H50)
+SUMIFS(Input[Res Desg],Input[Institution Name],H50)
+SUMIFS(Input[Res R Exp],Input[Institution Name],H50)
+SUMIFS(Input[Res Unexp],Input[Institution Name],H50)
+SUMIFS(Input[Cost Study Resh],Input[Institution Name],H50)</f>
        <v>215020337</v>
      </c>
      <c r="V50" s="685"/>
      <c r="W50" s="685"/>
      <c r="X50" s="685">
        <f>SUMIFS(Input[Acad Sup E&amp;G],Input[Institution Name],H50)
+SUMIFS(Input[Acad Sup Desg],Input[Institution Name],H50)
+SUMIFS(Input[Acad Sup R Exp],Input[Institution Name],H50)
+SUMIFS(Input[Acad Sup Unexp],Input[Institution Name],H50)
+SUMIFS(Input[Cost Study Aca Sppt],Input[Institution Name],H50)</f>
        <v>217170948</v>
      </c>
      <c r="Y50" s="685"/>
      <c r="Z50" s="685"/>
      <c r="AA50" s="685">
        <f>SUMIFS(Input[Stu Svc E&amp;G],Input[Institution Name],H50)
+SUMIFS(Input[Stu Svc Desg],Input[Institution Name],H50)
+SUMIFS(Input[Stu Svc R Exp],Input[Institution Name],H50)
+SUMIFS(Input[Stu Svc Unexp],Input[Institution Name],H50)
+SUMIFS(Input[Cost Study Stu Svcs],Input[Institution Name],H50)
-SUMIFS(Input[Cost Study Intr C. Ath],Input[Institution Name],H50)</f>
        <v>35467011</v>
      </c>
      <c r="AB50" s="685"/>
      <c r="AC50" s="685"/>
      <c r="AD50" s="685">
        <f>SUMIFS(Input[Inst. Spt E&amp;G],Input[Institution Name],H50)
+SUMIFS(Input[Inst. Spt Desg],Input[Institution Name],H50)
+SUMIFS(Input[Inst. Spt R Exp],Input[Institution Name],H50)
+SUMIFS(Input[Inst. Spt Unexp],Input[Institution Name],H50)
+SUMIFS(Input[Cost Study Inst. Sppt],Input[Institution Name],H50)</f>
        <v>91581866</v>
      </c>
      <c r="AE50" s="685"/>
      <c r="AF50" s="686"/>
      <c r="AG50" s="29"/>
      <c r="AH50" s="24"/>
      <c r="AI50" s="24"/>
      <c r="AJ50" s="24"/>
      <c r="AK50" s="24"/>
      <c r="AL50" s="24"/>
      <c r="AM50" s="24"/>
    </row>
    <row r="51" spans="1:39" ht="30" customHeight="1" x14ac:dyDescent="0.3">
      <c r="A51" s="25"/>
      <c r="B51" s="25"/>
      <c r="C51" s="25"/>
      <c r="D51" s="25"/>
      <c r="E51" s="25"/>
      <c r="F51" s="25"/>
      <c r="G51" s="25"/>
      <c r="H51" s="693" t="s">
        <v>78</v>
      </c>
      <c r="I51" s="694"/>
      <c r="J51" s="694"/>
      <c r="K51" s="694"/>
      <c r="L51" s="694"/>
      <c r="M51" s="694"/>
      <c r="N51" s="694"/>
      <c r="O51" s="694"/>
      <c r="P51" s="695">
        <v>3606</v>
      </c>
      <c r="Q51" s="695"/>
      <c r="R51" s="683">
        <f>SUMIFS(Input[Instr E&amp;G],Input[Institution Name],H51)
+SUMIFS(Input[Instr Desg],Input[Institution Name],H51)
+SUMIFS(Input[Instr R Exp],Input[Institution Name],H51)
+SUMIFS(Input[Instr Unexp],Input[Institution Name],H51)
+SUMIFS(Input[Cost Study Inst.],Input[Institution Name],H51)</f>
        <v>111906932</v>
      </c>
      <c r="S51" s="683"/>
      <c r="T51" s="683"/>
      <c r="U51" s="683">
        <f>SUMIFS(Input[Res E&amp;G],Input[Institution Name],H51)
+SUMIFS(Input[Res Desg],Input[Institution Name],H51)
+SUMIFS(Input[Res R Exp],Input[Institution Name],H51)
+SUMIFS(Input[Res Unexp],Input[Institution Name],H51)
+SUMIFS(Input[Cost Study Resh],Input[Institution Name],H51)</f>
        <v>29210112</v>
      </c>
      <c r="V51" s="683"/>
      <c r="W51" s="683"/>
      <c r="X51" s="683">
        <f>SUMIFS(Input[Acad Sup E&amp;G],Input[Institution Name],H51)
+SUMIFS(Input[Acad Sup Desg],Input[Institution Name],H51)
+SUMIFS(Input[Acad Sup R Exp],Input[Institution Name],H51)
+SUMIFS(Input[Acad Sup Unexp],Input[Institution Name],H51)
+SUMIFS(Input[Cost Study Aca Sppt],Input[Institution Name],H51)</f>
        <v>69080547</v>
      </c>
      <c r="Y51" s="683"/>
      <c r="Z51" s="683"/>
      <c r="AA51" s="683">
        <f>SUMIFS(Input[Stu Svc E&amp;G],Input[Institution Name],H51)
+SUMIFS(Input[Stu Svc Desg],Input[Institution Name],H51)
+SUMIFS(Input[Stu Svc R Exp],Input[Institution Name],H51)
+SUMIFS(Input[Stu Svc Unexp],Input[Institution Name],H51)
+SUMIFS(Input[Cost Study Stu Svcs],Input[Institution Name],H51)
-SUMIFS(Input[Cost Study Intr C. Ath],Input[Institution Name],H51)</f>
        <v>34068675</v>
      </c>
      <c r="AB51" s="683"/>
      <c r="AC51" s="683"/>
      <c r="AD51" s="683">
        <f>SUMIFS(Input[Inst. Spt E&amp;G],Input[Institution Name],H51)
+SUMIFS(Input[Inst. Spt Desg],Input[Institution Name],H51)
+SUMIFS(Input[Inst. Spt R Exp],Input[Institution Name],H51)
+SUMIFS(Input[Inst. Spt Unexp],Input[Institution Name],H51)
+SUMIFS(Input[Cost Study Inst. Sppt],Input[Institution Name],H51)</f>
        <v>33447591</v>
      </c>
      <c r="AE51" s="683"/>
      <c r="AF51" s="684"/>
      <c r="AG51" s="29"/>
      <c r="AH51" s="24"/>
      <c r="AI51" s="24"/>
      <c r="AJ51" s="24"/>
      <c r="AK51" s="24"/>
      <c r="AL51" s="24"/>
      <c r="AM51" s="24"/>
    </row>
    <row r="52" spans="1:39" ht="30" customHeight="1" x14ac:dyDescent="0.3">
      <c r="A52" s="25"/>
      <c r="B52" s="25"/>
      <c r="C52" s="25"/>
      <c r="D52" s="25"/>
      <c r="E52" s="25"/>
      <c r="F52" s="25"/>
      <c r="G52" s="25"/>
      <c r="H52" s="675" t="s">
        <v>67</v>
      </c>
      <c r="I52" s="676"/>
      <c r="J52" s="676"/>
      <c r="K52" s="676"/>
      <c r="L52" s="676"/>
      <c r="M52" s="676"/>
      <c r="N52" s="676"/>
      <c r="O52" s="676"/>
      <c r="P52" s="678">
        <f>COUNTA(P48:Q51)</f>
        <v>4</v>
      </c>
      <c r="Q52" s="678"/>
      <c r="R52" s="681">
        <f>SUM(R48:R51)</f>
        <v>1424329610</v>
      </c>
      <c r="S52" s="681"/>
      <c r="T52" s="681"/>
      <c r="U52" s="681">
        <f>SUM(U48:U51)</f>
        <v>1431369708</v>
      </c>
      <c r="V52" s="681"/>
      <c r="W52" s="681"/>
      <c r="X52" s="681">
        <f>SUM(X48:X51)</f>
        <v>1058529462</v>
      </c>
      <c r="Y52" s="681"/>
      <c r="Z52" s="681"/>
      <c r="AA52" s="681">
        <f>SUM(AA48:AA51)</f>
        <v>160844850</v>
      </c>
      <c r="AB52" s="681"/>
      <c r="AC52" s="681"/>
      <c r="AD52" s="681">
        <f>SUM(AD48:AD51)</f>
        <v>525498615</v>
      </c>
      <c r="AE52" s="681"/>
      <c r="AF52" s="682"/>
      <c r="AG52" s="29"/>
      <c r="AH52" s="24"/>
      <c r="AI52" s="24"/>
      <c r="AJ52" s="24"/>
      <c r="AK52" s="24"/>
      <c r="AL52" s="24"/>
      <c r="AM52" s="24"/>
    </row>
    <row r="53" spans="1:39" ht="30" customHeight="1" x14ac:dyDescent="0.3">
      <c r="A53" s="25"/>
      <c r="B53" s="25"/>
      <c r="C53" s="25"/>
      <c r="D53" s="25"/>
      <c r="E53" s="25"/>
      <c r="F53" s="25"/>
      <c r="G53" s="25"/>
      <c r="H53" s="32" t="s">
        <v>1028</v>
      </c>
      <c r="I53" s="687" t="s">
        <v>1115</v>
      </c>
      <c r="J53" s="687"/>
      <c r="K53" s="687"/>
      <c r="L53" s="687"/>
      <c r="M53" s="687"/>
      <c r="N53" s="687"/>
      <c r="O53" s="687"/>
      <c r="P53" s="687"/>
      <c r="Q53" s="687"/>
      <c r="R53" s="687"/>
      <c r="S53" s="687"/>
      <c r="T53" s="687"/>
      <c r="U53" s="687"/>
      <c r="V53" s="687"/>
      <c r="W53" s="687"/>
      <c r="X53" s="687"/>
      <c r="Y53" s="687"/>
      <c r="Z53" s="687"/>
      <c r="AA53" s="687"/>
      <c r="AB53" s="687"/>
      <c r="AC53" s="687"/>
      <c r="AD53" s="687"/>
      <c r="AE53" s="687"/>
      <c r="AF53" s="687"/>
      <c r="AG53" s="24"/>
      <c r="AH53" s="24"/>
      <c r="AI53" s="24"/>
      <c r="AJ53" s="24"/>
      <c r="AK53" s="24"/>
      <c r="AL53" s="24"/>
      <c r="AM53" s="24"/>
    </row>
    <row r="54" spans="1:39" ht="30" customHeight="1" x14ac:dyDescent="0.3">
      <c r="A54" s="25"/>
      <c r="B54" s="25"/>
      <c r="C54" s="25"/>
      <c r="D54" s="25"/>
      <c r="E54" s="25"/>
      <c r="F54" s="25"/>
      <c r="G54" s="25"/>
      <c r="H54" s="32" t="s">
        <v>1029</v>
      </c>
      <c r="I54" s="656" t="s">
        <v>1116</v>
      </c>
      <c r="J54" s="656"/>
      <c r="K54" s="656"/>
      <c r="L54" s="656"/>
      <c r="M54" s="656"/>
      <c r="N54" s="656"/>
      <c r="O54" s="656"/>
      <c r="P54" s="656"/>
      <c r="Q54" s="656"/>
      <c r="R54" s="656"/>
      <c r="S54" s="656"/>
      <c r="T54" s="656"/>
      <c r="U54" s="656"/>
      <c r="V54" s="656"/>
      <c r="W54" s="656"/>
      <c r="X54" s="656"/>
      <c r="Y54" s="656"/>
      <c r="Z54" s="656"/>
      <c r="AA54" s="656"/>
      <c r="AB54" s="656"/>
      <c r="AC54" s="656"/>
      <c r="AD54" s="656"/>
      <c r="AE54" s="656"/>
      <c r="AF54" s="656"/>
      <c r="AG54" s="24"/>
      <c r="AH54" s="24"/>
      <c r="AI54" s="24"/>
      <c r="AJ54" s="24"/>
      <c r="AK54" s="24"/>
      <c r="AL54" s="24"/>
      <c r="AM54" s="24"/>
    </row>
    <row r="55" spans="1:39" ht="30" customHeight="1" x14ac:dyDescent="0.3">
      <c r="A55" s="25"/>
      <c r="B55" s="25"/>
      <c r="C55" s="25"/>
      <c r="D55" s="25"/>
      <c r="E55" s="25"/>
      <c r="F55" s="25"/>
      <c r="G55" s="25"/>
      <c r="H55" s="32" t="s">
        <v>1031</v>
      </c>
      <c r="I55" s="656" t="s">
        <v>1124</v>
      </c>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6"/>
      <c r="AG55" s="24"/>
      <c r="AH55" s="24"/>
      <c r="AI55" s="24"/>
      <c r="AJ55" s="24"/>
      <c r="AK55" s="24"/>
      <c r="AL55" s="24"/>
      <c r="AM55" s="24"/>
    </row>
    <row r="56" spans="1:39" ht="30" customHeight="1" x14ac:dyDescent="0.3">
      <c r="A56" s="25"/>
      <c r="B56" s="25"/>
      <c r="C56" s="25"/>
      <c r="D56" s="25"/>
      <c r="E56" s="25"/>
      <c r="F56" s="25"/>
      <c r="G56" s="25"/>
      <c r="H56" s="32"/>
      <c r="I56" s="656" t="s">
        <v>1125</v>
      </c>
      <c r="J56" s="656"/>
      <c r="K56" s="656"/>
      <c r="L56" s="656"/>
      <c r="M56" s="656"/>
      <c r="N56" s="656"/>
      <c r="O56" s="656"/>
      <c r="P56" s="656"/>
      <c r="Q56" s="656"/>
      <c r="R56" s="656"/>
      <c r="S56" s="656"/>
      <c r="T56" s="656"/>
      <c r="U56" s="656"/>
      <c r="V56" s="656"/>
      <c r="W56" s="656"/>
      <c r="X56" s="656"/>
      <c r="Y56" s="656"/>
      <c r="Z56" s="656"/>
      <c r="AA56" s="656"/>
      <c r="AB56" s="656"/>
      <c r="AC56" s="656"/>
      <c r="AD56" s="656"/>
      <c r="AE56" s="656"/>
      <c r="AF56" s="656"/>
      <c r="AG56" s="24"/>
      <c r="AH56" s="24"/>
      <c r="AI56" s="24"/>
      <c r="AJ56" s="24"/>
      <c r="AK56" s="24"/>
      <c r="AL56" s="24"/>
      <c r="AM56" s="24"/>
    </row>
    <row r="57" spans="1:39" ht="30" customHeight="1" x14ac:dyDescent="0.3">
      <c r="A57" s="25"/>
      <c r="B57" s="25"/>
      <c r="C57" s="25"/>
      <c r="D57" s="25"/>
      <c r="E57" s="25"/>
      <c r="F57" s="25"/>
      <c r="G57" s="25"/>
      <c r="H57" s="32"/>
      <c r="I57" s="657" t="s">
        <v>1312</v>
      </c>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6"/>
      <c r="AG57" s="24"/>
      <c r="AH57" s="24"/>
      <c r="AI57" s="24"/>
      <c r="AJ57" s="24"/>
      <c r="AK57" s="24"/>
      <c r="AL57" s="24"/>
      <c r="AM57" s="24"/>
    </row>
    <row r="58" spans="1:39" ht="30" customHeight="1" x14ac:dyDescent="0.3">
      <c r="A58" s="25"/>
      <c r="B58" s="25"/>
      <c r="C58" s="25"/>
      <c r="D58" s="25"/>
      <c r="E58" s="25"/>
      <c r="F58" s="25"/>
      <c r="G58" s="25"/>
      <c r="H58" s="32" t="s">
        <v>1030</v>
      </c>
      <c r="I58" s="656" t="s">
        <v>1126</v>
      </c>
      <c r="J58" s="656"/>
      <c r="K58" s="656"/>
      <c r="L58" s="656"/>
      <c r="M58" s="656"/>
      <c r="N58" s="656"/>
      <c r="O58" s="656"/>
      <c r="P58" s="656"/>
      <c r="Q58" s="656"/>
      <c r="R58" s="656"/>
      <c r="S58" s="656"/>
      <c r="T58" s="656"/>
      <c r="U58" s="656"/>
      <c r="V58" s="656"/>
      <c r="W58" s="656"/>
      <c r="X58" s="656"/>
      <c r="Y58" s="656"/>
      <c r="Z58" s="656"/>
      <c r="AA58" s="656"/>
      <c r="AB58" s="656"/>
      <c r="AC58" s="656"/>
      <c r="AD58" s="656"/>
      <c r="AE58" s="656"/>
      <c r="AF58" s="656"/>
      <c r="AG58" s="24"/>
      <c r="AH58" s="24"/>
      <c r="AI58" s="24"/>
      <c r="AJ58" s="24"/>
      <c r="AK58" s="24"/>
      <c r="AL58" s="24"/>
      <c r="AM58" s="24"/>
    </row>
    <row r="59" spans="1:39" ht="30" customHeight="1" x14ac:dyDescent="0.3">
      <c r="A59" s="25"/>
      <c r="B59" s="25"/>
      <c r="C59" s="25"/>
      <c r="D59" s="25"/>
      <c r="E59" s="25"/>
      <c r="F59" s="25"/>
      <c r="G59" s="25"/>
      <c r="H59" s="32"/>
      <c r="I59" s="656" t="s">
        <v>1127</v>
      </c>
      <c r="J59" s="656"/>
      <c r="K59" s="656"/>
      <c r="L59" s="656"/>
      <c r="M59" s="656"/>
      <c r="N59" s="656"/>
      <c r="O59" s="656"/>
      <c r="P59" s="656"/>
      <c r="Q59" s="656"/>
      <c r="R59" s="656"/>
      <c r="S59" s="656"/>
      <c r="T59" s="656"/>
      <c r="U59" s="656"/>
      <c r="V59" s="656"/>
      <c r="W59" s="656"/>
      <c r="X59" s="656"/>
      <c r="Y59" s="656"/>
      <c r="Z59" s="656"/>
      <c r="AA59" s="656"/>
      <c r="AB59" s="656"/>
      <c r="AC59" s="656"/>
      <c r="AD59" s="656"/>
      <c r="AE59" s="656"/>
      <c r="AF59" s="656"/>
      <c r="AG59" s="24"/>
      <c r="AH59" s="24"/>
      <c r="AI59" s="24"/>
      <c r="AJ59" s="24"/>
      <c r="AK59" s="24"/>
      <c r="AL59" s="24"/>
      <c r="AM59" s="24"/>
    </row>
    <row r="60" spans="1:39" ht="30" customHeight="1" x14ac:dyDescent="0.3">
      <c r="A60" s="25"/>
      <c r="B60" s="25"/>
      <c r="C60" s="25"/>
      <c r="D60" s="25"/>
      <c r="E60" s="25"/>
      <c r="F60" s="25"/>
      <c r="G60" s="25"/>
      <c r="H60" s="32"/>
      <c r="I60" s="656" t="s">
        <v>1128</v>
      </c>
      <c r="J60" s="656"/>
      <c r="K60" s="656"/>
      <c r="L60" s="656"/>
      <c r="M60" s="656"/>
      <c r="N60" s="656"/>
      <c r="O60" s="656"/>
      <c r="P60" s="656"/>
      <c r="Q60" s="656"/>
      <c r="R60" s="656"/>
      <c r="S60" s="656"/>
      <c r="T60" s="656"/>
      <c r="U60" s="656"/>
      <c r="V60" s="656"/>
      <c r="W60" s="656"/>
      <c r="X60" s="656"/>
      <c r="Y60" s="656"/>
      <c r="Z60" s="656"/>
      <c r="AA60" s="656"/>
      <c r="AB60" s="656"/>
      <c r="AC60" s="656"/>
      <c r="AD60" s="656"/>
      <c r="AE60" s="656"/>
      <c r="AF60" s="656"/>
      <c r="AG60" s="33"/>
      <c r="AH60" s="33"/>
      <c r="AI60" s="33"/>
      <c r="AJ60" s="33"/>
      <c r="AK60" s="24"/>
      <c r="AL60" s="24"/>
      <c r="AM60" s="24"/>
    </row>
    <row r="61" spans="1:39" ht="30" customHeight="1" x14ac:dyDescent="0.3">
      <c r="A61" s="25"/>
      <c r="B61" s="25"/>
      <c r="C61" s="25"/>
      <c r="D61" s="25"/>
      <c r="E61" s="25"/>
      <c r="F61" s="25"/>
      <c r="G61" s="25"/>
      <c r="H61" s="24"/>
      <c r="I61" s="96"/>
      <c r="J61" s="96"/>
      <c r="K61" s="96"/>
      <c r="L61" s="96"/>
      <c r="M61" s="96"/>
      <c r="N61" s="96"/>
      <c r="O61" s="96"/>
      <c r="P61" s="96"/>
      <c r="Q61" s="96"/>
      <c r="R61" s="96"/>
      <c r="S61" s="96"/>
      <c r="T61" s="96"/>
      <c r="U61" s="96"/>
      <c r="V61" s="96"/>
      <c r="W61" s="96"/>
      <c r="X61" s="96"/>
      <c r="Y61" s="96"/>
      <c r="Z61" s="96"/>
      <c r="AA61" s="96"/>
      <c r="AB61" s="96"/>
      <c r="AC61" s="96"/>
      <c r="AD61" s="96"/>
      <c r="AE61" s="96"/>
      <c r="AF61" s="96"/>
      <c r="AG61" s="29"/>
      <c r="AH61" s="24"/>
      <c r="AI61" s="24"/>
      <c r="AJ61" s="24"/>
      <c r="AK61" s="24"/>
      <c r="AL61" s="24"/>
      <c r="AM61" s="24"/>
    </row>
  </sheetData>
  <sheetProtection algorithmName="SHA-512" hashValue="kHZzbrVgMYrLzzdBlDb0STr0ZI+xzyQL7DGgwPUCfzOgaAgMA5Um1Qe5vB3Lwbm8+Nqy9Ho4+70vwplmEfsqSA==" saltValue="H4HRLdyyy2B+YmPbEfXgMA==" spinCount="100000" sheet="1" objects="1" scenarios="1" formatCells="0" formatColumns="0" formatRows="0"/>
  <mergeCells count="323">
    <mergeCell ref="P26:Q26"/>
    <mergeCell ref="P17:Q17"/>
    <mergeCell ref="P18:Q18"/>
    <mergeCell ref="P19:Q19"/>
    <mergeCell ref="P20:Q20"/>
    <mergeCell ref="P21:Q21"/>
    <mergeCell ref="P22:Q22"/>
    <mergeCell ref="P23:Q23"/>
    <mergeCell ref="P24:Q24"/>
    <mergeCell ref="P25:Q25"/>
    <mergeCell ref="P8:Q8"/>
    <mergeCell ref="P9:Q9"/>
    <mergeCell ref="P10:Q10"/>
    <mergeCell ref="P11:Q11"/>
    <mergeCell ref="P12:Q12"/>
    <mergeCell ref="P13:Q13"/>
    <mergeCell ref="P14:Q14"/>
    <mergeCell ref="P15:Q15"/>
    <mergeCell ref="P16:Q16"/>
    <mergeCell ref="P27:Q27"/>
    <mergeCell ref="P28:Q28"/>
    <mergeCell ref="P29:Q29"/>
    <mergeCell ref="P43:Q43"/>
    <mergeCell ref="R8:T8"/>
    <mergeCell ref="R9:T9"/>
    <mergeCell ref="R10:T10"/>
    <mergeCell ref="R11:T11"/>
    <mergeCell ref="R12:T12"/>
    <mergeCell ref="R13:T13"/>
    <mergeCell ref="R14:T14"/>
    <mergeCell ref="R15:T15"/>
    <mergeCell ref="R16:T16"/>
    <mergeCell ref="R17:T17"/>
    <mergeCell ref="R18:T18"/>
    <mergeCell ref="R19:T19"/>
    <mergeCell ref="R20:T20"/>
    <mergeCell ref="R21:T21"/>
    <mergeCell ref="R22:T22"/>
    <mergeCell ref="P38:Q38"/>
    <mergeCell ref="P39:Q39"/>
    <mergeCell ref="P40:Q40"/>
    <mergeCell ref="P41:Q41"/>
    <mergeCell ref="P42:Q42"/>
    <mergeCell ref="P33:Q33"/>
    <mergeCell ref="P34:Q34"/>
    <mergeCell ref="P35:Q35"/>
    <mergeCell ref="R36:T36"/>
    <mergeCell ref="R37:T37"/>
    <mergeCell ref="R28:T28"/>
    <mergeCell ref="R29:T29"/>
    <mergeCell ref="R30:T30"/>
    <mergeCell ref="R31:T31"/>
    <mergeCell ref="R32:T32"/>
    <mergeCell ref="P30:Q30"/>
    <mergeCell ref="P31:Q31"/>
    <mergeCell ref="P32:Q32"/>
    <mergeCell ref="P36:Q36"/>
    <mergeCell ref="P37:Q37"/>
    <mergeCell ref="R23:T23"/>
    <mergeCell ref="R24:T24"/>
    <mergeCell ref="R25:T25"/>
    <mergeCell ref="R26:T26"/>
    <mergeCell ref="R27:T27"/>
    <mergeCell ref="R43:T43"/>
    <mergeCell ref="R44:T44"/>
    <mergeCell ref="U8:W8"/>
    <mergeCell ref="X8:Z8"/>
    <mergeCell ref="U16:W16"/>
    <mergeCell ref="X16:Z16"/>
    <mergeCell ref="R38:T38"/>
    <mergeCell ref="R39:T39"/>
    <mergeCell ref="R40:T40"/>
    <mergeCell ref="R41:T41"/>
    <mergeCell ref="R42:T42"/>
    <mergeCell ref="R33:T33"/>
    <mergeCell ref="R34:T34"/>
    <mergeCell ref="R35:T35"/>
    <mergeCell ref="U18:W18"/>
    <mergeCell ref="X18:Z18"/>
    <mergeCell ref="U22:W22"/>
    <mergeCell ref="X22:Z22"/>
    <mergeCell ref="U26:W26"/>
    <mergeCell ref="AD10:AF10"/>
    <mergeCell ref="U11:W11"/>
    <mergeCell ref="X11:Z11"/>
    <mergeCell ref="AA11:AC11"/>
    <mergeCell ref="AD11:AF11"/>
    <mergeCell ref="AD8:AF8"/>
    <mergeCell ref="U9:W9"/>
    <mergeCell ref="X9:Z9"/>
    <mergeCell ref="AA9:AC9"/>
    <mergeCell ref="AD9:AF9"/>
    <mergeCell ref="AA8:AC8"/>
    <mergeCell ref="U10:W10"/>
    <mergeCell ref="X10:Z10"/>
    <mergeCell ref="AA10:AC10"/>
    <mergeCell ref="AD14:AF14"/>
    <mergeCell ref="U15:W15"/>
    <mergeCell ref="X15:Z15"/>
    <mergeCell ref="AA15:AC15"/>
    <mergeCell ref="AD15:AF15"/>
    <mergeCell ref="AD12:AF12"/>
    <mergeCell ref="U13:W13"/>
    <mergeCell ref="X13:Z13"/>
    <mergeCell ref="AA13:AC13"/>
    <mergeCell ref="AD13:AF13"/>
    <mergeCell ref="U12:W12"/>
    <mergeCell ref="X12:Z12"/>
    <mergeCell ref="AA12:AC12"/>
    <mergeCell ref="U14:W14"/>
    <mergeCell ref="X14:Z14"/>
    <mergeCell ref="AA14:AC14"/>
    <mergeCell ref="AA18:AC18"/>
    <mergeCell ref="AD18:AF18"/>
    <mergeCell ref="U19:W19"/>
    <mergeCell ref="X19:Z19"/>
    <mergeCell ref="AA19:AC19"/>
    <mergeCell ref="AD19:AF19"/>
    <mergeCell ref="AA16:AC16"/>
    <mergeCell ref="AD16:AF16"/>
    <mergeCell ref="U17:W17"/>
    <mergeCell ref="X17:Z17"/>
    <mergeCell ref="AA17:AC17"/>
    <mergeCell ref="AD17:AF17"/>
    <mergeCell ref="AA22:AC22"/>
    <mergeCell ref="AD22:AF22"/>
    <mergeCell ref="U23:W23"/>
    <mergeCell ref="X23:Z23"/>
    <mergeCell ref="AA23:AC23"/>
    <mergeCell ref="AD23:AF23"/>
    <mergeCell ref="U20:W20"/>
    <mergeCell ref="X20:Z20"/>
    <mergeCell ref="AA20:AC20"/>
    <mergeCell ref="AD20:AF20"/>
    <mergeCell ref="U21:W21"/>
    <mergeCell ref="X21:Z21"/>
    <mergeCell ref="AA21:AC21"/>
    <mergeCell ref="AD21:AF21"/>
    <mergeCell ref="X26:Z26"/>
    <mergeCell ref="AA26:AC26"/>
    <mergeCell ref="AD26:AF26"/>
    <mergeCell ref="U27:W27"/>
    <mergeCell ref="X27:Z27"/>
    <mergeCell ref="AA27:AC27"/>
    <mergeCell ref="AD27:AF27"/>
    <mergeCell ref="U24:W24"/>
    <mergeCell ref="X24:Z24"/>
    <mergeCell ref="AA24:AC24"/>
    <mergeCell ref="AD24:AF24"/>
    <mergeCell ref="U25:W25"/>
    <mergeCell ref="X25:Z25"/>
    <mergeCell ref="AA25:AC25"/>
    <mergeCell ref="AD25:AF25"/>
    <mergeCell ref="U30:W30"/>
    <mergeCell ref="X30:Z30"/>
    <mergeCell ref="AA30:AC30"/>
    <mergeCell ref="AD30:AF30"/>
    <mergeCell ref="U31:W31"/>
    <mergeCell ref="X31:Z31"/>
    <mergeCell ref="AA31:AC31"/>
    <mergeCell ref="AD31:AF31"/>
    <mergeCell ref="U28:W28"/>
    <mergeCell ref="X28:Z28"/>
    <mergeCell ref="AA28:AC28"/>
    <mergeCell ref="AD28:AF28"/>
    <mergeCell ref="U29:W29"/>
    <mergeCell ref="X29:Z29"/>
    <mergeCell ref="AA29:AC29"/>
    <mergeCell ref="AD29:AF29"/>
    <mergeCell ref="U38:W38"/>
    <mergeCell ref="X38:Z38"/>
    <mergeCell ref="AA38:AC38"/>
    <mergeCell ref="AD38:AF38"/>
    <mergeCell ref="U39:W39"/>
    <mergeCell ref="U35:W35"/>
    <mergeCell ref="X35:Z35"/>
    <mergeCell ref="AA35:AC35"/>
    <mergeCell ref="AD35:AF35"/>
    <mergeCell ref="AD37:AF37"/>
    <mergeCell ref="X42:Z42"/>
    <mergeCell ref="AA42:AC42"/>
    <mergeCell ref="AD42:AF42"/>
    <mergeCell ref="U43:W43"/>
    <mergeCell ref="X43:Z43"/>
    <mergeCell ref="AA43:AC43"/>
    <mergeCell ref="AD43:AF43"/>
    <mergeCell ref="U40:W40"/>
    <mergeCell ref="X40:Z40"/>
    <mergeCell ref="AA40:AC40"/>
    <mergeCell ref="AD40:AF40"/>
    <mergeCell ref="U41:W41"/>
    <mergeCell ref="X41:Z41"/>
    <mergeCell ref="AA41:AC41"/>
    <mergeCell ref="AD41:AF41"/>
    <mergeCell ref="U34:W34"/>
    <mergeCell ref="X34:Z34"/>
    <mergeCell ref="AA34:AC34"/>
    <mergeCell ref="AD34:AF34"/>
    <mergeCell ref="H8:O8"/>
    <mergeCell ref="H9:O9"/>
    <mergeCell ref="H10:O10"/>
    <mergeCell ref="H11:O11"/>
    <mergeCell ref="H12:O12"/>
    <mergeCell ref="H13:O13"/>
    <mergeCell ref="H14:O14"/>
    <mergeCell ref="H15:O15"/>
    <mergeCell ref="H16:O16"/>
    <mergeCell ref="H17:O17"/>
    <mergeCell ref="H18:O18"/>
    <mergeCell ref="H19:O19"/>
    <mergeCell ref="U32:W32"/>
    <mergeCell ref="X32:Z32"/>
    <mergeCell ref="AA32:AC32"/>
    <mergeCell ref="AD32:AF32"/>
    <mergeCell ref="U33:W33"/>
    <mergeCell ref="X33:Z33"/>
    <mergeCell ref="AA33:AC33"/>
    <mergeCell ref="AD33:AF33"/>
    <mergeCell ref="U49:W49"/>
    <mergeCell ref="X49:Z49"/>
    <mergeCell ref="AA49:AC49"/>
    <mergeCell ref="H49:O49"/>
    <mergeCell ref="H37:O37"/>
    <mergeCell ref="H38:O38"/>
    <mergeCell ref="H39:O39"/>
    <mergeCell ref="H30:O30"/>
    <mergeCell ref="H31:O31"/>
    <mergeCell ref="H32:O32"/>
    <mergeCell ref="H33:O33"/>
    <mergeCell ref="H34:O34"/>
    <mergeCell ref="U44:W44"/>
    <mergeCell ref="X44:Z44"/>
    <mergeCell ref="AA44:AC44"/>
    <mergeCell ref="X39:Z39"/>
    <mergeCell ref="AA39:AC39"/>
    <mergeCell ref="U36:W36"/>
    <mergeCell ref="X36:Z36"/>
    <mergeCell ref="AA36:AC36"/>
    <mergeCell ref="U37:W37"/>
    <mergeCell ref="X37:Z37"/>
    <mergeCell ref="AA37:AC37"/>
    <mergeCell ref="U42:W42"/>
    <mergeCell ref="AA51:AC51"/>
    <mergeCell ref="AD51:AF51"/>
    <mergeCell ref="H48:O48"/>
    <mergeCell ref="P48:Q48"/>
    <mergeCell ref="R48:T48"/>
    <mergeCell ref="U48:W48"/>
    <mergeCell ref="X48:Z48"/>
    <mergeCell ref="AA48:AC48"/>
    <mergeCell ref="AD48:AF48"/>
    <mergeCell ref="H51:O51"/>
    <mergeCell ref="P51:Q51"/>
    <mergeCell ref="R51:T51"/>
    <mergeCell ref="U51:W51"/>
    <mergeCell ref="X51:Z51"/>
    <mergeCell ref="AD49:AF49"/>
    <mergeCell ref="H50:O50"/>
    <mergeCell ref="P50:Q50"/>
    <mergeCell ref="R50:T50"/>
    <mergeCell ref="U50:W50"/>
    <mergeCell ref="X50:Z50"/>
    <mergeCell ref="AA50:AC50"/>
    <mergeCell ref="AD50:AF50"/>
    <mergeCell ref="P49:Q49"/>
    <mergeCell ref="R49:T49"/>
    <mergeCell ref="AA52:AC52"/>
    <mergeCell ref="AD52:AF52"/>
    <mergeCell ref="I53:AF53"/>
    <mergeCell ref="I54:AF54"/>
    <mergeCell ref="H52:O52"/>
    <mergeCell ref="P52:Q52"/>
    <mergeCell ref="R52:T52"/>
    <mergeCell ref="U52:W52"/>
    <mergeCell ref="X52:Z52"/>
    <mergeCell ref="H41:O41"/>
    <mergeCell ref="H42:O42"/>
    <mergeCell ref="H43:O43"/>
    <mergeCell ref="H44:O44"/>
    <mergeCell ref="H35:O35"/>
    <mergeCell ref="H36:O36"/>
    <mergeCell ref="AG9:AJ9"/>
    <mergeCell ref="AG12:AJ12"/>
    <mergeCell ref="AG28:AJ28"/>
    <mergeCell ref="AG33:AJ33"/>
    <mergeCell ref="P44:Q44"/>
    <mergeCell ref="H25:O25"/>
    <mergeCell ref="H26:O26"/>
    <mergeCell ref="H27:O27"/>
    <mergeCell ref="H28:O28"/>
    <mergeCell ref="H29:O29"/>
    <mergeCell ref="H20:O20"/>
    <mergeCell ref="H21:O21"/>
    <mergeCell ref="H22:O22"/>
    <mergeCell ref="H23:O23"/>
    <mergeCell ref="H24:O24"/>
    <mergeCell ref="AD44:AF44"/>
    <mergeCell ref="AD39:AF39"/>
    <mergeCell ref="AD36:AF36"/>
    <mergeCell ref="I55:AF55"/>
    <mergeCell ref="I56:AF56"/>
    <mergeCell ref="I57:AF57"/>
    <mergeCell ref="I58:AF58"/>
    <mergeCell ref="I59:AF59"/>
    <mergeCell ref="I60:AF60"/>
    <mergeCell ref="H1:AF2"/>
    <mergeCell ref="H3:AF3"/>
    <mergeCell ref="H4:AF4"/>
    <mergeCell ref="H46:O47"/>
    <mergeCell ref="P46:Q47"/>
    <mergeCell ref="R46:T47"/>
    <mergeCell ref="U46:W47"/>
    <mergeCell ref="X46:Z47"/>
    <mergeCell ref="AA46:AC47"/>
    <mergeCell ref="AD46:AF47"/>
    <mergeCell ref="H6:O7"/>
    <mergeCell ref="P6:Q7"/>
    <mergeCell ref="R6:T7"/>
    <mergeCell ref="U6:W7"/>
    <mergeCell ref="X6:Z7"/>
    <mergeCell ref="AA6:AC7"/>
    <mergeCell ref="AD6:AF7"/>
    <mergeCell ref="H40:O40"/>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57297-2CE3-4236-9D23-357AE9F84B63}">
  <sheetPr codeName="Sheet12">
    <tabColor theme="6"/>
  </sheetPr>
  <dimension ref="A1:BN88"/>
  <sheetViews>
    <sheetView zoomScale="80" zoomScaleNormal="80" workbookViewId="0"/>
  </sheetViews>
  <sheetFormatPr defaultColWidth="8.6640625" defaultRowHeight="15.6" x14ac:dyDescent="0.3"/>
  <cols>
    <col min="1" max="66" width="6.6640625" style="36" customWidth="1"/>
    <col min="67" max="16384" width="8.6640625" style="36"/>
  </cols>
  <sheetData>
    <row r="1" spans="1:66" ht="30" customHeight="1" x14ac:dyDescent="0.3">
      <c r="A1" s="24"/>
      <c r="B1" s="24"/>
      <c r="C1" s="24"/>
      <c r="D1" s="24"/>
      <c r="E1" s="24"/>
      <c r="F1" s="24"/>
      <c r="G1" s="24"/>
      <c r="H1" s="706" t="s">
        <v>1036</v>
      </c>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7"/>
      <c r="AY1" s="707"/>
      <c r="AZ1" s="707"/>
      <c r="BA1" s="707"/>
      <c r="BB1" s="707"/>
      <c r="BC1" s="707"/>
      <c r="BD1" s="707"/>
      <c r="BE1" s="707"/>
      <c r="BF1" s="707"/>
      <c r="BG1" s="707"/>
      <c r="BH1" s="707"/>
      <c r="BI1" s="707"/>
      <c r="BJ1" s="707"/>
      <c r="BK1" s="707"/>
      <c r="BL1" s="24"/>
      <c r="BM1" s="24"/>
      <c r="BN1" s="24"/>
    </row>
    <row r="2" spans="1:66" ht="30" customHeight="1" x14ac:dyDescent="0.3">
      <c r="A2" s="24"/>
      <c r="B2" s="24"/>
      <c r="C2" s="24"/>
      <c r="D2" s="24"/>
      <c r="E2" s="24"/>
      <c r="F2" s="24"/>
      <c r="G2" s="24"/>
      <c r="H2" s="707"/>
      <c r="I2" s="707"/>
      <c r="J2" s="707"/>
      <c r="K2" s="707"/>
      <c r="L2" s="707"/>
      <c r="M2" s="707"/>
      <c r="N2" s="707"/>
      <c r="O2" s="707"/>
      <c r="P2" s="707"/>
      <c r="Q2" s="707"/>
      <c r="R2" s="707"/>
      <c r="S2" s="707"/>
      <c r="T2" s="707"/>
      <c r="U2" s="707"/>
      <c r="V2" s="707"/>
      <c r="W2" s="707"/>
      <c r="X2" s="707"/>
      <c r="Y2" s="707"/>
      <c r="Z2" s="707"/>
      <c r="AA2" s="707"/>
      <c r="AB2" s="707"/>
      <c r="AC2" s="707"/>
      <c r="AD2" s="707"/>
      <c r="AE2" s="707"/>
      <c r="AF2" s="707"/>
      <c r="AG2" s="707"/>
      <c r="AH2" s="707"/>
      <c r="AI2" s="707"/>
      <c r="AJ2" s="707"/>
      <c r="AK2" s="707"/>
      <c r="AL2" s="707"/>
      <c r="AM2" s="707"/>
      <c r="AN2" s="707"/>
      <c r="AO2" s="707"/>
      <c r="AP2" s="707"/>
      <c r="AQ2" s="707"/>
      <c r="AR2" s="707"/>
      <c r="AS2" s="707"/>
      <c r="AT2" s="707"/>
      <c r="AU2" s="707"/>
      <c r="AV2" s="707"/>
      <c r="AW2" s="707"/>
      <c r="AX2" s="707"/>
      <c r="AY2" s="707"/>
      <c r="AZ2" s="707"/>
      <c r="BA2" s="707"/>
      <c r="BB2" s="707"/>
      <c r="BC2" s="707"/>
      <c r="BD2" s="707"/>
      <c r="BE2" s="707"/>
      <c r="BF2" s="707"/>
      <c r="BG2" s="707"/>
      <c r="BH2" s="707"/>
      <c r="BI2" s="707"/>
      <c r="BJ2" s="707"/>
      <c r="BK2" s="707"/>
      <c r="BL2" s="24"/>
      <c r="BM2" s="24"/>
      <c r="BN2" s="24"/>
    </row>
    <row r="3" spans="1:66" ht="30" customHeight="1" x14ac:dyDescent="0.3">
      <c r="A3" s="24"/>
      <c r="B3" s="24"/>
      <c r="C3" s="24"/>
      <c r="D3" s="24"/>
      <c r="E3" s="24"/>
      <c r="F3" s="24"/>
      <c r="G3" s="24"/>
      <c r="H3" s="708" t="s">
        <v>1019</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10"/>
      <c r="BL3" s="24"/>
      <c r="BM3" s="24"/>
      <c r="BN3" s="24"/>
    </row>
    <row r="4" spans="1:66" ht="30" customHeight="1" x14ac:dyDescent="0.3">
      <c r="A4" s="24"/>
      <c r="B4" s="24"/>
      <c r="C4" s="24"/>
      <c r="D4" s="24"/>
      <c r="E4" s="24"/>
      <c r="F4" s="24"/>
      <c r="G4" s="24"/>
      <c r="H4" s="711" t="s">
        <v>1209</v>
      </c>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711"/>
      <c r="BA4" s="711"/>
      <c r="BB4" s="711"/>
      <c r="BC4" s="711"/>
      <c r="BD4" s="711"/>
      <c r="BE4" s="711"/>
      <c r="BF4" s="711"/>
      <c r="BG4" s="711"/>
      <c r="BH4" s="711"/>
      <c r="BI4" s="711"/>
      <c r="BJ4" s="711"/>
      <c r="BK4" s="711"/>
      <c r="BL4" s="24"/>
      <c r="BM4" s="24"/>
      <c r="BN4" s="24"/>
    </row>
    <row r="5" spans="1:66" ht="30" customHeight="1" x14ac:dyDescent="0.3">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row>
    <row r="6" spans="1:66" ht="30" customHeight="1" x14ac:dyDescent="0.3">
      <c r="A6" s="24"/>
      <c r="B6" s="24"/>
      <c r="C6" s="24"/>
      <c r="D6" s="24"/>
      <c r="E6" s="24"/>
      <c r="F6" s="24"/>
      <c r="G6" s="24"/>
      <c r="H6" s="718" t="s">
        <v>116</v>
      </c>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8"/>
      <c r="AY6" s="718"/>
      <c r="AZ6" s="718"/>
      <c r="BA6" s="718"/>
      <c r="BB6" s="718"/>
      <c r="BC6" s="718"/>
      <c r="BD6" s="718"/>
      <c r="BE6" s="718"/>
      <c r="BF6" s="718"/>
      <c r="BG6" s="718"/>
      <c r="BH6" s="718"/>
      <c r="BI6" s="718"/>
      <c r="BJ6" s="718"/>
      <c r="BK6" s="718"/>
      <c r="BL6" s="24"/>
      <c r="BM6" s="24"/>
      <c r="BN6" s="24"/>
    </row>
    <row r="7" spans="1:66" ht="30" customHeight="1" x14ac:dyDescent="0.3">
      <c r="A7" s="24"/>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row>
    <row r="8" spans="1:66" s="38" customFormat="1" ht="30" customHeight="1" x14ac:dyDescent="0.3">
      <c r="A8" s="24"/>
      <c r="B8" s="24"/>
      <c r="C8" s="24"/>
      <c r="D8" s="24"/>
      <c r="E8" s="24"/>
      <c r="F8" s="24"/>
      <c r="G8" s="24"/>
      <c r="H8" s="50"/>
      <c r="I8" s="50"/>
      <c r="J8" s="50"/>
      <c r="K8" s="50"/>
      <c r="L8" s="50"/>
      <c r="M8" s="50"/>
      <c r="N8" s="50"/>
      <c r="O8" s="50"/>
      <c r="P8" s="50"/>
      <c r="Q8" s="736" t="s">
        <v>1014</v>
      </c>
      <c r="R8" s="736"/>
      <c r="S8" s="736"/>
      <c r="T8" s="736"/>
      <c r="U8" s="736"/>
      <c r="V8" s="736"/>
      <c r="W8" s="736"/>
      <c r="X8" s="736"/>
      <c r="Y8" s="736"/>
      <c r="Z8" s="736"/>
      <c r="AA8" s="736"/>
      <c r="AB8" s="736"/>
      <c r="AC8" s="736"/>
      <c r="AD8" s="736"/>
      <c r="AE8" s="736"/>
      <c r="AF8" s="736"/>
      <c r="AG8" s="736"/>
      <c r="AH8" s="736"/>
      <c r="AI8" s="736"/>
      <c r="AJ8" s="736"/>
      <c r="AK8" s="736"/>
      <c r="AL8" s="50"/>
      <c r="AM8" s="736" t="s">
        <v>1017</v>
      </c>
      <c r="AN8" s="736"/>
      <c r="AO8" s="736"/>
      <c r="AP8" s="736"/>
      <c r="AQ8" s="736"/>
      <c r="AR8" s="736"/>
      <c r="AS8" s="736"/>
      <c r="AT8" s="736"/>
      <c r="AU8" s="736"/>
      <c r="AV8" s="736"/>
      <c r="AW8" s="736"/>
      <c r="AX8" s="736"/>
      <c r="AY8" s="736"/>
      <c r="AZ8" s="736"/>
      <c r="BA8" s="736"/>
      <c r="BB8" s="736"/>
      <c r="BC8" s="736"/>
      <c r="BD8" s="736"/>
      <c r="BE8" s="736"/>
      <c r="BF8" s="736"/>
      <c r="BG8" s="736"/>
      <c r="BH8" s="50"/>
      <c r="BI8" s="50"/>
      <c r="BJ8" s="50"/>
      <c r="BK8" s="50"/>
      <c r="BL8" s="37"/>
      <c r="BM8" s="37"/>
      <c r="BN8" s="37"/>
    </row>
    <row r="9" spans="1:66" s="38" customFormat="1" ht="30" customHeight="1" x14ac:dyDescent="0.3">
      <c r="A9" s="24"/>
      <c r="B9" s="24"/>
      <c r="C9" s="24"/>
      <c r="D9" s="24"/>
      <c r="E9" s="24"/>
      <c r="F9" s="24"/>
      <c r="G9" s="24"/>
      <c r="H9" s="50"/>
      <c r="I9" s="50"/>
      <c r="J9" s="50"/>
      <c r="K9" s="50"/>
      <c r="L9" s="50"/>
      <c r="M9" s="50"/>
      <c r="N9" s="50"/>
      <c r="O9" s="50"/>
      <c r="P9" s="50"/>
      <c r="Q9" s="734"/>
      <c r="R9" s="734"/>
      <c r="S9" s="734"/>
      <c r="T9" s="735" t="s">
        <v>1015</v>
      </c>
      <c r="U9" s="735"/>
      <c r="V9" s="735"/>
      <c r="W9" s="735"/>
      <c r="X9" s="735"/>
      <c r="Y9" s="735"/>
      <c r="Z9" s="735" t="s">
        <v>1016</v>
      </c>
      <c r="AA9" s="735"/>
      <c r="AB9" s="735"/>
      <c r="AC9" s="735"/>
      <c r="AD9" s="735"/>
      <c r="AE9" s="735"/>
      <c r="AF9" s="734"/>
      <c r="AG9" s="734"/>
      <c r="AH9" s="734"/>
      <c r="AI9" s="734"/>
      <c r="AJ9" s="734"/>
      <c r="AK9" s="734"/>
      <c r="AL9" s="50"/>
      <c r="AM9" s="734"/>
      <c r="AN9" s="734"/>
      <c r="AO9" s="734"/>
      <c r="AP9" s="735" t="s">
        <v>1015</v>
      </c>
      <c r="AQ9" s="735"/>
      <c r="AR9" s="735"/>
      <c r="AS9" s="735"/>
      <c r="AT9" s="735"/>
      <c r="AU9" s="735"/>
      <c r="AV9" s="735" t="s">
        <v>1016</v>
      </c>
      <c r="AW9" s="735"/>
      <c r="AX9" s="735"/>
      <c r="AY9" s="735"/>
      <c r="AZ9" s="735"/>
      <c r="BA9" s="735"/>
      <c r="BB9" s="734"/>
      <c r="BC9" s="734"/>
      <c r="BD9" s="734"/>
      <c r="BE9" s="734"/>
      <c r="BF9" s="734"/>
      <c r="BG9" s="734"/>
      <c r="BH9" s="50"/>
      <c r="BI9" s="50"/>
      <c r="BJ9" s="50"/>
      <c r="BK9" s="50"/>
      <c r="BL9" s="37"/>
      <c r="BM9" s="37"/>
      <c r="BN9" s="37"/>
    </row>
    <row r="10" spans="1:66" ht="30" customHeight="1" x14ac:dyDescent="0.3">
      <c r="A10" s="24"/>
      <c r="B10" s="24"/>
      <c r="C10" s="24"/>
      <c r="D10" s="24"/>
      <c r="E10" s="24"/>
      <c r="F10" s="24"/>
      <c r="G10" s="24"/>
      <c r="H10" s="768" t="s">
        <v>0</v>
      </c>
      <c r="I10" s="769"/>
      <c r="J10" s="769"/>
      <c r="K10" s="769"/>
      <c r="L10" s="769"/>
      <c r="M10" s="769"/>
      <c r="N10" s="769"/>
      <c r="O10" s="769"/>
      <c r="P10" s="769"/>
      <c r="Q10" s="748" t="s">
        <v>1010</v>
      </c>
      <c r="R10" s="746"/>
      <c r="S10" s="747"/>
      <c r="T10" s="745" t="s">
        <v>1011</v>
      </c>
      <c r="U10" s="737"/>
      <c r="V10" s="737"/>
      <c r="W10" s="737" t="s">
        <v>66</v>
      </c>
      <c r="X10" s="737"/>
      <c r="Y10" s="738"/>
      <c r="Z10" s="745" t="s">
        <v>1011</v>
      </c>
      <c r="AA10" s="737"/>
      <c r="AB10" s="737"/>
      <c r="AC10" s="737" t="s">
        <v>66</v>
      </c>
      <c r="AD10" s="737"/>
      <c r="AE10" s="738"/>
      <c r="AF10" s="748" t="s">
        <v>1012</v>
      </c>
      <c r="AG10" s="746"/>
      <c r="AH10" s="747"/>
      <c r="AI10" s="748" t="s">
        <v>1013</v>
      </c>
      <c r="AJ10" s="746"/>
      <c r="AK10" s="747"/>
      <c r="AL10" s="41"/>
      <c r="AM10" s="748" t="s">
        <v>1010</v>
      </c>
      <c r="AN10" s="746"/>
      <c r="AO10" s="746"/>
      <c r="AP10" s="745" t="s">
        <v>1011</v>
      </c>
      <c r="AQ10" s="737"/>
      <c r="AR10" s="737"/>
      <c r="AS10" s="737" t="s">
        <v>66</v>
      </c>
      <c r="AT10" s="737"/>
      <c r="AU10" s="738"/>
      <c r="AV10" s="745" t="s">
        <v>1011</v>
      </c>
      <c r="AW10" s="737"/>
      <c r="AX10" s="737"/>
      <c r="AY10" s="737" t="s">
        <v>66</v>
      </c>
      <c r="AZ10" s="737"/>
      <c r="BA10" s="738"/>
      <c r="BB10" s="746" t="s">
        <v>1012</v>
      </c>
      <c r="BC10" s="746"/>
      <c r="BD10" s="747"/>
      <c r="BE10" s="748" t="s">
        <v>1013</v>
      </c>
      <c r="BF10" s="746"/>
      <c r="BG10" s="747"/>
      <c r="BH10" s="41"/>
      <c r="BI10" s="748" t="s">
        <v>1018</v>
      </c>
      <c r="BJ10" s="746"/>
      <c r="BK10" s="747"/>
      <c r="BL10" s="24"/>
      <c r="BM10" s="24"/>
      <c r="BN10" s="24"/>
    </row>
    <row r="11" spans="1:66" ht="30" customHeight="1" x14ac:dyDescent="0.3">
      <c r="A11" s="24"/>
      <c r="B11" s="24"/>
      <c r="C11" s="24"/>
      <c r="D11" s="24"/>
      <c r="E11" s="24"/>
      <c r="F11" s="24"/>
      <c r="G11" s="24"/>
      <c r="H11" s="620" t="s">
        <v>28</v>
      </c>
      <c r="I11" s="621"/>
      <c r="J11" s="621"/>
      <c r="K11" s="621"/>
      <c r="L11" s="621"/>
      <c r="M11" s="621"/>
      <c r="N11" s="621"/>
      <c r="O11" s="621"/>
      <c r="P11" s="622"/>
      <c r="Q11" s="761">
        <f>SUMIFS(Input[T. - Gross E&amp;G],Input[Institution Name],H11)
+SUMIFS(Input[T. - Gross Desg],Input[Institution Name],H11)</f>
        <v>29396534</v>
      </c>
      <c r="R11" s="762"/>
      <c r="S11" s="763"/>
      <c r="T11" s="761">
        <f>SUMIFS(Input[T. W. - Stat (R AFR) E&amp;G],Input[Institution Name],H11)
+SUMIFS(Input[T. W. - Stat (R AFR) Desg],Input[Institution Name],H11)</f>
        <v>0</v>
      </c>
      <c r="U11" s="762"/>
      <c r="V11" s="762"/>
      <c r="W11" s="762">
        <f>SUMIFS(Input[T. W. - Inst. (R AFR) E&amp;G],Input[Institution Name],H11)
+SUMIFS(Input[T. W. - Inst. (R AFR) Desg],Input[Institution Name],H11)</f>
        <v>0</v>
      </c>
      <c r="X11" s="762"/>
      <c r="Y11" s="763"/>
      <c r="Z11" s="761">
        <f>SUMIFS(Input[T. Exp. - Stat (R AFR) E&amp;G],Input[Institution Name],H11)
+SUMIFS(Input[T. Exp. - Stat (R AFR) Desg],Input[Institution Name],H11)</f>
        <v>-201110</v>
      </c>
      <c r="AA11" s="762"/>
      <c r="AB11" s="762"/>
      <c r="AC11" s="762">
        <f>SUMIFS(Input[T. Exp. - Inst. (R AFR) E&amp;G],Input[Institution Name],H11)
+SUMIFS(Input[T. Exp. - Inst. (R AFR) Desg],Input[Institution Name],H11)</f>
        <v>0</v>
      </c>
      <c r="AD11" s="762"/>
      <c r="AE11" s="763"/>
      <c r="AF11" s="761">
        <f>SUMIFS(Input[T. Schlr E&amp;G],Input[Institution Name],H11)
+SUMIFS(Input[T. Schlr Desg],Input[Institution Name],H11)
+SUMIFS(Input[T. Schlr Aux],Input[Institution Name],H11)</f>
        <v>-1726954</v>
      </c>
      <c r="AG11" s="762"/>
      <c r="AH11" s="763"/>
      <c r="AI11" s="761">
        <f>SUM(Q11:AH11)</f>
        <v>27468470</v>
      </c>
      <c r="AJ11" s="762"/>
      <c r="AK11" s="763"/>
      <c r="AL11" s="144"/>
      <c r="AM11" s="761">
        <f>SUMIFS(Input[Fees - Gross E&amp;G],Input[Institution Name],H11)
+SUMIFS(Input[Fees - Gross Desg],Input[Institution Name],H11)
+SUMIFS(Input[Fees - Gross Aux],Input[Institution Name],H11)
+SUMIFS(Input[Fees - Gross R Exp],Input[Institution Name],H11)
+SUMIFS(Input[Fees - Gross Loan],Input[Institution Name],H11)</f>
        <v>4923728</v>
      </c>
      <c r="AN11" s="762"/>
      <c r="AO11" s="763"/>
      <c r="AP11" s="761">
        <f>SUMIFS(Input[F. W. - Stat (R AFR) E&amp;G],Input[Institution Name],H11)
+SUMIFS(Input[F. W. - Stat (R AFR) Desg],Input[Institution Name],H11)
+SUMIFS(Input[F. W. - Stat (R AFR) Aux],Input[Institution Name],H11)</f>
        <v>0</v>
      </c>
      <c r="AQ11" s="762"/>
      <c r="AR11" s="762"/>
      <c r="AS11" s="762">
        <f>SUMIFS(Input[F. W. - Inst. (R AFR) E&amp;G],Input[Institution Name],H10)
+SUMIFS(Input[F. W. - Inst. (R AFR) Desg],Input[Institution Name],H10)
+SUMIFS(Input[F. W. - Inst. (R AFR) Aux],Input[Institution Name],H10)</f>
        <v>0</v>
      </c>
      <c r="AT11" s="762"/>
      <c r="AU11" s="763"/>
      <c r="AV11" s="761">
        <f>SUMIFS(Input[F. Exp. - Stat (R AFR) E&amp;G],Input[Institution Name],H11)
+SUMIFS(Input[F. Exp. - Stat (R AFR) Desg],Input[Institution Name],H11)
+SUMIFS(Input[F. Exp. - Stat (R AFR) Aux],Input[Institution Name],H11)</f>
        <v>0</v>
      </c>
      <c r="AW11" s="762"/>
      <c r="AX11" s="762"/>
      <c r="AY11" s="762">
        <f>SUMIFS(Input[F. Exp. - Inst. (R AFR) E&amp;G],Input[Institution Name],H11)
+SUMIFS(Input[F. Exp. - Inst. (R AFR) Desg],Input[Institution Name],H11)
+SUMIFS(Input[F. Exp. - Inst. (R AFR) Aux],Input[Institution Name],H11)</f>
        <v>0</v>
      </c>
      <c r="AZ11" s="762"/>
      <c r="BA11" s="763"/>
      <c r="BB11" s="761">
        <f>SUMIFS(Input[Fee Schlr E&amp;G],Input[Institution Name],H11)
+SUMIFS(Input[Fee Schlr Desg],Input[Institution Name],H11)
+SUMIFS(Input[Fee Schlr Aux],Input[Institution Name],H11)</f>
        <v>-1185908</v>
      </c>
      <c r="BC11" s="762"/>
      <c r="BD11" s="763"/>
      <c r="BE11" s="761">
        <f>SUM(AM11:BD11)</f>
        <v>3737820</v>
      </c>
      <c r="BF11" s="762"/>
      <c r="BG11" s="763"/>
      <c r="BH11" s="144"/>
      <c r="BI11" s="761">
        <f>AI11+BE11</f>
        <v>31206290</v>
      </c>
      <c r="BJ11" s="762"/>
      <c r="BK11" s="763"/>
      <c r="BL11" s="24"/>
      <c r="BM11" s="24"/>
      <c r="BN11" s="24"/>
    </row>
    <row r="12" spans="1:66" ht="30" customHeight="1" x14ac:dyDescent="0.3">
      <c r="A12" s="24"/>
      <c r="B12" s="24"/>
      <c r="C12" s="24"/>
      <c r="D12" s="24"/>
      <c r="E12" s="24"/>
      <c r="F12" s="24"/>
      <c r="G12" s="24"/>
      <c r="H12" s="579" t="s">
        <v>30</v>
      </c>
      <c r="I12" s="580"/>
      <c r="J12" s="580"/>
      <c r="K12" s="580"/>
      <c r="L12" s="580"/>
      <c r="M12" s="580"/>
      <c r="N12" s="580"/>
      <c r="O12" s="580"/>
      <c r="P12" s="619"/>
      <c r="Q12" s="719">
        <f>SUMIFS(Input[T. - Gross E&amp;G],Input[Institution Name],H12)
+SUMIFS(Input[T. - Gross Desg],Input[Institution Name],H12)</f>
        <v>45217507</v>
      </c>
      <c r="R12" s="720"/>
      <c r="S12" s="721"/>
      <c r="T12" s="719">
        <f>SUMIFS(Input[T. W. - Stat (R AFR) E&amp;G],Input[Institution Name],H12)
+SUMIFS(Input[T. W. - Stat (R AFR) Desg],Input[Institution Name],H12)</f>
        <v>0</v>
      </c>
      <c r="U12" s="720"/>
      <c r="V12" s="720"/>
      <c r="W12" s="720">
        <f>SUMIFS(Input[T. W. - Inst. (R AFR) E&amp;G],Input[Institution Name],H12)
+SUMIFS(Input[T. W. - Inst. (R AFR) Desg],Input[Institution Name],H12)</f>
        <v>0</v>
      </c>
      <c r="X12" s="720"/>
      <c r="Y12" s="721"/>
      <c r="Z12" s="719">
        <f>SUMIFS(Input[T. Exp. - Stat (R AFR) E&amp;G],Input[Institution Name],H12)
+SUMIFS(Input[T. Exp. - Stat (R AFR) Desg],Input[Institution Name],H12)</f>
        <v>-960671</v>
      </c>
      <c r="AA12" s="720"/>
      <c r="AB12" s="720"/>
      <c r="AC12" s="720">
        <f>SUMIFS(Input[T. Exp. - Inst. (R AFR) E&amp;G],Input[Institution Name],H12)
+SUMIFS(Input[T. Exp. - Inst. (R AFR) Desg],Input[Institution Name],H12)</f>
        <v>0</v>
      </c>
      <c r="AD12" s="720"/>
      <c r="AE12" s="721"/>
      <c r="AF12" s="719">
        <f>SUMIFS(Input[T. Schlr E&amp;G],Input[Institution Name],H12)
+SUMIFS(Input[T. Schlr Desg],Input[Institution Name],H12)
+SUMIFS(Input[T. Schlr Aux],Input[Institution Name],H12)</f>
        <v>-7712601</v>
      </c>
      <c r="AG12" s="720"/>
      <c r="AH12" s="721"/>
      <c r="AI12" s="719">
        <f t="shared" ref="AI12:AI24" si="0">SUM(Q12:AH12)</f>
        <v>36544235</v>
      </c>
      <c r="AJ12" s="720"/>
      <c r="AK12" s="721"/>
      <c r="AL12" s="144"/>
      <c r="AM12" s="719">
        <f>SUMIFS(Input[Fees - Gross E&amp;G],Input[Institution Name],H12)
+SUMIFS(Input[Fees - Gross Desg],Input[Institution Name],H12)
+SUMIFS(Input[Fees - Gross Aux],Input[Institution Name],H12)
+SUMIFS(Input[Fees - Gross R Exp],Input[Institution Name],H12)
+SUMIFS(Input[Fees - Gross Loan],Input[Institution Name],H12)</f>
        <v>15896050</v>
      </c>
      <c r="AN12" s="720"/>
      <c r="AO12" s="721"/>
      <c r="AP12" s="719">
        <f>SUMIFS(Input[F. W. - Stat (R AFR) E&amp;G],Input[Institution Name],H12)
+SUMIFS(Input[F. W. - Stat (R AFR) Desg],Input[Institution Name],H12)
+SUMIFS(Input[F. W. - Stat (R AFR) Aux],Input[Institution Name],H12)</f>
        <v>0</v>
      </c>
      <c r="AQ12" s="720"/>
      <c r="AR12" s="720"/>
      <c r="AS12" s="720">
        <f>SUMIFS(Input[F. W. - Inst. (R AFR) E&amp;G],Input[Institution Name],H11)
+SUMIFS(Input[F. W. - Inst. (R AFR) Desg],Input[Institution Name],H11)
+SUMIFS(Input[F. W. - Inst. (R AFR) Aux],Input[Institution Name],H11)</f>
        <v>0</v>
      </c>
      <c r="AT12" s="720"/>
      <c r="AU12" s="721"/>
      <c r="AV12" s="719">
        <f>SUMIFS(Input[F. Exp. - Stat (R AFR) E&amp;G],Input[Institution Name],H12)
+SUMIFS(Input[F. Exp. - Stat (R AFR) Desg],Input[Institution Name],H12)
+SUMIFS(Input[F. Exp. - Stat (R AFR) Aux],Input[Institution Name],H12)</f>
        <v>0</v>
      </c>
      <c r="AW12" s="720"/>
      <c r="AX12" s="720"/>
      <c r="AY12" s="720">
        <f>SUMIFS(Input[F. Exp. - Inst. (R AFR) E&amp;G],Input[Institution Name],H12)
+SUMIFS(Input[F. Exp. - Inst. (R AFR) Desg],Input[Institution Name],H12)
+SUMIFS(Input[F. Exp. - Inst. (R AFR) Aux],Input[Institution Name],H12)</f>
        <v>0</v>
      </c>
      <c r="AZ12" s="720"/>
      <c r="BA12" s="721"/>
      <c r="BB12" s="719">
        <f>SUMIFS(Input[Fee Schlr E&amp;G],Input[Institution Name],H12)
+SUMIFS(Input[Fee Schlr Desg],Input[Institution Name],H12)
+SUMIFS(Input[Fee Schlr Aux],Input[Institution Name],H12)</f>
        <v>-2425524</v>
      </c>
      <c r="BC12" s="720"/>
      <c r="BD12" s="721"/>
      <c r="BE12" s="719">
        <f t="shared" ref="BE12:BE24" si="1">SUM(AM12:BD12)</f>
        <v>13470526</v>
      </c>
      <c r="BF12" s="720"/>
      <c r="BG12" s="721"/>
      <c r="BH12" s="144"/>
      <c r="BI12" s="719">
        <f t="shared" ref="BI12:BI24" si="2">AI12+BE12</f>
        <v>50014761</v>
      </c>
      <c r="BJ12" s="720"/>
      <c r="BK12" s="721"/>
      <c r="BL12" s="24"/>
      <c r="BM12" s="24"/>
      <c r="BN12" s="24"/>
    </row>
    <row r="13" spans="1:66" ht="30" customHeight="1" x14ac:dyDescent="0.3">
      <c r="A13" s="24"/>
      <c r="B13" s="24"/>
      <c r="C13" s="24"/>
      <c r="D13" s="24"/>
      <c r="E13" s="24"/>
      <c r="F13" s="24"/>
      <c r="G13" s="24"/>
      <c r="H13" s="616" t="s">
        <v>31</v>
      </c>
      <c r="I13" s="617"/>
      <c r="J13" s="617"/>
      <c r="K13" s="617"/>
      <c r="L13" s="617"/>
      <c r="M13" s="617"/>
      <c r="N13" s="617"/>
      <c r="O13" s="617"/>
      <c r="P13" s="618"/>
      <c r="Q13" s="728">
        <f>SUMIFS(Input[T. - Gross E&amp;G],Input[Institution Name],H13)
+SUMIFS(Input[T. - Gross Desg],Input[Institution Name],H13)</f>
        <v>63625308</v>
      </c>
      <c r="R13" s="729"/>
      <c r="S13" s="730"/>
      <c r="T13" s="728">
        <f>SUMIFS(Input[T. W. - Stat (R AFR) E&amp;G],Input[Institution Name],H13)
+SUMIFS(Input[T. W. - Stat (R AFR) Desg],Input[Institution Name],H13)</f>
        <v>0</v>
      </c>
      <c r="U13" s="729"/>
      <c r="V13" s="729"/>
      <c r="W13" s="729">
        <f>SUMIFS(Input[T. W. - Inst. (R AFR) E&amp;G],Input[Institution Name],H13)
+SUMIFS(Input[T. W. - Inst. (R AFR) Desg],Input[Institution Name],H13)</f>
        <v>0</v>
      </c>
      <c r="X13" s="729"/>
      <c r="Y13" s="730"/>
      <c r="Z13" s="728">
        <f>SUMIFS(Input[T. Exp. - Stat (R AFR) E&amp;G],Input[Institution Name],H13)
+SUMIFS(Input[T. Exp. - Stat (R AFR) Desg],Input[Institution Name],H13)</f>
        <v>-860284</v>
      </c>
      <c r="AA13" s="729"/>
      <c r="AB13" s="729"/>
      <c r="AC13" s="729">
        <f>SUMIFS(Input[T. Exp. - Inst. (R AFR) E&amp;G],Input[Institution Name],H13)
+SUMIFS(Input[T. Exp. - Inst. (R AFR) Desg],Input[Institution Name],H13)</f>
        <v>0</v>
      </c>
      <c r="AD13" s="729"/>
      <c r="AE13" s="730"/>
      <c r="AF13" s="728">
        <f>SUMIFS(Input[T. Schlr E&amp;G],Input[Institution Name],H13)
+SUMIFS(Input[T. Schlr Desg],Input[Institution Name],H13)
+SUMIFS(Input[T. Schlr Aux],Input[Institution Name],H13)</f>
        <v>-2585372</v>
      </c>
      <c r="AG13" s="729"/>
      <c r="AH13" s="730"/>
      <c r="AI13" s="728">
        <f t="shared" si="0"/>
        <v>60179652</v>
      </c>
      <c r="AJ13" s="729"/>
      <c r="AK13" s="730"/>
      <c r="AL13" s="144"/>
      <c r="AM13" s="728">
        <f>SUMIFS(Input[Fees - Gross E&amp;G],Input[Institution Name],H13)
+SUMIFS(Input[Fees - Gross Desg],Input[Institution Name],H13)
+SUMIFS(Input[Fees - Gross Aux],Input[Institution Name],H13)
+SUMIFS(Input[Fees - Gross R Exp],Input[Institution Name],H13)
+SUMIFS(Input[Fees - Gross Loan],Input[Institution Name],H13)</f>
        <v>17150954</v>
      </c>
      <c r="AN13" s="729"/>
      <c r="AO13" s="730"/>
      <c r="AP13" s="728">
        <f>SUMIFS(Input[F. W. - Stat (R AFR) E&amp;G],Input[Institution Name],H13)
+SUMIFS(Input[F. W. - Stat (R AFR) Desg],Input[Institution Name],H13)
+SUMIFS(Input[F. W. - Stat (R AFR) Aux],Input[Institution Name],H13)</f>
        <v>0</v>
      </c>
      <c r="AQ13" s="729"/>
      <c r="AR13" s="729"/>
      <c r="AS13" s="729">
        <f>SUMIFS(Input[F. W. - Inst. (R AFR) E&amp;G],Input[Institution Name],H12)
+SUMIFS(Input[F. W. - Inst. (R AFR) Desg],Input[Institution Name],H12)
+SUMIFS(Input[F. W. - Inst. (R AFR) Aux],Input[Institution Name],H12)</f>
        <v>0</v>
      </c>
      <c r="AT13" s="729"/>
      <c r="AU13" s="730"/>
      <c r="AV13" s="728">
        <f>SUMIFS(Input[F. Exp. - Stat (R AFR) E&amp;G],Input[Institution Name],H13)
+SUMIFS(Input[F. Exp. - Stat (R AFR) Desg],Input[Institution Name],H13)
+SUMIFS(Input[F. Exp. - Stat (R AFR) Aux],Input[Institution Name],H13)</f>
        <v>-270236</v>
      </c>
      <c r="AW13" s="729"/>
      <c r="AX13" s="729"/>
      <c r="AY13" s="729">
        <f>SUMIFS(Input[F. Exp. - Inst. (R AFR) E&amp;G],Input[Institution Name],H13)
+SUMIFS(Input[F. Exp. - Inst. (R AFR) Desg],Input[Institution Name],H13)
+SUMIFS(Input[F. Exp. - Inst. (R AFR) Aux],Input[Institution Name],H13)</f>
        <v>0</v>
      </c>
      <c r="AZ13" s="729"/>
      <c r="BA13" s="730"/>
      <c r="BB13" s="728">
        <f>SUMIFS(Input[Fee Schlr E&amp;G],Input[Institution Name],H13)
+SUMIFS(Input[Fee Schlr Desg],Input[Institution Name],H13)
+SUMIFS(Input[Fee Schlr Aux],Input[Institution Name],H13)</f>
        <v>-107639</v>
      </c>
      <c r="BC13" s="729"/>
      <c r="BD13" s="730"/>
      <c r="BE13" s="728">
        <f t="shared" si="1"/>
        <v>16773079</v>
      </c>
      <c r="BF13" s="729"/>
      <c r="BG13" s="730"/>
      <c r="BH13" s="144"/>
      <c r="BI13" s="728">
        <f t="shared" si="2"/>
        <v>76952731</v>
      </c>
      <c r="BJ13" s="729"/>
      <c r="BK13" s="730"/>
      <c r="BL13" s="24"/>
      <c r="BM13" s="24"/>
      <c r="BN13" s="24"/>
    </row>
    <row r="14" spans="1:66" ht="30" customHeight="1" x14ac:dyDescent="0.3">
      <c r="A14" s="24"/>
      <c r="B14" s="24"/>
      <c r="C14" s="24"/>
      <c r="D14" s="24"/>
      <c r="E14" s="24"/>
      <c r="F14" s="24"/>
      <c r="G14" s="24"/>
      <c r="H14" s="579" t="s">
        <v>32</v>
      </c>
      <c r="I14" s="580"/>
      <c r="J14" s="580"/>
      <c r="K14" s="580"/>
      <c r="L14" s="580"/>
      <c r="M14" s="580"/>
      <c r="N14" s="580"/>
      <c r="O14" s="580"/>
      <c r="P14" s="619"/>
      <c r="Q14" s="719">
        <f>SUMIFS(Input[T. - Gross E&amp;G],Input[Institution Name],H14)
+SUMIFS(Input[T. - Gross Desg],Input[Institution Name],H14)</f>
        <v>74119813</v>
      </c>
      <c r="R14" s="720"/>
      <c r="S14" s="721"/>
      <c r="T14" s="719">
        <f>SUMIFS(Input[T. W. - Stat (R AFR) E&amp;G],Input[Institution Name],H14)
+SUMIFS(Input[T. W. - Stat (R AFR) Desg],Input[Institution Name],H14)</f>
        <v>0</v>
      </c>
      <c r="U14" s="720"/>
      <c r="V14" s="720"/>
      <c r="W14" s="720">
        <f>SUMIFS(Input[T. W. - Inst. (R AFR) E&amp;G],Input[Institution Name],H14)
+SUMIFS(Input[T. W. - Inst. (R AFR) Desg],Input[Institution Name],H14)</f>
        <v>0</v>
      </c>
      <c r="X14" s="720"/>
      <c r="Y14" s="721"/>
      <c r="Z14" s="719">
        <f>SUMIFS(Input[T. Exp. - Stat (R AFR) E&amp;G],Input[Institution Name],H14)
+SUMIFS(Input[T. Exp. - Stat (R AFR) Desg],Input[Institution Name],H14)</f>
        <v>-2408113</v>
      </c>
      <c r="AA14" s="720"/>
      <c r="AB14" s="720"/>
      <c r="AC14" s="720">
        <f>SUMIFS(Input[T. Exp. - Inst. (R AFR) E&amp;G],Input[Institution Name],H14)
+SUMIFS(Input[T. Exp. - Inst. (R AFR) Desg],Input[Institution Name],H14)</f>
        <v>0</v>
      </c>
      <c r="AD14" s="720"/>
      <c r="AE14" s="721"/>
      <c r="AF14" s="719">
        <f>SUMIFS(Input[T. Schlr E&amp;G],Input[Institution Name],H14)
+SUMIFS(Input[T. Schlr Desg],Input[Institution Name],H14)
+SUMIFS(Input[T. Schlr Aux],Input[Institution Name],H14)</f>
        <v>-10223969</v>
      </c>
      <c r="AG14" s="720"/>
      <c r="AH14" s="721"/>
      <c r="AI14" s="719">
        <f t="shared" si="0"/>
        <v>61487731</v>
      </c>
      <c r="AJ14" s="720"/>
      <c r="AK14" s="721"/>
      <c r="AL14" s="144"/>
      <c r="AM14" s="719">
        <f>SUMIFS(Input[Fees - Gross E&amp;G],Input[Institution Name],H14)
+SUMIFS(Input[Fees - Gross Desg],Input[Institution Name],H14)
+SUMIFS(Input[Fees - Gross Aux],Input[Institution Name],H14)
+SUMIFS(Input[Fees - Gross R Exp],Input[Institution Name],H14)
+SUMIFS(Input[Fees - Gross Loan],Input[Institution Name],H14)</f>
        <v>3508129</v>
      </c>
      <c r="AN14" s="720"/>
      <c r="AO14" s="721"/>
      <c r="AP14" s="719">
        <f>SUMIFS(Input[F. W. - Stat (R AFR) E&amp;G],Input[Institution Name],H14)
+SUMIFS(Input[F. W. - Stat (R AFR) Desg],Input[Institution Name],H14)
+SUMIFS(Input[F. W. - Stat (R AFR) Aux],Input[Institution Name],H14)</f>
        <v>0</v>
      </c>
      <c r="AQ14" s="720"/>
      <c r="AR14" s="720"/>
      <c r="AS14" s="720">
        <f>SUMIFS(Input[F. W. - Inst. (R AFR) E&amp;G],Input[Institution Name],H13)
+SUMIFS(Input[F. W. - Inst. (R AFR) Desg],Input[Institution Name],H13)
+SUMIFS(Input[F. W. - Inst. (R AFR) Aux],Input[Institution Name],H13)</f>
        <v>0</v>
      </c>
      <c r="AT14" s="720"/>
      <c r="AU14" s="721"/>
      <c r="AV14" s="719">
        <f>SUMIFS(Input[F. Exp. - Stat (R AFR) E&amp;G],Input[Institution Name],H14)
+SUMIFS(Input[F. Exp. - Stat (R AFR) Desg],Input[Institution Name],H14)
+SUMIFS(Input[F. Exp. - Stat (R AFR) Aux],Input[Institution Name],H14)</f>
        <v>-267568</v>
      </c>
      <c r="AW14" s="720"/>
      <c r="AX14" s="720"/>
      <c r="AY14" s="720">
        <f>SUMIFS(Input[F. Exp. - Inst. (R AFR) E&amp;G],Input[Institution Name],H14)
+SUMIFS(Input[F. Exp. - Inst. (R AFR) Desg],Input[Institution Name],H14)
+SUMIFS(Input[F. Exp. - Inst. (R AFR) Aux],Input[Institution Name],H14)</f>
        <v>0</v>
      </c>
      <c r="AZ14" s="720"/>
      <c r="BA14" s="721"/>
      <c r="BB14" s="719">
        <f>SUMIFS(Input[Fee Schlr E&amp;G],Input[Institution Name],H14)
+SUMIFS(Input[Fee Schlr Desg],Input[Institution Name],H14)
+SUMIFS(Input[Fee Schlr Aux],Input[Institution Name],H14)</f>
        <v>-1135997</v>
      </c>
      <c r="BC14" s="720"/>
      <c r="BD14" s="721"/>
      <c r="BE14" s="719">
        <f t="shared" si="1"/>
        <v>2104564</v>
      </c>
      <c r="BF14" s="720"/>
      <c r="BG14" s="721"/>
      <c r="BH14" s="144"/>
      <c r="BI14" s="719">
        <f t="shared" si="2"/>
        <v>63592295</v>
      </c>
      <c r="BJ14" s="720"/>
      <c r="BK14" s="721"/>
      <c r="BL14" s="24"/>
      <c r="BM14" s="24"/>
      <c r="BN14" s="24"/>
    </row>
    <row r="15" spans="1:66" ht="30" customHeight="1" x14ac:dyDescent="0.3">
      <c r="A15" s="24"/>
      <c r="B15" s="24"/>
      <c r="C15" s="24"/>
      <c r="D15" s="24"/>
      <c r="E15" s="24"/>
      <c r="F15" s="24"/>
      <c r="G15" s="24"/>
      <c r="H15" s="616" t="s">
        <v>165</v>
      </c>
      <c r="I15" s="617"/>
      <c r="J15" s="617"/>
      <c r="K15" s="617"/>
      <c r="L15" s="617"/>
      <c r="M15" s="617"/>
      <c r="N15" s="617"/>
      <c r="O15" s="617"/>
      <c r="P15" s="618"/>
      <c r="Q15" s="728">
        <f>SUMIFS(Input[T. - Gross E&amp;G],Input[Institution Name],H15)
+SUMIFS(Input[T. - Gross Desg],Input[Institution Name],H15)</f>
        <v>5786891</v>
      </c>
      <c r="R15" s="729"/>
      <c r="S15" s="730"/>
      <c r="T15" s="728">
        <f>SUMIFS(Input[T. W. - Stat (R AFR) E&amp;G],Input[Institution Name],H15)
+SUMIFS(Input[T. W. - Stat (R AFR) Desg],Input[Institution Name],H15)</f>
        <v>0</v>
      </c>
      <c r="U15" s="729"/>
      <c r="V15" s="729"/>
      <c r="W15" s="729">
        <f>SUMIFS(Input[T. W. - Inst. (R AFR) E&amp;G],Input[Institution Name],H15)
+SUMIFS(Input[T. W. - Inst. (R AFR) Desg],Input[Institution Name],H15)</f>
        <v>0</v>
      </c>
      <c r="X15" s="729"/>
      <c r="Y15" s="730"/>
      <c r="Z15" s="728">
        <f>SUMIFS(Input[T. Exp. - Stat (R AFR) E&amp;G],Input[Institution Name],H15)
+SUMIFS(Input[T. Exp. - Stat (R AFR) Desg],Input[Institution Name],H15)</f>
        <v>-70896</v>
      </c>
      <c r="AA15" s="729"/>
      <c r="AB15" s="729"/>
      <c r="AC15" s="729">
        <f>SUMIFS(Input[T. Exp. - Inst. (R AFR) E&amp;G],Input[Institution Name],H15)
+SUMIFS(Input[T. Exp. - Inst. (R AFR) Desg],Input[Institution Name],H15)</f>
        <v>0</v>
      </c>
      <c r="AD15" s="729"/>
      <c r="AE15" s="730"/>
      <c r="AF15" s="728">
        <f>SUMIFS(Input[T. Schlr E&amp;G],Input[Institution Name],H15)
+SUMIFS(Input[T. Schlr Desg],Input[Institution Name],H15)
+SUMIFS(Input[T. Schlr Aux],Input[Institution Name],H15)</f>
        <v>-1407732</v>
      </c>
      <c r="AG15" s="729"/>
      <c r="AH15" s="730"/>
      <c r="AI15" s="728">
        <f t="shared" si="0"/>
        <v>4308263</v>
      </c>
      <c r="AJ15" s="729"/>
      <c r="AK15" s="730"/>
      <c r="AL15" s="144"/>
      <c r="AM15" s="728">
        <f>SUMIFS(Input[Fees - Gross E&amp;G],Input[Institution Name],H15)
+SUMIFS(Input[Fees - Gross Desg],Input[Institution Name],H15)
+SUMIFS(Input[Fees - Gross Aux],Input[Institution Name],H15)
+SUMIFS(Input[Fees - Gross R Exp],Input[Institution Name],H15)
+SUMIFS(Input[Fees - Gross Loan],Input[Institution Name],H15)</f>
        <v>878339</v>
      </c>
      <c r="AN15" s="729"/>
      <c r="AO15" s="730"/>
      <c r="AP15" s="728">
        <f>SUMIFS(Input[F. W. - Stat (R AFR) E&amp;G],Input[Institution Name],H15)
+SUMIFS(Input[F. W. - Stat (R AFR) Desg],Input[Institution Name],H15)
+SUMIFS(Input[F. W. - Stat (R AFR) Aux],Input[Institution Name],H15)</f>
        <v>0</v>
      </c>
      <c r="AQ15" s="729"/>
      <c r="AR15" s="729"/>
      <c r="AS15" s="729">
        <f>SUMIFS(Input[F. W. - Inst. (R AFR) E&amp;G],Input[Institution Name],H14)
+SUMIFS(Input[F. W. - Inst. (R AFR) Desg],Input[Institution Name],H14)
+SUMIFS(Input[F. W. - Inst. (R AFR) Aux],Input[Institution Name],H14)</f>
        <v>0</v>
      </c>
      <c r="AT15" s="729"/>
      <c r="AU15" s="730"/>
      <c r="AV15" s="728">
        <f>SUMIFS(Input[F. Exp. - Stat (R AFR) E&amp;G],Input[Institution Name],H15)
+SUMIFS(Input[F. Exp. - Stat (R AFR) Desg],Input[Institution Name],H15)
+SUMIFS(Input[F. Exp. - Stat (R AFR) Aux],Input[Institution Name],H15)</f>
        <v>-3352</v>
      </c>
      <c r="AW15" s="729"/>
      <c r="AX15" s="729"/>
      <c r="AY15" s="729">
        <f>SUMIFS(Input[F. Exp. - Inst. (R AFR) E&amp;G],Input[Institution Name],H15)
+SUMIFS(Input[F. Exp. - Inst. (R AFR) Desg],Input[Institution Name],H15)
+SUMIFS(Input[F. Exp. - Inst. (R AFR) Aux],Input[Institution Name],H15)</f>
        <v>0</v>
      </c>
      <c r="AZ15" s="729"/>
      <c r="BA15" s="730"/>
      <c r="BB15" s="728">
        <f>SUMIFS(Input[Fee Schlr E&amp;G],Input[Institution Name],H15)
+SUMIFS(Input[Fee Schlr Desg],Input[Institution Name],H15)
+SUMIFS(Input[Fee Schlr Aux],Input[Institution Name],H15)</f>
        <v>1924</v>
      </c>
      <c r="BC15" s="729"/>
      <c r="BD15" s="730"/>
      <c r="BE15" s="728">
        <f t="shared" si="1"/>
        <v>876911</v>
      </c>
      <c r="BF15" s="729"/>
      <c r="BG15" s="730"/>
      <c r="BH15" s="144"/>
      <c r="BI15" s="728">
        <f t="shared" si="2"/>
        <v>5185174</v>
      </c>
      <c r="BJ15" s="729"/>
      <c r="BK15" s="730"/>
      <c r="BL15" s="24"/>
      <c r="BM15" s="24"/>
      <c r="BN15" s="24"/>
    </row>
    <row r="16" spans="1:66" ht="30" customHeight="1" x14ac:dyDescent="0.3">
      <c r="A16" s="24"/>
      <c r="B16" s="24"/>
      <c r="C16" s="24"/>
      <c r="D16" s="24"/>
      <c r="E16" s="24"/>
      <c r="F16" s="24"/>
      <c r="G16" s="24"/>
      <c r="H16" s="579" t="s">
        <v>33</v>
      </c>
      <c r="I16" s="580"/>
      <c r="J16" s="580"/>
      <c r="K16" s="580"/>
      <c r="L16" s="580"/>
      <c r="M16" s="580"/>
      <c r="N16" s="580"/>
      <c r="O16" s="580"/>
      <c r="P16" s="619"/>
      <c r="Q16" s="719">
        <f>SUMIFS(Input[T. - Gross E&amp;G],Input[Institution Name],H16)
+SUMIFS(Input[T. - Gross Desg],Input[Institution Name],H16)</f>
        <v>1544391</v>
      </c>
      <c r="R16" s="720"/>
      <c r="S16" s="721"/>
      <c r="T16" s="719">
        <f>SUMIFS(Input[T. W. - Stat (R AFR) E&amp;G],Input[Institution Name],H16)
+SUMIFS(Input[T. W. - Stat (R AFR) Desg],Input[Institution Name],H16)</f>
        <v>0</v>
      </c>
      <c r="U16" s="720"/>
      <c r="V16" s="720"/>
      <c r="W16" s="720">
        <f>SUMIFS(Input[T. W. - Inst. (R AFR) E&amp;G],Input[Institution Name],H16)
+SUMIFS(Input[T. W. - Inst. (R AFR) Desg],Input[Institution Name],H16)</f>
        <v>0</v>
      </c>
      <c r="X16" s="720"/>
      <c r="Y16" s="721"/>
      <c r="Z16" s="719">
        <f>SUMIFS(Input[T. Exp. - Stat (R AFR) E&amp;G],Input[Institution Name],H16)
+SUMIFS(Input[T. Exp. - Stat (R AFR) Desg],Input[Institution Name],H16)</f>
        <v>-6950</v>
      </c>
      <c r="AA16" s="720"/>
      <c r="AB16" s="720"/>
      <c r="AC16" s="720">
        <f>SUMIFS(Input[T. Exp. - Inst. (R AFR) E&amp;G],Input[Institution Name],H16)
+SUMIFS(Input[T. Exp. - Inst. (R AFR) Desg],Input[Institution Name],H16)</f>
        <v>-43946</v>
      </c>
      <c r="AD16" s="720"/>
      <c r="AE16" s="721"/>
      <c r="AF16" s="719">
        <f>SUMIFS(Input[T. Schlr E&amp;G],Input[Institution Name],H16)
+SUMIFS(Input[T. Schlr Desg],Input[Institution Name],H16)
+SUMIFS(Input[T. Schlr Aux],Input[Institution Name],H16)</f>
        <v>0</v>
      </c>
      <c r="AG16" s="720"/>
      <c r="AH16" s="721"/>
      <c r="AI16" s="719">
        <f t="shared" si="0"/>
        <v>1493495</v>
      </c>
      <c r="AJ16" s="720"/>
      <c r="AK16" s="721"/>
      <c r="AL16" s="144"/>
      <c r="AM16" s="719">
        <f>SUMIFS(Input[Fees - Gross E&amp;G],Input[Institution Name],H16)
+SUMIFS(Input[Fees - Gross Desg],Input[Institution Name],H16)
+SUMIFS(Input[Fees - Gross Aux],Input[Institution Name],H16)
+SUMIFS(Input[Fees - Gross R Exp],Input[Institution Name],H16)
+SUMIFS(Input[Fees - Gross Loan],Input[Institution Name],H16)</f>
        <v>359469</v>
      </c>
      <c r="AN16" s="720"/>
      <c r="AO16" s="721"/>
      <c r="AP16" s="719">
        <f>SUMIFS(Input[F. W. - Stat (R AFR) E&amp;G],Input[Institution Name],H16)
+SUMIFS(Input[F. W. - Stat (R AFR) Desg],Input[Institution Name],H16)
+SUMIFS(Input[F. W. - Stat (R AFR) Aux],Input[Institution Name],H16)</f>
        <v>0</v>
      </c>
      <c r="AQ16" s="720"/>
      <c r="AR16" s="720"/>
      <c r="AS16" s="720">
        <f>SUMIFS(Input[F. W. - Inst. (R AFR) E&amp;G],Input[Institution Name],H15)
+SUMIFS(Input[F. W. - Inst. (R AFR) Desg],Input[Institution Name],H15)
+SUMIFS(Input[F. W. - Inst. (R AFR) Aux],Input[Institution Name],H15)</f>
        <v>0</v>
      </c>
      <c r="AT16" s="720"/>
      <c r="AU16" s="721"/>
      <c r="AV16" s="719">
        <f>SUMIFS(Input[F. Exp. - Stat (R AFR) E&amp;G],Input[Institution Name],H16)
+SUMIFS(Input[F. Exp. - Stat (R AFR) Desg],Input[Institution Name],H16)
+SUMIFS(Input[F. Exp. - Stat (R AFR) Aux],Input[Institution Name],H16)</f>
        <v>0</v>
      </c>
      <c r="AW16" s="720"/>
      <c r="AX16" s="720"/>
      <c r="AY16" s="720">
        <f>SUMIFS(Input[F. Exp. - Inst. (R AFR) E&amp;G],Input[Institution Name],H16)
+SUMIFS(Input[F. Exp. - Inst. (R AFR) Desg],Input[Institution Name],H16)
+SUMIFS(Input[F. Exp. - Inst. (R AFR) Aux],Input[Institution Name],H16)</f>
        <v>0</v>
      </c>
      <c r="AZ16" s="720"/>
      <c r="BA16" s="721"/>
      <c r="BB16" s="719">
        <f>SUMIFS(Input[Fee Schlr E&amp;G],Input[Institution Name],H16)
+SUMIFS(Input[Fee Schlr Desg],Input[Institution Name],H16)
+SUMIFS(Input[Fee Schlr Aux],Input[Institution Name],H16)</f>
        <v>0</v>
      </c>
      <c r="BC16" s="720"/>
      <c r="BD16" s="721"/>
      <c r="BE16" s="719">
        <f t="shared" si="1"/>
        <v>359469</v>
      </c>
      <c r="BF16" s="720"/>
      <c r="BG16" s="721"/>
      <c r="BH16" s="144"/>
      <c r="BI16" s="719">
        <f t="shared" si="2"/>
        <v>1852964</v>
      </c>
      <c r="BJ16" s="720"/>
      <c r="BK16" s="721"/>
      <c r="BL16" s="24"/>
      <c r="BM16" s="24"/>
      <c r="BN16" s="24"/>
    </row>
    <row r="17" spans="1:66" ht="30" customHeight="1" x14ac:dyDescent="0.3">
      <c r="A17" s="24"/>
      <c r="B17" s="24"/>
      <c r="C17" s="24"/>
      <c r="D17" s="24"/>
      <c r="E17" s="24"/>
      <c r="F17" s="24"/>
      <c r="G17" s="24"/>
      <c r="H17" s="616" t="s">
        <v>34</v>
      </c>
      <c r="I17" s="617"/>
      <c r="J17" s="617"/>
      <c r="K17" s="617"/>
      <c r="L17" s="617"/>
      <c r="M17" s="617"/>
      <c r="N17" s="617"/>
      <c r="O17" s="617"/>
      <c r="P17" s="618"/>
      <c r="Q17" s="728">
        <f>SUMIFS(Input[T. - Gross E&amp;G],Input[Institution Name],H17)
+SUMIFS(Input[T. - Gross Desg],Input[Institution Name],H17)</f>
        <v>4281996</v>
      </c>
      <c r="R17" s="729"/>
      <c r="S17" s="730"/>
      <c r="T17" s="728">
        <f>SUMIFS(Input[T. W. - Stat (R AFR) E&amp;G],Input[Institution Name],H17)
+SUMIFS(Input[T. W. - Stat (R AFR) Desg],Input[Institution Name],H17)</f>
        <v>0</v>
      </c>
      <c r="U17" s="729"/>
      <c r="V17" s="729"/>
      <c r="W17" s="729">
        <f>SUMIFS(Input[T. W. - Inst. (R AFR) E&amp;G],Input[Institution Name],H17)
+SUMIFS(Input[T. W. - Inst. (R AFR) Desg],Input[Institution Name],H17)</f>
        <v>0</v>
      </c>
      <c r="X17" s="729"/>
      <c r="Y17" s="730"/>
      <c r="Z17" s="728">
        <f>SUMIFS(Input[T. Exp. - Stat (R AFR) E&amp;G],Input[Institution Name],H17)
+SUMIFS(Input[T. Exp. - Stat (R AFR) Desg],Input[Institution Name],H17)</f>
        <v>0</v>
      </c>
      <c r="AA17" s="729"/>
      <c r="AB17" s="729"/>
      <c r="AC17" s="729">
        <f>SUMIFS(Input[T. Exp. - Inst. (R AFR) E&amp;G],Input[Institution Name],H17)
+SUMIFS(Input[T. Exp. - Inst. (R AFR) Desg],Input[Institution Name],H17)</f>
        <v>0</v>
      </c>
      <c r="AD17" s="729"/>
      <c r="AE17" s="730"/>
      <c r="AF17" s="728">
        <f>SUMIFS(Input[T. Schlr E&amp;G],Input[Institution Name],H17)
+SUMIFS(Input[T. Schlr Desg],Input[Institution Name],H17)
+SUMIFS(Input[T. Schlr Aux],Input[Institution Name],H17)</f>
        <v>0</v>
      </c>
      <c r="AG17" s="729"/>
      <c r="AH17" s="730"/>
      <c r="AI17" s="728">
        <f t="shared" si="0"/>
        <v>4281996</v>
      </c>
      <c r="AJ17" s="729"/>
      <c r="AK17" s="730"/>
      <c r="AL17" s="144"/>
      <c r="AM17" s="728">
        <f>SUMIFS(Input[Fees - Gross E&amp;G],Input[Institution Name],H17)
+SUMIFS(Input[Fees - Gross Desg],Input[Institution Name],H17)
+SUMIFS(Input[Fees - Gross Aux],Input[Institution Name],H17)
+SUMIFS(Input[Fees - Gross R Exp],Input[Institution Name],H17)
+SUMIFS(Input[Fees - Gross Loan],Input[Institution Name],H17)</f>
        <v>0</v>
      </c>
      <c r="AN17" s="729"/>
      <c r="AO17" s="730"/>
      <c r="AP17" s="728">
        <f>SUMIFS(Input[F. W. - Stat (R AFR) E&amp;G],Input[Institution Name],H17)
+SUMIFS(Input[F. W. - Stat (R AFR) Desg],Input[Institution Name],H17)
+SUMIFS(Input[F. W. - Stat (R AFR) Aux],Input[Institution Name],H17)</f>
        <v>0</v>
      </c>
      <c r="AQ17" s="729"/>
      <c r="AR17" s="729"/>
      <c r="AS17" s="729">
        <f>SUMIFS(Input[F. W. - Inst. (R AFR) E&amp;G],Input[Institution Name],H16)
+SUMIFS(Input[F. W. - Inst. (R AFR) Desg],Input[Institution Name],H16)
+SUMIFS(Input[F. W. - Inst. (R AFR) Aux],Input[Institution Name],H16)</f>
        <v>0</v>
      </c>
      <c r="AT17" s="729"/>
      <c r="AU17" s="730"/>
      <c r="AV17" s="728">
        <f>SUMIFS(Input[F. Exp. - Stat (R AFR) E&amp;G],Input[Institution Name],H17)
+SUMIFS(Input[F. Exp. - Stat (R AFR) Desg],Input[Institution Name],H17)
+SUMIFS(Input[F. Exp. - Stat (R AFR) Aux],Input[Institution Name],H17)</f>
        <v>0</v>
      </c>
      <c r="AW17" s="729"/>
      <c r="AX17" s="729"/>
      <c r="AY17" s="729">
        <f>SUMIFS(Input[F. Exp. - Inst. (R AFR) E&amp;G],Input[Institution Name],H17)
+SUMIFS(Input[F. Exp. - Inst. (R AFR) Desg],Input[Institution Name],H17)
+SUMIFS(Input[F. Exp. - Inst. (R AFR) Aux],Input[Institution Name],H17)</f>
        <v>0</v>
      </c>
      <c r="AZ17" s="729"/>
      <c r="BA17" s="730"/>
      <c r="BB17" s="728">
        <f>SUMIFS(Input[Fee Schlr E&amp;G],Input[Institution Name],H17)
+SUMIFS(Input[Fee Schlr Desg],Input[Institution Name],H17)
+SUMIFS(Input[Fee Schlr Aux],Input[Institution Name],H17)</f>
        <v>0</v>
      </c>
      <c r="BC17" s="729"/>
      <c r="BD17" s="730"/>
      <c r="BE17" s="728">
        <f t="shared" si="1"/>
        <v>0</v>
      </c>
      <c r="BF17" s="729"/>
      <c r="BG17" s="730"/>
      <c r="BH17" s="144"/>
      <c r="BI17" s="728">
        <f t="shared" si="2"/>
        <v>4281996</v>
      </c>
      <c r="BJ17" s="729"/>
      <c r="BK17" s="730"/>
      <c r="BL17" s="24"/>
      <c r="BM17" s="24"/>
      <c r="BN17" s="24"/>
    </row>
    <row r="18" spans="1:66" ht="30" customHeight="1" x14ac:dyDescent="0.3">
      <c r="A18" s="24"/>
      <c r="B18" s="24"/>
      <c r="C18" s="24"/>
      <c r="D18" s="24"/>
      <c r="E18" s="24"/>
      <c r="F18" s="24"/>
      <c r="G18" s="24"/>
      <c r="H18" s="579" t="s">
        <v>41</v>
      </c>
      <c r="I18" s="580"/>
      <c r="J18" s="580"/>
      <c r="K18" s="580"/>
      <c r="L18" s="580"/>
      <c r="M18" s="580"/>
      <c r="N18" s="580"/>
      <c r="O18" s="580"/>
      <c r="P18" s="619"/>
      <c r="Q18" s="719">
        <f>SUMIFS(Input[T. - Gross E&amp;G],Input[Institution Name],H18)
+SUMIFS(Input[T. - Gross Desg],Input[Institution Name],H18)</f>
        <v>3985734</v>
      </c>
      <c r="R18" s="720"/>
      <c r="S18" s="721"/>
      <c r="T18" s="719">
        <f>SUMIFS(Input[T. W. - Stat (R AFR) E&amp;G],Input[Institution Name],H18)
+SUMIFS(Input[T. W. - Stat (R AFR) Desg],Input[Institution Name],H18)</f>
        <v>0</v>
      </c>
      <c r="U18" s="720"/>
      <c r="V18" s="720"/>
      <c r="W18" s="720">
        <f>SUMIFS(Input[T. W. - Inst. (R AFR) E&amp;G],Input[Institution Name],H18)
+SUMIFS(Input[T. W. - Inst. (R AFR) Desg],Input[Institution Name],H18)</f>
        <v>0</v>
      </c>
      <c r="X18" s="720"/>
      <c r="Y18" s="721"/>
      <c r="Z18" s="719">
        <f>SUMIFS(Input[T. Exp. - Stat (R AFR) E&amp;G],Input[Institution Name],H18)
+SUMIFS(Input[T. Exp. - Stat (R AFR) Desg],Input[Institution Name],H18)</f>
        <v>0</v>
      </c>
      <c r="AA18" s="720"/>
      <c r="AB18" s="720"/>
      <c r="AC18" s="720">
        <f>SUMIFS(Input[T. Exp. - Inst. (R AFR) E&amp;G],Input[Institution Name],H18)
+SUMIFS(Input[T. Exp. - Inst. (R AFR) Desg],Input[Institution Name],H18)</f>
        <v>0</v>
      </c>
      <c r="AD18" s="720"/>
      <c r="AE18" s="721"/>
      <c r="AF18" s="719">
        <f>SUMIFS(Input[T. Schlr E&amp;G],Input[Institution Name],H18)
+SUMIFS(Input[T. Schlr Desg],Input[Institution Name],H18)
+SUMIFS(Input[T. Schlr Aux],Input[Institution Name],H18)</f>
        <v>-2496609</v>
      </c>
      <c r="AG18" s="720"/>
      <c r="AH18" s="721"/>
      <c r="AI18" s="719">
        <f t="shared" si="0"/>
        <v>1489125</v>
      </c>
      <c r="AJ18" s="720"/>
      <c r="AK18" s="721"/>
      <c r="AL18" s="144"/>
      <c r="AM18" s="719">
        <f>SUMIFS(Input[Fees - Gross E&amp;G],Input[Institution Name],H18)
+SUMIFS(Input[Fees - Gross Desg],Input[Institution Name],H18)
+SUMIFS(Input[Fees - Gross Aux],Input[Institution Name],H18)
+SUMIFS(Input[Fees - Gross R Exp],Input[Institution Name],H18)
+SUMIFS(Input[Fees - Gross Loan],Input[Institution Name],H18)</f>
        <v>825000</v>
      </c>
      <c r="AN18" s="720"/>
      <c r="AO18" s="721"/>
      <c r="AP18" s="719">
        <f>SUMIFS(Input[F. W. - Stat (R AFR) E&amp;G],Input[Institution Name],H18)
+SUMIFS(Input[F. W. - Stat (R AFR) Desg],Input[Institution Name],H18)
+SUMIFS(Input[F. W. - Stat (R AFR) Aux],Input[Institution Name],H18)</f>
        <v>0</v>
      </c>
      <c r="AQ18" s="720"/>
      <c r="AR18" s="720"/>
      <c r="AS18" s="720">
        <f>SUMIFS(Input[F. W. - Inst. (R AFR) E&amp;G],Input[Institution Name],H17)
+SUMIFS(Input[F. W. - Inst. (R AFR) Desg],Input[Institution Name],H17)
+SUMIFS(Input[F. W. - Inst. (R AFR) Aux],Input[Institution Name],H17)</f>
        <v>0</v>
      </c>
      <c r="AT18" s="720"/>
      <c r="AU18" s="721"/>
      <c r="AV18" s="719">
        <f>SUMIFS(Input[F. Exp. - Stat (R AFR) E&amp;G],Input[Institution Name],H18)
+SUMIFS(Input[F. Exp. - Stat (R AFR) Desg],Input[Institution Name],H18)
+SUMIFS(Input[F. Exp. - Stat (R AFR) Aux],Input[Institution Name],H18)</f>
        <v>0</v>
      </c>
      <c r="AW18" s="720"/>
      <c r="AX18" s="720"/>
      <c r="AY18" s="720">
        <f>SUMIFS(Input[F. Exp. - Inst. (R AFR) E&amp;G],Input[Institution Name],H18)
+SUMIFS(Input[F. Exp. - Inst. (R AFR) Desg],Input[Institution Name],H18)
+SUMIFS(Input[F. Exp. - Inst. (R AFR) Aux],Input[Institution Name],H18)</f>
        <v>0</v>
      </c>
      <c r="AZ18" s="720"/>
      <c r="BA18" s="721"/>
      <c r="BB18" s="719">
        <f>SUMIFS(Input[Fee Schlr E&amp;G],Input[Institution Name],H18)
+SUMIFS(Input[Fee Schlr Desg],Input[Institution Name],H18)
+SUMIFS(Input[Fee Schlr Aux],Input[Institution Name],H18)</f>
        <v>-353845</v>
      </c>
      <c r="BC18" s="720"/>
      <c r="BD18" s="721"/>
      <c r="BE18" s="719">
        <f t="shared" si="1"/>
        <v>471155</v>
      </c>
      <c r="BF18" s="720"/>
      <c r="BG18" s="721"/>
      <c r="BH18" s="144"/>
      <c r="BI18" s="719">
        <f t="shared" si="2"/>
        <v>1960280</v>
      </c>
      <c r="BJ18" s="720"/>
      <c r="BK18" s="721"/>
      <c r="BL18" s="24"/>
      <c r="BM18" s="24"/>
      <c r="BN18" s="24"/>
    </row>
    <row r="19" spans="1:66" ht="30" customHeight="1" x14ac:dyDescent="0.3">
      <c r="A19" s="24"/>
      <c r="B19" s="24"/>
      <c r="C19" s="24"/>
      <c r="D19" s="24"/>
      <c r="E19" s="24"/>
      <c r="F19" s="24"/>
      <c r="G19" s="24"/>
      <c r="H19" s="616" t="s">
        <v>60</v>
      </c>
      <c r="I19" s="617"/>
      <c r="J19" s="617"/>
      <c r="K19" s="617"/>
      <c r="L19" s="617"/>
      <c r="M19" s="617"/>
      <c r="N19" s="617"/>
      <c r="O19" s="617"/>
      <c r="P19" s="618"/>
      <c r="Q19" s="728">
        <f>SUMIFS(Input[T. - Gross E&amp;G],Input[Institution Name],H19)
+SUMIFS(Input[T. - Gross Desg],Input[Institution Name],H19)</f>
        <v>49165733</v>
      </c>
      <c r="R19" s="729"/>
      <c r="S19" s="730"/>
      <c r="T19" s="728">
        <f>SUMIFS(Input[T. W. - Stat (R AFR) E&amp;G],Input[Institution Name],H19)
+SUMIFS(Input[T. W. - Stat (R AFR) Desg],Input[Institution Name],H19)</f>
        <v>0</v>
      </c>
      <c r="U19" s="729"/>
      <c r="V19" s="729"/>
      <c r="W19" s="729">
        <f>SUMIFS(Input[T. W. - Inst. (R AFR) E&amp;G],Input[Institution Name],H19)
+SUMIFS(Input[T. W. - Inst. (R AFR) Desg],Input[Institution Name],H19)</f>
        <v>0</v>
      </c>
      <c r="X19" s="729"/>
      <c r="Y19" s="730"/>
      <c r="Z19" s="728">
        <f>SUMIFS(Input[T. Exp. - Stat (R AFR) E&amp;G],Input[Institution Name],H19)
+SUMIFS(Input[T. Exp. - Stat (R AFR) Desg],Input[Institution Name],H19)</f>
        <v>-1514035</v>
      </c>
      <c r="AA19" s="729"/>
      <c r="AB19" s="729"/>
      <c r="AC19" s="729">
        <f>SUMIFS(Input[T. Exp. - Inst. (R AFR) E&amp;G],Input[Institution Name],H19)
+SUMIFS(Input[T. Exp. - Inst. (R AFR) Desg],Input[Institution Name],H19)</f>
        <v>0</v>
      </c>
      <c r="AD19" s="729"/>
      <c r="AE19" s="730"/>
      <c r="AF19" s="728">
        <f>SUMIFS(Input[T. Schlr E&amp;G],Input[Institution Name],H19)
+SUMIFS(Input[T. Schlr Desg],Input[Institution Name],H19)
+SUMIFS(Input[T. Schlr Aux],Input[Institution Name],H19)</f>
        <v>-4758057</v>
      </c>
      <c r="AG19" s="729"/>
      <c r="AH19" s="730"/>
      <c r="AI19" s="728">
        <f t="shared" si="0"/>
        <v>42893641</v>
      </c>
      <c r="AJ19" s="729"/>
      <c r="AK19" s="730"/>
      <c r="AL19" s="144"/>
      <c r="AM19" s="728">
        <f>SUMIFS(Input[Fees - Gross E&amp;G],Input[Institution Name],H19)
+SUMIFS(Input[Fees - Gross Desg],Input[Institution Name],H19)
+SUMIFS(Input[Fees - Gross Aux],Input[Institution Name],H19)
+SUMIFS(Input[Fees - Gross R Exp],Input[Institution Name],H19)
+SUMIFS(Input[Fees - Gross Loan],Input[Institution Name],H19)</f>
        <v>21720764</v>
      </c>
      <c r="AN19" s="729"/>
      <c r="AO19" s="730"/>
      <c r="AP19" s="728">
        <f>SUMIFS(Input[F. W. - Stat (R AFR) E&amp;G],Input[Institution Name],H19)
+SUMIFS(Input[F. W. - Stat (R AFR) Desg],Input[Institution Name],H19)
+SUMIFS(Input[F. W. - Stat (R AFR) Aux],Input[Institution Name],H19)</f>
        <v>0</v>
      </c>
      <c r="AQ19" s="729"/>
      <c r="AR19" s="729"/>
      <c r="AS19" s="729">
        <f>SUMIFS(Input[F. W. - Inst. (R AFR) E&amp;G],Input[Institution Name],H18)
+SUMIFS(Input[F. W. - Inst. (R AFR) Desg],Input[Institution Name],H18)
+SUMIFS(Input[F. W. - Inst. (R AFR) Aux],Input[Institution Name],H18)</f>
        <v>0</v>
      </c>
      <c r="AT19" s="729"/>
      <c r="AU19" s="730"/>
      <c r="AV19" s="728">
        <f>SUMIFS(Input[F. Exp. - Stat (R AFR) E&amp;G],Input[Institution Name],H19)
+SUMIFS(Input[F. Exp. - Stat (R AFR) Desg],Input[Institution Name],H19)
+SUMIFS(Input[F. Exp. - Stat (R AFR) Aux],Input[Institution Name],H19)</f>
        <v>-551121</v>
      </c>
      <c r="AW19" s="729"/>
      <c r="AX19" s="729"/>
      <c r="AY19" s="729">
        <f>SUMIFS(Input[F. Exp. - Inst. (R AFR) E&amp;G],Input[Institution Name],H19)
+SUMIFS(Input[F. Exp. - Inst. (R AFR) Desg],Input[Institution Name],H19)
+SUMIFS(Input[F. Exp. - Inst. (R AFR) Aux],Input[Institution Name],H19)</f>
        <v>0</v>
      </c>
      <c r="AZ19" s="729"/>
      <c r="BA19" s="730"/>
      <c r="BB19" s="728">
        <f>SUMIFS(Input[Fee Schlr E&amp;G],Input[Institution Name],H19)
+SUMIFS(Input[Fee Schlr Desg],Input[Institution Name],H19)
+SUMIFS(Input[Fee Schlr Aux],Input[Institution Name],H19)</f>
        <v>-2219804</v>
      </c>
      <c r="BC19" s="729"/>
      <c r="BD19" s="730"/>
      <c r="BE19" s="728">
        <f t="shared" si="1"/>
        <v>18949839</v>
      </c>
      <c r="BF19" s="729"/>
      <c r="BG19" s="730"/>
      <c r="BH19" s="144"/>
      <c r="BI19" s="728">
        <f t="shared" si="2"/>
        <v>61843480</v>
      </c>
      <c r="BJ19" s="729"/>
      <c r="BK19" s="730"/>
      <c r="BL19" s="24"/>
      <c r="BM19" s="24"/>
      <c r="BN19" s="24"/>
    </row>
    <row r="20" spans="1:66" ht="30" customHeight="1" x14ac:dyDescent="0.3">
      <c r="A20" s="24"/>
      <c r="B20" s="24"/>
      <c r="C20" s="24"/>
      <c r="D20" s="24"/>
      <c r="E20" s="24"/>
      <c r="F20" s="24"/>
      <c r="G20" s="24"/>
      <c r="H20" s="579" t="s">
        <v>35</v>
      </c>
      <c r="I20" s="580"/>
      <c r="J20" s="580"/>
      <c r="K20" s="580"/>
      <c r="L20" s="580"/>
      <c r="M20" s="580"/>
      <c r="N20" s="580"/>
      <c r="O20" s="580"/>
      <c r="P20" s="619"/>
      <c r="Q20" s="719">
        <f>SUMIFS(Input[T. - Gross E&amp;G],Input[Institution Name],H20)
+SUMIFS(Input[T. - Gross Desg],Input[Institution Name],H20)</f>
        <v>23730238</v>
      </c>
      <c r="R20" s="720"/>
      <c r="S20" s="721"/>
      <c r="T20" s="719">
        <f>SUMIFS(Input[T. W. - Stat (R AFR) E&amp;G],Input[Institution Name],H20)
+SUMIFS(Input[T. W. - Stat (R AFR) Desg],Input[Institution Name],H20)</f>
        <v>0</v>
      </c>
      <c r="U20" s="720"/>
      <c r="V20" s="720"/>
      <c r="W20" s="720">
        <f>SUMIFS(Input[T. W. - Inst. (R AFR) E&amp;G],Input[Institution Name],H20)
+SUMIFS(Input[T. W. - Inst. (R AFR) Desg],Input[Institution Name],H20)</f>
        <v>0</v>
      </c>
      <c r="X20" s="720"/>
      <c r="Y20" s="721"/>
      <c r="Z20" s="719">
        <f>SUMIFS(Input[T. Exp. - Stat (R AFR) E&amp;G],Input[Institution Name],H20)
+SUMIFS(Input[T. Exp. - Stat (R AFR) Desg],Input[Institution Name],H20)</f>
        <v>0</v>
      </c>
      <c r="AA20" s="720"/>
      <c r="AB20" s="720"/>
      <c r="AC20" s="720">
        <f>SUMIFS(Input[T. Exp. - Inst. (R AFR) E&amp;G],Input[Institution Name],H20)
+SUMIFS(Input[T. Exp. - Inst. (R AFR) Desg],Input[Institution Name],H20)</f>
        <v>0</v>
      </c>
      <c r="AD20" s="720"/>
      <c r="AE20" s="721"/>
      <c r="AF20" s="719">
        <f>SUMIFS(Input[T. Schlr E&amp;G],Input[Institution Name],H20)
+SUMIFS(Input[T. Schlr Desg],Input[Institution Name],H20)
+SUMIFS(Input[T. Schlr Aux],Input[Institution Name],H20)</f>
        <v>-3246701</v>
      </c>
      <c r="AG20" s="720"/>
      <c r="AH20" s="721"/>
      <c r="AI20" s="719">
        <f t="shared" si="0"/>
        <v>20483537</v>
      </c>
      <c r="AJ20" s="720"/>
      <c r="AK20" s="721"/>
      <c r="AL20" s="144"/>
      <c r="AM20" s="719">
        <f>SUMIFS(Input[Fees - Gross E&amp;G],Input[Institution Name],H20)
+SUMIFS(Input[Fees - Gross Desg],Input[Institution Name],H20)
+SUMIFS(Input[Fees - Gross Aux],Input[Institution Name],H20)
+SUMIFS(Input[Fees - Gross R Exp],Input[Institution Name],H20)
+SUMIFS(Input[Fees - Gross Loan],Input[Institution Name],H20)</f>
        <v>11102324</v>
      </c>
      <c r="AN20" s="720"/>
      <c r="AO20" s="721"/>
      <c r="AP20" s="719">
        <f>SUMIFS(Input[F. W. - Stat (R AFR) E&amp;G],Input[Institution Name],H20)
+SUMIFS(Input[F. W. - Stat (R AFR) Desg],Input[Institution Name],H20)
+SUMIFS(Input[F. W. - Stat (R AFR) Aux],Input[Institution Name],H20)</f>
        <v>0</v>
      </c>
      <c r="AQ20" s="720"/>
      <c r="AR20" s="720"/>
      <c r="AS20" s="720">
        <f>SUMIFS(Input[F. W. - Inst. (R AFR) E&amp;G],Input[Institution Name],H19)
+SUMIFS(Input[F. W. - Inst. (R AFR) Desg],Input[Institution Name],H19)
+SUMIFS(Input[F. W. - Inst. (R AFR) Aux],Input[Institution Name],H19)</f>
        <v>0</v>
      </c>
      <c r="AT20" s="720"/>
      <c r="AU20" s="721"/>
      <c r="AV20" s="719">
        <f>SUMIFS(Input[F. Exp. - Stat (R AFR) E&amp;G],Input[Institution Name],H20)
+SUMIFS(Input[F. Exp. - Stat (R AFR) Desg],Input[Institution Name],H20)
+SUMIFS(Input[F. Exp. - Stat (R AFR) Aux],Input[Institution Name],H20)</f>
        <v>0</v>
      </c>
      <c r="AW20" s="720"/>
      <c r="AX20" s="720"/>
      <c r="AY20" s="720">
        <f>SUMIFS(Input[F. Exp. - Inst. (R AFR) E&amp;G],Input[Institution Name],H20)
+SUMIFS(Input[F. Exp. - Inst. (R AFR) Desg],Input[Institution Name],H20)
+SUMIFS(Input[F. Exp. - Inst. (R AFR) Aux],Input[Institution Name],H20)</f>
        <v>0</v>
      </c>
      <c r="AZ20" s="720"/>
      <c r="BA20" s="721"/>
      <c r="BB20" s="719">
        <f>SUMIFS(Input[Fee Schlr E&amp;G],Input[Institution Name],H20)
+SUMIFS(Input[Fee Schlr Desg],Input[Institution Name],H20)
+SUMIFS(Input[Fee Schlr Aux],Input[Institution Name],H20)</f>
        <v>-878215</v>
      </c>
      <c r="BC20" s="720"/>
      <c r="BD20" s="721"/>
      <c r="BE20" s="719">
        <f t="shared" si="1"/>
        <v>10224109</v>
      </c>
      <c r="BF20" s="720"/>
      <c r="BG20" s="721"/>
      <c r="BH20" s="144"/>
      <c r="BI20" s="719">
        <f t="shared" si="2"/>
        <v>30707646</v>
      </c>
      <c r="BJ20" s="720"/>
      <c r="BK20" s="721"/>
      <c r="BL20" s="24"/>
      <c r="BM20" s="24"/>
      <c r="BN20" s="24"/>
    </row>
    <row r="21" spans="1:66" ht="30" customHeight="1" x14ac:dyDescent="0.3">
      <c r="A21" s="24"/>
      <c r="B21" s="24"/>
      <c r="C21" s="24"/>
      <c r="D21" s="24"/>
      <c r="E21" s="24"/>
      <c r="F21" s="24"/>
      <c r="G21" s="24"/>
      <c r="H21" s="616" t="s">
        <v>36</v>
      </c>
      <c r="I21" s="617"/>
      <c r="J21" s="617"/>
      <c r="K21" s="617"/>
      <c r="L21" s="617"/>
      <c r="M21" s="617"/>
      <c r="N21" s="617"/>
      <c r="O21" s="617"/>
      <c r="P21" s="618"/>
      <c r="Q21" s="728">
        <f>SUMIFS(Input[T. - Gross E&amp;G],Input[Institution Name],H21)
+SUMIFS(Input[T. - Gross Desg],Input[Institution Name],H21)</f>
        <v>54150097</v>
      </c>
      <c r="R21" s="729"/>
      <c r="S21" s="730"/>
      <c r="T21" s="728">
        <f>SUMIFS(Input[T. W. - Stat (R AFR) E&amp;G],Input[Institution Name],H21)
+SUMIFS(Input[T. W. - Stat (R AFR) Desg],Input[Institution Name],H21)</f>
        <v>0</v>
      </c>
      <c r="U21" s="729"/>
      <c r="V21" s="729"/>
      <c r="W21" s="729">
        <f>SUMIFS(Input[T. W. - Inst. (R AFR) E&amp;G],Input[Institution Name],H21)
+SUMIFS(Input[T. W. - Inst. (R AFR) Desg],Input[Institution Name],H21)</f>
        <v>0</v>
      </c>
      <c r="X21" s="729"/>
      <c r="Y21" s="730"/>
      <c r="Z21" s="728">
        <f>SUMIFS(Input[T. Exp. - Stat (R AFR) E&amp;G],Input[Institution Name],H21)
+SUMIFS(Input[T. Exp. - Stat (R AFR) Desg],Input[Institution Name],H21)</f>
        <v>-1833171</v>
      </c>
      <c r="AA21" s="729"/>
      <c r="AB21" s="729"/>
      <c r="AC21" s="729">
        <f>SUMIFS(Input[T. Exp. - Inst. (R AFR) E&amp;G],Input[Institution Name],H21)
+SUMIFS(Input[T. Exp. - Inst. (R AFR) Desg],Input[Institution Name],H21)</f>
        <v>0</v>
      </c>
      <c r="AD21" s="729"/>
      <c r="AE21" s="730"/>
      <c r="AF21" s="728">
        <f>SUMIFS(Input[T. Schlr E&amp;G],Input[Institution Name],H21)
+SUMIFS(Input[T. Schlr Desg],Input[Institution Name],H21)
+SUMIFS(Input[T. Schlr Aux],Input[Institution Name],H21)</f>
        <v>-13020137</v>
      </c>
      <c r="AG21" s="729"/>
      <c r="AH21" s="730"/>
      <c r="AI21" s="728">
        <f t="shared" si="0"/>
        <v>39296789</v>
      </c>
      <c r="AJ21" s="729"/>
      <c r="AK21" s="730"/>
      <c r="AL21" s="144"/>
      <c r="AM21" s="728">
        <f>SUMIFS(Input[Fees - Gross E&amp;G],Input[Institution Name],H21)
+SUMIFS(Input[Fees - Gross Desg],Input[Institution Name],H21)
+SUMIFS(Input[Fees - Gross Aux],Input[Institution Name],H21)
+SUMIFS(Input[Fees - Gross R Exp],Input[Institution Name],H21)
+SUMIFS(Input[Fees - Gross Loan],Input[Institution Name],H21)</f>
        <v>30872839</v>
      </c>
      <c r="AN21" s="729"/>
      <c r="AO21" s="730"/>
      <c r="AP21" s="728">
        <f>SUMIFS(Input[F. W. - Stat (R AFR) E&amp;G],Input[Institution Name],H21)
+SUMIFS(Input[F. W. - Stat (R AFR) Desg],Input[Institution Name],H21)
+SUMIFS(Input[F. W. - Stat (R AFR) Aux],Input[Institution Name],H21)</f>
        <v>0</v>
      </c>
      <c r="AQ21" s="729"/>
      <c r="AR21" s="729"/>
      <c r="AS21" s="729">
        <f>SUMIFS(Input[F. W. - Inst. (R AFR) E&amp;G],Input[Institution Name],H20)
+SUMIFS(Input[F. W. - Inst. (R AFR) Desg],Input[Institution Name],H20)
+SUMIFS(Input[F. W. - Inst. (R AFR) Aux],Input[Institution Name],H20)</f>
        <v>0</v>
      </c>
      <c r="AT21" s="729"/>
      <c r="AU21" s="730"/>
      <c r="AV21" s="728">
        <f>SUMIFS(Input[F. Exp. - Stat (R AFR) E&amp;G],Input[Institution Name],H21)
+SUMIFS(Input[F. Exp. - Stat (R AFR) Desg],Input[Institution Name],H21)
+SUMIFS(Input[F. Exp. - Stat (R AFR) Aux],Input[Institution Name],H21)</f>
        <v>-2189495</v>
      </c>
      <c r="AW21" s="729"/>
      <c r="AX21" s="729"/>
      <c r="AY21" s="729">
        <f>SUMIFS(Input[F. Exp. - Inst. (R AFR) E&amp;G],Input[Institution Name],H21)
+SUMIFS(Input[F. Exp. - Inst. (R AFR) Desg],Input[Institution Name],H21)
+SUMIFS(Input[F. Exp. - Inst. (R AFR) Aux],Input[Institution Name],H21)</f>
        <v>0</v>
      </c>
      <c r="AZ21" s="729"/>
      <c r="BA21" s="730"/>
      <c r="BB21" s="728">
        <f>SUMIFS(Input[Fee Schlr E&amp;G],Input[Institution Name],H21)
+SUMIFS(Input[Fee Schlr Desg],Input[Institution Name],H21)
+SUMIFS(Input[Fee Schlr Aux],Input[Institution Name],H21)</f>
        <v>0</v>
      </c>
      <c r="BC21" s="729"/>
      <c r="BD21" s="730"/>
      <c r="BE21" s="728">
        <f t="shared" si="1"/>
        <v>28683344</v>
      </c>
      <c r="BF21" s="729"/>
      <c r="BG21" s="730"/>
      <c r="BH21" s="144"/>
      <c r="BI21" s="728">
        <f t="shared" si="2"/>
        <v>67980133</v>
      </c>
      <c r="BJ21" s="729"/>
      <c r="BK21" s="730"/>
      <c r="BL21" s="24"/>
      <c r="BM21" s="24"/>
      <c r="BN21" s="24"/>
    </row>
    <row r="22" spans="1:66" ht="30" customHeight="1" x14ac:dyDescent="0.3">
      <c r="A22" s="24"/>
      <c r="B22" s="24"/>
      <c r="C22" s="24"/>
      <c r="D22" s="24"/>
      <c r="E22" s="24"/>
      <c r="F22" s="24"/>
      <c r="G22" s="24"/>
      <c r="H22" s="579" t="s">
        <v>37</v>
      </c>
      <c r="I22" s="580"/>
      <c r="J22" s="580"/>
      <c r="K22" s="580"/>
      <c r="L22" s="580"/>
      <c r="M22" s="580"/>
      <c r="N22" s="580"/>
      <c r="O22" s="580"/>
      <c r="P22" s="619"/>
      <c r="Q22" s="719">
        <f>SUMIFS(Input[T. - Gross E&amp;G],Input[Institution Name],H22)
+SUMIFS(Input[T. - Gross Desg],Input[Institution Name],H22)</f>
        <v>17921305</v>
      </c>
      <c r="R22" s="720"/>
      <c r="S22" s="721"/>
      <c r="T22" s="719">
        <f>SUMIFS(Input[T. W. - Stat (R AFR) E&amp;G],Input[Institution Name],H22)
+SUMIFS(Input[T. W. - Stat (R AFR) Desg],Input[Institution Name],H22)</f>
        <v>0</v>
      </c>
      <c r="U22" s="720"/>
      <c r="V22" s="720"/>
      <c r="W22" s="720">
        <f>SUMIFS(Input[T. W. - Inst. (R AFR) E&amp;G],Input[Institution Name],H22)
+SUMIFS(Input[T. W. - Inst. (R AFR) Desg],Input[Institution Name],H22)</f>
        <v>0</v>
      </c>
      <c r="X22" s="720"/>
      <c r="Y22" s="721"/>
      <c r="Z22" s="719">
        <f>SUMIFS(Input[T. Exp. - Stat (R AFR) E&amp;G],Input[Institution Name],H22)
+SUMIFS(Input[T. Exp. - Stat (R AFR) Desg],Input[Institution Name],H22)</f>
        <v>-318444</v>
      </c>
      <c r="AA22" s="720"/>
      <c r="AB22" s="720"/>
      <c r="AC22" s="720">
        <f>SUMIFS(Input[T. Exp. - Inst. (R AFR) E&amp;G],Input[Institution Name],H22)
+SUMIFS(Input[T. Exp. - Inst. (R AFR) Desg],Input[Institution Name],H22)</f>
        <v>0</v>
      </c>
      <c r="AD22" s="720"/>
      <c r="AE22" s="721"/>
      <c r="AF22" s="719">
        <f>SUMIFS(Input[T. Schlr E&amp;G],Input[Institution Name],H22)
+SUMIFS(Input[T. Schlr Desg],Input[Institution Name],H22)
+SUMIFS(Input[T. Schlr Aux],Input[Institution Name],H22)</f>
        <v>-6051019</v>
      </c>
      <c r="AG22" s="720"/>
      <c r="AH22" s="721"/>
      <c r="AI22" s="719">
        <f t="shared" si="0"/>
        <v>11551842</v>
      </c>
      <c r="AJ22" s="720"/>
      <c r="AK22" s="721"/>
      <c r="AL22" s="144"/>
      <c r="AM22" s="719">
        <f>SUMIFS(Input[Fees - Gross E&amp;G],Input[Institution Name],H22)
+SUMIFS(Input[Fees - Gross Desg],Input[Institution Name],H22)
+SUMIFS(Input[Fees - Gross Aux],Input[Institution Name],H22)
+SUMIFS(Input[Fees - Gross R Exp],Input[Institution Name],H22)
+SUMIFS(Input[Fees - Gross Loan],Input[Institution Name],H22)</f>
        <v>9291899</v>
      </c>
      <c r="AN22" s="720"/>
      <c r="AO22" s="721"/>
      <c r="AP22" s="719">
        <f>SUMIFS(Input[F. W. - Stat (R AFR) E&amp;G],Input[Institution Name],H22)
+SUMIFS(Input[F. W. - Stat (R AFR) Desg],Input[Institution Name],H22)
+SUMIFS(Input[F. W. - Stat (R AFR) Aux],Input[Institution Name],H22)</f>
        <v>0</v>
      </c>
      <c r="AQ22" s="720"/>
      <c r="AR22" s="720"/>
      <c r="AS22" s="720">
        <f>SUMIFS(Input[F. W. - Inst. (R AFR) E&amp;G],Input[Institution Name],H21)
+SUMIFS(Input[F. W. - Inst. (R AFR) Desg],Input[Institution Name],H21)
+SUMIFS(Input[F. W. - Inst. (R AFR) Aux],Input[Institution Name],H21)</f>
        <v>0</v>
      </c>
      <c r="AT22" s="720"/>
      <c r="AU22" s="721"/>
      <c r="AV22" s="719">
        <f>SUMIFS(Input[F. Exp. - Stat (R AFR) E&amp;G],Input[Institution Name],H22)
+SUMIFS(Input[F. Exp. - Stat (R AFR) Desg],Input[Institution Name],H22)
+SUMIFS(Input[F. Exp. - Stat (R AFR) Aux],Input[Institution Name],H22)</f>
        <v>-202069</v>
      </c>
      <c r="AW22" s="720"/>
      <c r="AX22" s="720"/>
      <c r="AY22" s="720">
        <f>SUMIFS(Input[F. Exp. - Inst. (R AFR) E&amp;G],Input[Institution Name],H22)
+SUMIFS(Input[F. Exp. - Inst. (R AFR) Desg],Input[Institution Name],H22)
+SUMIFS(Input[F. Exp. - Inst. (R AFR) Aux],Input[Institution Name],H22)</f>
        <v>0</v>
      </c>
      <c r="AZ22" s="720"/>
      <c r="BA22" s="721"/>
      <c r="BB22" s="719">
        <f>SUMIFS(Input[Fee Schlr E&amp;G],Input[Institution Name],H22)
+SUMIFS(Input[Fee Schlr Desg],Input[Institution Name],H22)
+SUMIFS(Input[Fee Schlr Aux],Input[Institution Name],H22)</f>
        <v>0</v>
      </c>
      <c r="BC22" s="720"/>
      <c r="BD22" s="721"/>
      <c r="BE22" s="719">
        <f t="shared" si="1"/>
        <v>9089830</v>
      </c>
      <c r="BF22" s="720"/>
      <c r="BG22" s="721"/>
      <c r="BH22" s="144"/>
      <c r="BI22" s="719">
        <f t="shared" si="2"/>
        <v>20641672</v>
      </c>
      <c r="BJ22" s="720"/>
      <c r="BK22" s="721"/>
      <c r="BL22" s="24"/>
      <c r="BM22" s="24"/>
      <c r="BN22" s="24"/>
    </row>
    <row r="23" spans="1:66" ht="30" customHeight="1" x14ac:dyDescent="0.3">
      <c r="A23" s="24"/>
      <c r="B23" s="24"/>
      <c r="C23" s="24"/>
      <c r="D23" s="24"/>
      <c r="E23" s="24"/>
      <c r="F23" s="24"/>
      <c r="G23" s="24"/>
      <c r="H23" s="616" t="s">
        <v>44</v>
      </c>
      <c r="I23" s="617"/>
      <c r="J23" s="617"/>
      <c r="K23" s="617"/>
      <c r="L23" s="617"/>
      <c r="M23" s="617"/>
      <c r="N23" s="617"/>
      <c r="O23" s="617"/>
      <c r="P23" s="618"/>
      <c r="Q23" s="728">
        <f>SUMIFS(Input[T. - Gross E&amp;G],Input[Institution Name],H23)
+SUMIFS(Input[T. - Gross Desg],Input[Institution Name],H23)</f>
        <v>3838366</v>
      </c>
      <c r="R23" s="729"/>
      <c r="S23" s="730"/>
      <c r="T23" s="728">
        <f>SUMIFS(Input[T. W. - Stat (R AFR) E&amp;G],Input[Institution Name],H23)
+SUMIFS(Input[T. W. - Stat (R AFR) Desg],Input[Institution Name],H23)</f>
        <v>0</v>
      </c>
      <c r="U23" s="729"/>
      <c r="V23" s="729"/>
      <c r="W23" s="729">
        <f>SUMIFS(Input[T. W. - Inst. (R AFR) E&amp;G],Input[Institution Name],H23)
+SUMIFS(Input[T. W. - Inst. (R AFR) Desg],Input[Institution Name],H23)</f>
        <v>0</v>
      </c>
      <c r="X23" s="729"/>
      <c r="Y23" s="730"/>
      <c r="Z23" s="728">
        <f>SUMIFS(Input[T. Exp. - Stat (R AFR) E&amp;G],Input[Institution Name],H23)
+SUMIFS(Input[T. Exp. - Stat (R AFR) Desg],Input[Institution Name],H23)</f>
        <v>-19500</v>
      </c>
      <c r="AA23" s="729"/>
      <c r="AB23" s="729"/>
      <c r="AC23" s="729">
        <f>SUMIFS(Input[T. Exp. - Inst. (R AFR) E&amp;G],Input[Institution Name],H23)
+SUMIFS(Input[T. Exp. - Inst. (R AFR) Desg],Input[Institution Name],H23)</f>
        <v>0</v>
      </c>
      <c r="AD23" s="729"/>
      <c r="AE23" s="730"/>
      <c r="AF23" s="728">
        <f>SUMIFS(Input[T. Schlr E&amp;G],Input[Institution Name],H23)
+SUMIFS(Input[T. Schlr Desg],Input[Institution Name],H23)
+SUMIFS(Input[T. Schlr Aux],Input[Institution Name],H23)</f>
        <v>25012</v>
      </c>
      <c r="AG23" s="729"/>
      <c r="AH23" s="730"/>
      <c r="AI23" s="728">
        <f t="shared" si="0"/>
        <v>3843878</v>
      </c>
      <c r="AJ23" s="729"/>
      <c r="AK23" s="730"/>
      <c r="AL23" s="144"/>
      <c r="AM23" s="728">
        <f>SUMIFS(Input[Fees - Gross E&amp;G],Input[Institution Name],H23)
+SUMIFS(Input[Fees - Gross Desg],Input[Institution Name],H23)
+SUMIFS(Input[Fees - Gross Aux],Input[Institution Name],H23)
+SUMIFS(Input[Fees - Gross R Exp],Input[Institution Name],H23)
+SUMIFS(Input[Fees - Gross Loan],Input[Institution Name],H23)</f>
        <v>1008739</v>
      </c>
      <c r="AN23" s="729"/>
      <c r="AO23" s="730"/>
      <c r="AP23" s="728">
        <f>SUMIFS(Input[F. W. - Stat (R AFR) E&amp;G],Input[Institution Name],H23)
+SUMIFS(Input[F. W. - Stat (R AFR) Desg],Input[Institution Name],H23)
+SUMIFS(Input[F. W. - Stat (R AFR) Aux],Input[Institution Name],H23)</f>
        <v>0</v>
      </c>
      <c r="AQ23" s="729"/>
      <c r="AR23" s="729"/>
      <c r="AS23" s="729">
        <f>SUMIFS(Input[F. W. - Inst. (R AFR) E&amp;G],Input[Institution Name],H22)
+SUMIFS(Input[F. W. - Inst. (R AFR) Desg],Input[Institution Name],H22)
+SUMIFS(Input[F. W. - Inst. (R AFR) Aux],Input[Institution Name],H22)</f>
        <v>0</v>
      </c>
      <c r="AT23" s="729"/>
      <c r="AU23" s="730"/>
      <c r="AV23" s="728">
        <f>SUMIFS(Input[F. Exp. - Stat (R AFR) E&amp;G],Input[Institution Name],H23)
+SUMIFS(Input[F. Exp. - Stat (R AFR) Desg],Input[Institution Name],H23)
+SUMIFS(Input[F. Exp. - Stat (R AFR) Aux],Input[Institution Name],H23)</f>
        <v>-3654</v>
      </c>
      <c r="AW23" s="729"/>
      <c r="AX23" s="729"/>
      <c r="AY23" s="729">
        <f>SUMIFS(Input[F. Exp. - Inst. (R AFR) E&amp;G],Input[Institution Name],H23)
+SUMIFS(Input[F. Exp. - Inst. (R AFR) Desg],Input[Institution Name],H23)
+SUMIFS(Input[F. Exp. - Inst. (R AFR) Aux],Input[Institution Name],H23)</f>
        <v>0</v>
      </c>
      <c r="AZ23" s="729"/>
      <c r="BA23" s="730"/>
      <c r="BB23" s="728">
        <f>SUMIFS(Input[Fee Schlr E&amp;G],Input[Institution Name],H23)
+SUMIFS(Input[Fee Schlr Desg],Input[Institution Name],H23)
+SUMIFS(Input[Fee Schlr Aux],Input[Institution Name],H23)</f>
        <v>-1858</v>
      </c>
      <c r="BC23" s="729"/>
      <c r="BD23" s="730"/>
      <c r="BE23" s="728">
        <f t="shared" si="1"/>
        <v>1003227</v>
      </c>
      <c r="BF23" s="729"/>
      <c r="BG23" s="730"/>
      <c r="BH23" s="144"/>
      <c r="BI23" s="728">
        <f t="shared" si="2"/>
        <v>4847105</v>
      </c>
      <c r="BJ23" s="729"/>
      <c r="BK23" s="730"/>
      <c r="BL23" s="24"/>
      <c r="BM23" s="24"/>
      <c r="BN23" s="24"/>
    </row>
    <row r="24" spans="1:66" ht="30" customHeight="1" thickBot="1" x14ac:dyDescent="0.35">
      <c r="A24" s="24"/>
      <c r="B24" s="24"/>
      <c r="C24" s="24"/>
      <c r="D24" s="24"/>
      <c r="E24" s="24"/>
      <c r="F24" s="24"/>
      <c r="G24" s="24"/>
      <c r="H24" s="631" t="s">
        <v>45</v>
      </c>
      <c r="I24" s="632"/>
      <c r="J24" s="632"/>
      <c r="K24" s="632"/>
      <c r="L24" s="632"/>
      <c r="M24" s="632"/>
      <c r="N24" s="632"/>
      <c r="O24" s="632"/>
      <c r="P24" s="767"/>
      <c r="Q24" s="764">
        <f>SUMIFS(Input[T. - Gross E&amp;G],Input[Institution Name],H24)
+SUMIFS(Input[T. - Gross Desg],Input[Institution Name],H24)</f>
        <v>15104488</v>
      </c>
      <c r="R24" s="765"/>
      <c r="S24" s="766"/>
      <c r="T24" s="764">
        <f>SUMIFS(Input[T. W. - Stat (R AFR) E&amp;G],Input[Institution Name],H24)
+SUMIFS(Input[T. W. - Stat (R AFR) Desg],Input[Institution Name],H24)</f>
        <v>0</v>
      </c>
      <c r="U24" s="765"/>
      <c r="V24" s="765"/>
      <c r="W24" s="765">
        <f>SUMIFS(Input[T. W. - Inst. (R AFR) E&amp;G],Input[Institution Name],H24)
+SUMIFS(Input[T. W. - Inst. (R AFR) Desg],Input[Institution Name],H24)</f>
        <v>0</v>
      </c>
      <c r="X24" s="765"/>
      <c r="Y24" s="766"/>
      <c r="Z24" s="764">
        <f>SUMIFS(Input[T. Exp. - Stat (R AFR) E&amp;G],Input[Institution Name],H24)
+SUMIFS(Input[T. Exp. - Stat (R AFR) Desg],Input[Institution Name],H24)</f>
        <v>0</v>
      </c>
      <c r="AA24" s="765"/>
      <c r="AB24" s="765"/>
      <c r="AC24" s="765">
        <f>SUMIFS(Input[T. Exp. - Inst. (R AFR) E&amp;G],Input[Institution Name],H24)
+SUMIFS(Input[T. Exp. - Inst. (R AFR) Desg],Input[Institution Name],H24)</f>
        <v>0</v>
      </c>
      <c r="AD24" s="765"/>
      <c r="AE24" s="766"/>
      <c r="AF24" s="764">
        <f>SUMIFS(Input[T. Schlr E&amp;G],Input[Institution Name],H24)
+SUMIFS(Input[T. Schlr Desg],Input[Institution Name],H24)
+SUMIFS(Input[T. Schlr Aux],Input[Institution Name],H24)</f>
        <v>-606930</v>
      </c>
      <c r="AG24" s="765"/>
      <c r="AH24" s="766"/>
      <c r="AI24" s="764">
        <f t="shared" si="0"/>
        <v>14497558</v>
      </c>
      <c r="AJ24" s="765"/>
      <c r="AK24" s="766"/>
      <c r="AL24" s="144"/>
      <c r="AM24" s="764">
        <f>SUMIFS(Input[Fees - Gross E&amp;G],Input[Institution Name],H24)
+SUMIFS(Input[Fees - Gross Desg],Input[Institution Name],H24)
+SUMIFS(Input[Fees - Gross Aux],Input[Institution Name],H24)
+SUMIFS(Input[Fees - Gross R Exp],Input[Institution Name],H24)
+SUMIFS(Input[Fees - Gross Loan],Input[Institution Name],H24)</f>
        <v>0</v>
      </c>
      <c r="AN24" s="765"/>
      <c r="AO24" s="766"/>
      <c r="AP24" s="764">
        <f>SUMIFS(Input[F. W. - Stat (R AFR) E&amp;G],Input[Institution Name],H24)
+SUMIFS(Input[F. W. - Stat (R AFR) Desg],Input[Institution Name],H24)
+SUMIFS(Input[F. W. - Stat (R AFR) Aux],Input[Institution Name],H24)</f>
        <v>0</v>
      </c>
      <c r="AQ24" s="765"/>
      <c r="AR24" s="765"/>
      <c r="AS24" s="765">
        <f>SUMIFS(Input[F. W. - Inst. (R AFR) E&amp;G],Input[Institution Name],H23)
+SUMIFS(Input[F. W. - Inst. (R AFR) Desg],Input[Institution Name],H23)
+SUMIFS(Input[F. W. - Inst. (R AFR) Aux],Input[Institution Name],H23)</f>
        <v>0</v>
      </c>
      <c r="AT24" s="765"/>
      <c r="AU24" s="766"/>
      <c r="AV24" s="764">
        <f>SUMIFS(Input[F. Exp. - Stat (R AFR) E&amp;G],Input[Institution Name],H24)
+SUMIFS(Input[F. Exp. - Stat (R AFR) Desg],Input[Institution Name],H24)
+SUMIFS(Input[F. Exp. - Stat (R AFR) Aux],Input[Institution Name],H24)</f>
        <v>0</v>
      </c>
      <c r="AW24" s="765"/>
      <c r="AX24" s="765"/>
      <c r="AY24" s="765">
        <f>SUMIFS(Input[F. Exp. - Inst. (R AFR) E&amp;G],Input[Institution Name],H24)
+SUMIFS(Input[F. Exp. - Inst. (R AFR) Desg],Input[Institution Name],H24)
+SUMIFS(Input[F. Exp. - Inst. (R AFR) Aux],Input[Institution Name],H24)</f>
        <v>0</v>
      </c>
      <c r="AZ24" s="765"/>
      <c r="BA24" s="766"/>
      <c r="BB24" s="764">
        <f>SUMIFS(Input[Fee Schlr E&amp;G],Input[Institution Name],H24)
+SUMIFS(Input[Fee Schlr Desg],Input[Institution Name],H24)
+SUMIFS(Input[Fee Schlr Aux],Input[Institution Name],H24)</f>
        <v>0</v>
      </c>
      <c r="BC24" s="765"/>
      <c r="BD24" s="766"/>
      <c r="BE24" s="764">
        <f t="shared" si="1"/>
        <v>0</v>
      </c>
      <c r="BF24" s="765"/>
      <c r="BG24" s="766"/>
      <c r="BH24" s="144"/>
      <c r="BI24" s="764">
        <f t="shared" si="2"/>
        <v>14497558</v>
      </c>
      <c r="BJ24" s="765"/>
      <c r="BK24" s="766"/>
      <c r="BL24" s="24"/>
      <c r="BM24" s="24"/>
      <c r="BN24" s="24"/>
    </row>
    <row r="25" spans="1:66" ht="30" customHeight="1" thickTop="1" x14ac:dyDescent="0.3">
      <c r="A25" s="24"/>
      <c r="B25" s="24"/>
      <c r="C25" s="24"/>
      <c r="D25" s="24"/>
      <c r="E25" s="24"/>
      <c r="F25" s="24"/>
      <c r="G25" s="24"/>
      <c r="H25" s="758"/>
      <c r="I25" s="759"/>
      <c r="J25" s="759"/>
      <c r="K25" s="759"/>
      <c r="L25" s="759"/>
      <c r="M25" s="759"/>
      <c r="N25" s="759"/>
      <c r="O25" s="759"/>
      <c r="P25" s="760"/>
      <c r="Q25" s="755">
        <f>SUM(Q11:S24)</f>
        <v>391868401</v>
      </c>
      <c r="R25" s="756"/>
      <c r="S25" s="757"/>
      <c r="T25" s="755">
        <f>SUM(T11:V24)</f>
        <v>0</v>
      </c>
      <c r="U25" s="756"/>
      <c r="V25" s="756"/>
      <c r="W25" s="756">
        <f>SUM(W11:Y24)</f>
        <v>0</v>
      </c>
      <c r="X25" s="756"/>
      <c r="Y25" s="757"/>
      <c r="Z25" s="755">
        <f>SUM(Z11:AB24)</f>
        <v>-8193174</v>
      </c>
      <c r="AA25" s="756"/>
      <c r="AB25" s="756"/>
      <c r="AC25" s="756">
        <f>SUM(AC11:AE24)</f>
        <v>-43946</v>
      </c>
      <c r="AD25" s="756"/>
      <c r="AE25" s="757"/>
      <c r="AF25" s="755">
        <f>SUM(AF11:AH24)</f>
        <v>-53811069</v>
      </c>
      <c r="AG25" s="756"/>
      <c r="AH25" s="757"/>
      <c r="AI25" s="755">
        <f>SUM(AI11:AK24)</f>
        <v>329820212</v>
      </c>
      <c r="AJ25" s="756"/>
      <c r="AK25" s="757"/>
      <c r="AL25" s="39"/>
      <c r="AM25" s="755">
        <f>SUM(AM11:AO24)</f>
        <v>117538234</v>
      </c>
      <c r="AN25" s="756"/>
      <c r="AO25" s="757"/>
      <c r="AP25" s="755">
        <f>SUM(AP11:AR24)</f>
        <v>0</v>
      </c>
      <c r="AQ25" s="756"/>
      <c r="AR25" s="756"/>
      <c r="AS25" s="756">
        <f>SUM(AS11:AU24)</f>
        <v>0</v>
      </c>
      <c r="AT25" s="756"/>
      <c r="AU25" s="757"/>
      <c r="AV25" s="755">
        <f>SUM(AV11:AX24)</f>
        <v>-3487495</v>
      </c>
      <c r="AW25" s="756"/>
      <c r="AX25" s="756"/>
      <c r="AY25" s="756">
        <f>SUM(AY11:BA24)</f>
        <v>0</v>
      </c>
      <c r="AZ25" s="756"/>
      <c r="BA25" s="757"/>
      <c r="BB25" s="755">
        <f>SUM(BB11:BD24)</f>
        <v>-8306866</v>
      </c>
      <c r="BC25" s="756"/>
      <c r="BD25" s="757"/>
      <c r="BE25" s="755">
        <f>SUM(BE11:BG24)</f>
        <v>105743873</v>
      </c>
      <c r="BF25" s="756"/>
      <c r="BG25" s="757"/>
      <c r="BH25" s="39"/>
      <c r="BI25" s="752">
        <f>SUM(BI11:BK24)</f>
        <v>435564085</v>
      </c>
      <c r="BJ25" s="753"/>
      <c r="BK25" s="754"/>
      <c r="BL25" s="24"/>
      <c r="BM25" s="24"/>
      <c r="BN25" s="24"/>
    </row>
    <row r="26" spans="1:66" ht="30" customHeight="1" x14ac:dyDescent="0.3">
      <c r="A26" s="24"/>
      <c r="B26" s="24"/>
      <c r="C26" s="24"/>
      <c r="D26" s="24"/>
      <c r="E26" s="24"/>
      <c r="F26" s="24"/>
      <c r="G26" s="24"/>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row>
    <row r="27" spans="1:66" ht="30"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row>
    <row r="28" spans="1:66" ht="30" customHeight="1" x14ac:dyDescent="0.3">
      <c r="A28" s="24"/>
      <c r="B28" s="24"/>
      <c r="C28" s="24"/>
      <c r="D28" s="24"/>
      <c r="E28" s="24"/>
      <c r="F28" s="24"/>
      <c r="G28" s="24"/>
      <c r="H28" s="718" t="s">
        <v>130</v>
      </c>
      <c r="I28" s="718"/>
      <c r="J28" s="718"/>
      <c r="K28" s="718"/>
      <c r="L28" s="718"/>
      <c r="M28" s="718"/>
      <c r="N28" s="718"/>
      <c r="O28" s="718"/>
      <c r="P28" s="718"/>
      <c r="Q28" s="718"/>
      <c r="R28" s="718"/>
      <c r="S28" s="718"/>
      <c r="T28" s="718"/>
      <c r="U28" s="718"/>
      <c r="V28" s="718"/>
      <c r="W28" s="718"/>
      <c r="X28" s="718"/>
      <c r="Y28" s="718"/>
      <c r="Z28" s="718"/>
      <c r="AA28" s="718"/>
      <c r="AB28" s="718"/>
      <c r="AC28" s="718"/>
      <c r="AD28" s="718"/>
      <c r="AE28" s="718"/>
      <c r="AF28" s="718"/>
      <c r="AG28" s="718"/>
      <c r="AH28" s="718"/>
      <c r="AI28" s="718"/>
      <c r="AJ28" s="718"/>
      <c r="AK28" s="718"/>
      <c r="AL28" s="718"/>
      <c r="AM28" s="718"/>
      <c r="AN28" s="718"/>
      <c r="AO28" s="718"/>
      <c r="AP28" s="718"/>
      <c r="AQ28" s="718"/>
      <c r="AR28" s="718"/>
      <c r="AS28" s="718"/>
      <c r="AT28" s="718"/>
      <c r="AU28" s="718"/>
      <c r="AV28" s="718"/>
      <c r="AW28" s="718"/>
      <c r="AX28" s="718"/>
      <c r="AY28" s="718"/>
      <c r="AZ28" s="718"/>
      <c r="BA28" s="718"/>
      <c r="BB28" s="718"/>
      <c r="BC28" s="718"/>
      <c r="BD28" s="718"/>
      <c r="BE28" s="718"/>
      <c r="BF28" s="718"/>
      <c r="BG28" s="718"/>
      <c r="BH28" s="718"/>
      <c r="BI28" s="718"/>
      <c r="BJ28" s="718"/>
      <c r="BK28" s="718"/>
      <c r="BL28" s="24"/>
      <c r="BM28" s="24"/>
      <c r="BN28" s="24"/>
    </row>
    <row r="29" spans="1:66" ht="30" customHeight="1" x14ac:dyDescent="0.3">
      <c r="A29" s="24"/>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row>
    <row r="30" spans="1:66" s="38" customFormat="1" ht="30" customHeight="1" x14ac:dyDescent="0.3">
      <c r="A30" s="24"/>
      <c r="B30" s="24"/>
      <c r="C30" s="24"/>
      <c r="D30" s="24"/>
      <c r="E30" s="24"/>
      <c r="F30" s="24"/>
      <c r="G30" s="24"/>
      <c r="H30" s="50"/>
      <c r="I30" s="50"/>
      <c r="J30" s="50"/>
      <c r="K30" s="50"/>
      <c r="L30" s="50"/>
      <c r="M30" s="50"/>
      <c r="N30" s="50"/>
      <c r="O30" s="50"/>
      <c r="P30" s="50"/>
      <c r="Q30" s="736" t="s">
        <v>1014</v>
      </c>
      <c r="R30" s="736"/>
      <c r="S30" s="736"/>
      <c r="T30" s="736"/>
      <c r="U30" s="736"/>
      <c r="V30" s="736"/>
      <c r="W30" s="736"/>
      <c r="X30" s="736"/>
      <c r="Y30" s="736"/>
      <c r="Z30" s="736"/>
      <c r="AA30" s="736"/>
      <c r="AB30" s="736"/>
      <c r="AC30" s="736"/>
      <c r="AD30" s="736"/>
      <c r="AE30" s="736"/>
      <c r="AF30" s="736"/>
      <c r="AG30" s="736"/>
      <c r="AH30" s="736"/>
      <c r="AI30" s="736"/>
      <c r="AJ30" s="736"/>
      <c r="AK30" s="736"/>
      <c r="AL30" s="50"/>
      <c r="AM30" s="736" t="s">
        <v>1017</v>
      </c>
      <c r="AN30" s="736"/>
      <c r="AO30" s="736"/>
      <c r="AP30" s="736"/>
      <c r="AQ30" s="736"/>
      <c r="AR30" s="736"/>
      <c r="AS30" s="736"/>
      <c r="AT30" s="736"/>
      <c r="AU30" s="736"/>
      <c r="AV30" s="736"/>
      <c r="AW30" s="736"/>
      <c r="AX30" s="736"/>
      <c r="AY30" s="736"/>
      <c r="AZ30" s="736"/>
      <c r="BA30" s="736"/>
      <c r="BB30" s="736"/>
      <c r="BC30" s="736"/>
      <c r="BD30" s="736"/>
      <c r="BE30" s="736"/>
      <c r="BF30" s="736"/>
      <c r="BG30" s="736"/>
      <c r="BH30" s="50"/>
      <c r="BI30" s="50"/>
      <c r="BJ30" s="50"/>
      <c r="BK30" s="50"/>
      <c r="BL30" s="37"/>
      <c r="BM30" s="37"/>
      <c r="BN30" s="37"/>
    </row>
    <row r="31" spans="1:66" s="38" customFormat="1" ht="30" customHeight="1" x14ac:dyDescent="0.3">
      <c r="A31" s="24"/>
      <c r="B31" s="24"/>
      <c r="C31" s="24"/>
      <c r="D31" s="24"/>
      <c r="E31" s="24"/>
      <c r="F31" s="24"/>
      <c r="G31" s="24"/>
      <c r="H31" s="50"/>
      <c r="I31" s="50"/>
      <c r="J31" s="50"/>
      <c r="K31" s="50"/>
      <c r="L31" s="50"/>
      <c r="M31" s="50"/>
      <c r="N31" s="50"/>
      <c r="O31" s="50"/>
      <c r="P31" s="50"/>
      <c r="Q31" s="734"/>
      <c r="R31" s="734"/>
      <c r="S31" s="734"/>
      <c r="T31" s="735" t="s">
        <v>1015</v>
      </c>
      <c r="U31" s="735"/>
      <c r="V31" s="735"/>
      <c r="W31" s="735"/>
      <c r="X31" s="735"/>
      <c r="Y31" s="735"/>
      <c r="Z31" s="735" t="s">
        <v>1016</v>
      </c>
      <c r="AA31" s="735"/>
      <c r="AB31" s="735"/>
      <c r="AC31" s="735"/>
      <c r="AD31" s="735"/>
      <c r="AE31" s="735"/>
      <c r="AF31" s="734"/>
      <c r="AG31" s="734"/>
      <c r="AH31" s="734"/>
      <c r="AI31" s="734"/>
      <c r="AJ31" s="734"/>
      <c r="AK31" s="734"/>
      <c r="AL31" s="50"/>
      <c r="AM31" s="734"/>
      <c r="AN31" s="734"/>
      <c r="AO31" s="734"/>
      <c r="AP31" s="735" t="s">
        <v>1015</v>
      </c>
      <c r="AQ31" s="735"/>
      <c r="AR31" s="735"/>
      <c r="AS31" s="735"/>
      <c r="AT31" s="735"/>
      <c r="AU31" s="735"/>
      <c r="AV31" s="735" t="s">
        <v>1016</v>
      </c>
      <c r="AW31" s="735"/>
      <c r="AX31" s="735"/>
      <c r="AY31" s="735"/>
      <c r="AZ31" s="735"/>
      <c r="BA31" s="735"/>
      <c r="BB31" s="734"/>
      <c r="BC31" s="734"/>
      <c r="BD31" s="734"/>
      <c r="BE31" s="734"/>
      <c r="BF31" s="734"/>
      <c r="BG31" s="734"/>
      <c r="BH31" s="50"/>
      <c r="BI31" s="50"/>
      <c r="BJ31" s="50"/>
      <c r="BK31" s="50"/>
      <c r="BL31" s="37"/>
      <c r="BM31" s="37"/>
      <c r="BN31" s="37"/>
    </row>
    <row r="32" spans="1:66" ht="30" customHeight="1" x14ac:dyDescent="0.3">
      <c r="A32" s="24"/>
      <c r="B32" s="24"/>
      <c r="C32" s="24"/>
      <c r="D32" s="24"/>
      <c r="E32" s="24"/>
      <c r="F32" s="24"/>
      <c r="G32" s="24"/>
      <c r="H32" s="768" t="s">
        <v>0</v>
      </c>
      <c r="I32" s="769"/>
      <c r="J32" s="769"/>
      <c r="K32" s="769"/>
      <c r="L32" s="769"/>
      <c r="M32" s="769"/>
      <c r="N32" s="769"/>
      <c r="O32" s="769"/>
      <c r="P32" s="769"/>
      <c r="Q32" s="748" t="s">
        <v>1010</v>
      </c>
      <c r="R32" s="746"/>
      <c r="S32" s="746"/>
      <c r="T32" s="745" t="s">
        <v>1011</v>
      </c>
      <c r="U32" s="737"/>
      <c r="V32" s="737"/>
      <c r="W32" s="737" t="s">
        <v>66</v>
      </c>
      <c r="X32" s="737"/>
      <c r="Y32" s="738"/>
      <c r="Z32" s="745" t="s">
        <v>1011</v>
      </c>
      <c r="AA32" s="737"/>
      <c r="AB32" s="737"/>
      <c r="AC32" s="737" t="s">
        <v>66</v>
      </c>
      <c r="AD32" s="737"/>
      <c r="AE32" s="738"/>
      <c r="AF32" s="746" t="s">
        <v>1012</v>
      </c>
      <c r="AG32" s="746"/>
      <c r="AH32" s="747"/>
      <c r="AI32" s="748" t="s">
        <v>1013</v>
      </c>
      <c r="AJ32" s="746"/>
      <c r="AK32" s="747"/>
      <c r="AL32" s="41"/>
      <c r="AM32" s="748" t="s">
        <v>1010</v>
      </c>
      <c r="AN32" s="746"/>
      <c r="AO32" s="746"/>
      <c r="AP32" s="745" t="s">
        <v>1011</v>
      </c>
      <c r="AQ32" s="737"/>
      <c r="AR32" s="737"/>
      <c r="AS32" s="737" t="s">
        <v>66</v>
      </c>
      <c r="AT32" s="737"/>
      <c r="AU32" s="738"/>
      <c r="AV32" s="745" t="s">
        <v>1011</v>
      </c>
      <c r="AW32" s="737"/>
      <c r="AX32" s="737"/>
      <c r="AY32" s="737" t="s">
        <v>66</v>
      </c>
      <c r="AZ32" s="737"/>
      <c r="BA32" s="738"/>
      <c r="BB32" s="746" t="s">
        <v>1012</v>
      </c>
      <c r="BC32" s="746"/>
      <c r="BD32" s="747"/>
      <c r="BE32" s="748" t="s">
        <v>1013</v>
      </c>
      <c r="BF32" s="746"/>
      <c r="BG32" s="747"/>
      <c r="BH32" s="41"/>
      <c r="BI32" s="748" t="s">
        <v>1018</v>
      </c>
      <c r="BJ32" s="746"/>
      <c r="BK32" s="747"/>
      <c r="BL32" s="24"/>
      <c r="BM32" s="24"/>
      <c r="BN32" s="24"/>
    </row>
    <row r="33" spans="1:66" ht="30" customHeight="1" x14ac:dyDescent="0.3">
      <c r="A33" s="24"/>
      <c r="B33" s="24"/>
      <c r="C33" s="24"/>
      <c r="D33" s="24"/>
      <c r="E33" s="24"/>
      <c r="F33" s="24"/>
      <c r="G33" s="24"/>
      <c r="H33" s="620" t="s">
        <v>38</v>
      </c>
      <c r="I33" s="621"/>
      <c r="J33" s="621"/>
      <c r="K33" s="621"/>
      <c r="L33" s="621"/>
      <c r="M33" s="621"/>
      <c r="N33" s="621"/>
      <c r="O33" s="621"/>
      <c r="P33" s="622"/>
      <c r="Q33" s="761">
        <f>SUMIFS(Input[T. - Gross E&amp;G],Input[Institution Name],H33)
+SUMIFS(Input[T. - Gross Desg],Input[Institution Name],H33)</f>
        <v>7094171</v>
      </c>
      <c r="R33" s="762"/>
      <c r="S33" s="763"/>
      <c r="T33" s="761">
        <f>SUMIFS(Input[T. W. - Stat (R AFR) E&amp;G],Input[Institution Name],H33)
+SUMIFS(Input[T. W. - Stat (R AFR) Desg],Input[Institution Name],H33)</f>
        <v>0</v>
      </c>
      <c r="U33" s="762"/>
      <c r="V33" s="762"/>
      <c r="W33" s="762">
        <f>SUMIFS(Input[T. W. - Inst. (R AFR) E&amp;G],Input[Institution Name],H33)
+SUMIFS(Input[T. W. - Inst. (R AFR) Desg],Input[Institution Name],H33)</f>
        <v>0</v>
      </c>
      <c r="X33" s="762"/>
      <c r="Y33" s="763"/>
      <c r="Z33" s="761">
        <f>SUMIFS(Input[T. Exp. - Stat (R AFR) E&amp;G],Input[Institution Name],H33)
+SUMIFS(Input[T. Exp. - Stat (R AFR) Desg],Input[Institution Name],H33)</f>
        <v>-213414</v>
      </c>
      <c r="AA33" s="762"/>
      <c r="AB33" s="762"/>
      <c r="AC33" s="762">
        <f>SUMIFS(Input[T. Exp. - Inst. (R AFR) E&amp;G],Input[Institution Name],H33)
+SUMIFS(Input[T. Exp. - Inst. (R AFR) Desg],Input[Institution Name],H33)</f>
        <v>-138182</v>
      </c>
      <c r="AD33" s="762"/>
      <c r="AE33" s="763"/>
      <c r="AF33" s="761">
        <f>SUMIFS(Input[T. Schlr E&amp;G],Input[Institution Name],H33)
+SUMIFS(Input[T. Schlr Desg],Input[Institution Name],H33)
+SUMIFS(Input[T. Schlr Aux],Input[Institution Name],H33)</f>
        <v>-3668907</v>
      </c>
      <c r="AG33" s="762"/>
      <c r="AH33" s="763"/>
      <c r="AI33" s="761">
        <f>SUM(Q33:AH33)</f>
        <v>3073668</v>
      </c>
      <c r="AJ33" s="762"/>
      <c r="AK33" s="763"/>
      <c r="AL33" s="144"/>
      <c r="AM33" s="761">
        <f>SUMIFS(Input[Fees - Gross E&amp;G],Input[Institution Name],H33)
+SUMIFS(Input[Fees - Gross Desg],Input[Institution Name],H33)
+SUMIFS(Input[Fees - Gross Aux],Input[Institution Name],H33)
+SUMIFS(Input[Fees - Gross R Exp],Input[Institution Name],H33)
+SUMIFS(Input[Fees - Gross Loan],Input[Institution Name],H33)</f>
        <v>4045154</v>
      </c>
      <c r="AN33" s="762"/>
      <c r="AO33" s="763"/>
      <c r="AP33" s="761">
        <f>SUMIFS(Input[F. W. - Stat (R AFR) E&amp;G],Input[Institution Name],H33)
+SUMIFS(Input[F. W. - Stat (R AFR) Desg],Input[Institution Name],H33)
+SUMIFS(Input[F. W. - Stat (R AFR) Aux],Input[Institution Name],H33)</f>
        <v>0</v>
      </c>
      <c r="AQ33" s="762"/>
      <c r="AR33" s="762"/>
      <c r="AS33" s="762">
        <f>SUMIFS(Input[F. W. - Inst. (R AFR) E&amp;G],Input[Institution Name],H32)
+SUMIFS(Input[F. W. - Inst. (R AFR) Desg],Input[Institution Name],H32)
+SUMIFS(Input[F. W. - Inst. (R AFR) Aux],Input[Institution Name],H32)</f>
        <v>0</v>
      </c>
      <c r="AT33" s="762"/>
      <c r="AU33" s="763"/>
      <c r="AV33" s="761">
        <f>SUMIFS(Input[F. Exp. - Stat (R AFR) E&amp;G],Input[Institution Name],H33)
+SUMIFS(Input[F. Exp. - Stat (R AFR) Desg],Input[Institution Name],H33)
+SUMIFS(Input[F. Exp. - Stat (R AFR) Aux],Input[Institution Name],H33)</f>
        <v>-4799</v>
      </c>
      <c r="AW33" s="762"/>
      <c r="AX33" s="762"/>
      <c r="AY33" s="762">
        <f>SUMIFS(Input[F. Exp. - Inst. (R AFR) E&amp;G],Input[Institution Name],H33)
+SUMIFS(Input[F. Exp. - Inst. (R AFR) Desg],Input[Institution Name],H33)
+SUMIFS(Input[F. Exp. - Inst. (R AFR) Aux],Input[Institution Name],H33)</f>
        <v>-215463</v>
      </c>
      <c r="AZ33" s="762"/>
      <c r="BA33" s="763"/>
      <c r="BB33" s="761">
        <f>SUMIFS(Input[Fee Schlr E&amp;G],Input[Institution Name],H33)
+SUMIFS(Input[Fee Schlr Desg],Input[Institution Name],H33)
+SUMIFS(Input[Fee Schlr Aux],Input[Institution Name],H33)</f>
        <v>-2201588</v>
      </c>
      <c r="BC33" s="762"/>
      <c r="BD33" s="763"/>
      <c r="BE33" s="761">
        <f t="shared" ref="BE33:BE41" si="3">SUM(AM33:BD33)</f>
        <v>1623304</v>
      </c>
      <c r="BF33" s="762"/>
      <c r="BG33" s="763"/>
      <c r="BH33" s="144"/>
      <c r="BI33" s="761">
        <f t="shared" ref="BI33:BI41" si="4">AI33+BE33</f>
        <v>4696972</v>
      </c>
      <c r="BJ33" s="762"/>
      <c r="BK33" s="763"/>
      <c r="BL33" s="24"/>
      <c r="BM33" s="24"/>
      <c r="BN33" s="24"/>
    </row>
    <row r="34" spans="1:66" ht="30" customHeight="1" x14ac:dyDescent="0.3">
      <c r="A34" s="24"/>
      <c r="B34" s="24"/>
      <c r="C34" s="24"/>
      <c r="D34" s="24"/>
      <c r="E34" s="24"/>
      <c r="F34" s="24"/>
      <c r="G34" s="24"/>
      <c r="H34" s="579" t="s">
        <v>39</v>
      </c>
      <c r="I34" s="580"/>
      <c r="J34" s="580"/>
      <c r="K34" s="580"/>
      <c r="L34" s="580"/>
      <c r="M34" s="580"/>
      <c r="N34" s="580"/>
      <c r="O34" s="580"/>
      <c r="P34" s="619"/>
      <c r="Q34" s="719">
        <f>SUMIFS(Input[T. - Gross E&amp;G],Input[Institution Name],H34)
+SUMIFS(Input[T. - Gross Desg],Input[Institution Name],H34)</f>
        <v>4094025</v>
      </c>
      <c r="R34" s="720"/>
      <c r="S34" s="721"/>
      <c r="T34" s="719">
        <f>SUMIFS(Input[T. W. - Stat (R AFR) E&amp;G],Input[Institution Name],H34)
+SUMIFS(Input[T. W. - Stat (R AFR) Desg],Input[Institution Name],H34)</f>
        <v>0</v>
      </c>
      <c r="U34" s="720"/>
      <c r="V34" s="720"/>
      <c r="W34" s="720">
        <f>SUMIFS(Input[T. W. - Inst. (R AFR) E&amp;G],Input[Institution Name],H34)
+SUMIFS(Input[T. W. - Inst. (R AFR) Desg],Input[Institution Name],H34)</f>
        <v>0</v>
      </c>
      <c r="X34" s="720"/>
      <c r="Y34" s="721"/>
      <c r="Z34" s="719">
        <f>SUMIFS(Input[T. Exp. - Stat (R AFR) E&amp;G],Input[Institution Name],H34)
+SUMIFS(Input[T. Exp. - Stat (R AFR) Desg],Input[Institution Name],H34)</f>
        <v>-84751</v>
      </c>
      <c r="AA34" s="720"/>
      <c r="AB34" s="720"/>
      <c r="AC34" s="720">
        <f>SUMIFS(Input[T. Exp. - Inst. (R AFR) E&amp;G],Input[Institution Name],H34)
+SUMIFS(Input[T. Exp. - Inst. (R AFR) Desg],Input[Institution Name],H34)</f>
        <v>0</v>
      </c>
      <c r="AD34" s="720"/>
      <c r="AE34" s="721"/>
      <c r="AF34" s="719">
        <f>SUMIFS(Input[T. Schlr E&amp;G],Input[Institution Name],H34)
+SUMIFS(Input[T. Schlr Desg],Input[Institution Name],H34)
+SUMIFS(Input[T. Schlr Aux],Input[Institution Name],H34)</f>
        <v>-2347191</v>
      </c>
      <c r="AG34" s="720"/>
      <c r="AH34" s="721"/>
      <c r="AI34" s="719">
        <f t="shared" ref="AI34:AI41" si="5">SUM(Q34:AH34)</f>
        <v>1662083</v>
      </c>
      <c r="AJ34" s="720"/>
      <c r="AK34" s="721"/>
      <c r="AL34" s="144"/>
      <c r="AM34" s="719">
        <f>SUMIFS(Input[Fees - Gross E&amp;G],Input[Institution Name],H34)
+SUMIFS(Input[Fees - Gross Desg],Input[Institution Name],H34)
+SUMIFS(Input[Fees - Gross Aux],Input[Institution Name],H34)
+SUMIFS(Input[Fees - Gross R Exp],Input[Institution Name],H34)
+SUMIFS(Input[Fees - Gross Loan],Input[Institution Name],H34)</f>
        <v>2906678</v>
      </c>
      <c r="AN34" s="720"/>
      <c r="AO34" s="721"/>
      <c r="AP34" s="719">
        <f>SUMIFS(Input[F. W. - Stat (R AFR) E&amp;G],Input[Institution Name],H34)
+SUMIFS(Input[F. W. - Stat (R AFR) Desg],Input[Institution Name],H34)
+SUMIFS(Input[F. W. - Stat (R AFR) Aux],Input[Institution Name],H34)</f>
        <v>0</v>
      </c>
      <c r="AQ34" s="720"/>
      <c r="AR34" s="720"/>
      <c r="AS34" s="720">
        <f>SUMIFS(Input[F. W. - Inst. (R AFR) E&amp;G],Input[Institution Name],H33)
+SUMIFS(Input[F. W. - Inst. (R AFR) Desg],Input[Institution Name],H33)
+SUMIFS(Input[F. W. - Inst. (R AFR) Aux],Input[Institution Name],H33)</f>
        <v>0</v>
      </c>
      <c r="AT34" s="720"/>
      <c r="AU34" s="721"/>
      <c r="AV34" s="719">
        <f>SUMIFS(Input[F. Exp. - Stat (R AFR) E&amp;G],Input[Institution Name],H34)
+SUMIFS(Input[F. Exp. - Stat (R AFR) Desg],Input[Institution Name],H34)
+SUMIFS(Input[F. Exp. - Stat (R AFR) Aux],Input[Institution Name],H34)</f>
        <v>-45748</v>
      </c>
      <c r="AW34" s="720"/>
      <c r="AX34" s="720"/>
      <c r="AY34" s="720">
        <f>SUMIFS(Input[F. Exp. - Inst. (R AFR) E&amp;G],Input[Institution Name],H34)
+SUMIFS(Input[F. Exp. - Inst. (R AFR) Desg],Input[Institution Name],H34)
+SUMIFS(Input[F. Exp. - Inst. (R AFR) Aux],Input[Institution Name],H34)</f>
        <v>0</v>
      </c>
      <c r="AZ34" s="720"/>
      <c r="BA34" s="721"/>
      <c r="BB34" s="719">
        <f>SUMIFS(Input[Fee Schlr E&amp;G],Input[Institution Name],H34)
+SUMIFS(Input[Fee Schlr Desg],Input[Institution Name],H34)
+SUMIFS(Input[Fee Schlr Aux],Input[Institution Name],H34)</f>
        <v>-1376280</v>
      </c>
      <c r="BC34" s="720"/>
      <c r="BD34" s="721"/>
      <c r="BE34" s="719">
        <f t="shared" si="3"/>
        <v>1484650</v>
      </c>
      <c r="BF34" s="720"/>
      <c r="BG34" s="721"/>
      <c r="BH34" s="144"/>
      <c r="BI34" s="719">
        <f t="shared" si="4"/>
        <v>3146733</v>
      </c>
      <c r="BJ34" s="720"/>
      <c r="BK34" s="721"/>
      <c r="BL34" s="24"/>
      <c r="BM34" s="24"/>
      <c r="BN34" s="24"/>
    </row>
    <row r="35" spans="1:66" ht="30" customHeight="1" x14ac:dyDescent="0.3">
      <c r="A35" s="24"/>
      <c r="B35" s="24"/>
      <c r="C35" s="24"/>
      <c r="D35" s="24"/>
      <c r="E35" s="24"/>
      <c r="F35" s="24"/>
      <c r="G35" s="24"/>
      <c r="H35" s="616" t="s">
        <v>42</v>
      </c>
      <c r="I35" s="617"/>
      <c r="J35" s="617"/>
      <c r="K35" s="617"/>
      <c r="L35" s="617"/>
      <c r="M35" s="617"/>
      <c r="N35" s="617"/>
      <c r="O35" s="617"/>
      <c r="P35" s="618"/>
      <c r="Q35" s="728">
        <f>SUMIFS(Input[T. - Gross E&amp;G],Input[Institution Name],H35)
+SUMIFS(Input[T. - Gross Desg],Input[Institution Name],H35)</f>
        <v>3746424</v>
      </c>
      <c r="R35" s="729"/>
      <c r="S35" s="730"/>
      <c r="T35" s="728">
        <f>SUMIFS(Input[T. W. - Stat (R AFR) E&amp;G],Input[Institution Name],H35)
+SUMIFS(Input[T. W. - Stat (R AFR) Desg],Input[Institution Name],H35)</f>
        <v>0</v>
      </c>
      <c r="U35" s="729"/>
      <c r="V35" s="729"/>
      <c r="W35" s="729">
        <f>SUMIFS(Input[T. W. - Inst. (R AFR) E&amp;G],Input[Institution Name],H35)
+SUMIFS(Input[T. W. - Inst. (R AFR) Desg],Input[Institution Name],H35)</f>
        <v>0</v>
      </c>
      <c r="X35" s="729"/>
      <c r="Y35" s="730"/>
      <c r="Z35" s="728">
        <f>SUMIFS(Input[T. Exp. - Stat (R AFR) E&amp;G],Input[Institution Name],H35)
+SUMIFS(Input[T. Exp. - Stat (R AFR) Desg],Input[Institution Name],H35)</f>
        <v>-76140</v>
      </c>
      <c r="AA35" s="729"/>
      <c r="AB35" s="729"/>
      <c r="AC35" s="729">
        <f>SUMIFS(Input[T. Exp. - Inst. (R AFR) E&amp;G],Input[Institution Name],H35)
+SUMIFS(Input[T. Exp. - Inst. (R AFR) Desg],Input[Institution Name],H35)</f>
        <v>0</v>
      </c>
      <c r="AD35" s="729"/>
      <c r="AE35" s="730"/>
      <c r="AF35" s="728">
        <f>SUMIFS(Input[T. Schlr E&amp;G],Input[Institution Name],H35)
+SUMIFS(Input[T. Schlr Desg],Input[Institution Name],H35)
+SUMIFS(Input[T. Schlr Aux],Input[Institution Name],H35)</f>
        <v>-2775426</v>
      </c>
      <c r="AG35" s="729"/>
      <c r="AH35" s="730"/>
      <c r="AI35" s="728">
        <f t="shared" si="5"/>
        <v>894858</v>
      </c>
      <c r="AJ35" s="729"/>
      <c r="AK35" s="730"/>
      <c r="AL35" s="144"/>
      <c r="AM35" s="728">
        <f>SUMIFS(Input[Fees - Gross E&amp;G],Input[Institution Name],H35)
+SUMIFS(Input[Fees - Gross Desg],Input[Institution Name],H35)
+SUMIFS(Input[Fees - Gross Aux],Input[Institution Name],H35)
+SUMIFS(Input[Fees - Gross R Exp],Input[Institution Name],H35)
+SUMIFS(Input[Fees - Gross Loan],Input[Institution Name],H35)</f>
        <v>3148206</v>
      </c>
      <c r="AN35" s="729"/>
      <c r="AO35" s="730"/>
      <c r="AP35" s="728">
        <f>SUMIFS(Input[F. W. - Stat (R AFR) E&amp;G],Input[Institution Name],H35)
+SUMIFS(Input[F. W. - Stat (R AFR) Desg],Input[Institution Name],H35)
+SUMIFS(Input[F. W. - Stat (R AFR) Aux],Input[Institution Name],H35)</f>
        <v>0</v>
      </c>
      <c r="AQ35" s="729"/>
      <c r="AR35" s="729"/>
      <c r="AS35" s="729">
        <f>SUMIFS(Input[F. W. - Inst. (R AFR) E&amp;G],Input[Institution Name],H34)
+SUMIFS(Input[F. W. - Inst. (R AFR) Desg],Input[Institution Name],H34)
+SUMIFS(Input[F. W. - Inst. (R AFR) Aux],Input[Institution Name],H34)</f>
        <v>0</v>
      </c>
      <c r="AT35" s="729"/>
      <c r="AU35" s="730"/>
      <c r="AV35" s="728">
        <f>SUMIFS(Input[F. Exp. - Stat (R AFR) E&amp;G],Input[Institution Name],H35)
+SUMIFS(Input[F. Exp. - Stat (R AFR) Desg],Input[Institution Name],H35)
+SUMIFS(Input[F. Exp. - Stat (R AFR) Aux],Input[Institution Name],H35)</f>
        <v>-27115</v>
      </c>
      <c r="AW35" s="729"/>
      <c r="AX35" s="729"/>
      <c r="AY35" s="729">
        <f>SUMIFS(Input[F. Exp. - Inst. (R AFR) E&amp;G],Input[Institution Name],H35)
+SUMIFS(Input[F. Exp. - Inst. (R AFR) Desg],Input[Institution Name],H35)
+SUMIFS(Input[F. Exp. - Inst. (R AFR) Aux],Input[Institution Name],H35)</f>
        <v>0</v>
      </c>
      <c r="AZ35" s="729"/>
      <c r="BA35" s="730"/>
      <c r="BB35" s="728">
        <f>SUMIFS(Input[Fee Schlr E&amp;G],Input[Institution Name],H35)
+SUMIFS(Input[Fee Schlr Desg],Input[Institution Name],H35)
+SUMIFS(Input[Fee Schlr Aux],Input[Institution Name],H35)</f>
        <v>-141060</v>
      </c>
      <c r="BC35" s="729"/>
      <c r="BD35" s="730"/>
      <c r="BE35" s="728">
        <f t="shared" si="3"/>
        <v>2980031</v>
      </c>
      <c r="BF35" s="729"/>
      <c r="BG35" s="730"/>
      <c r="BH35" s="144"/>
      <c r="BI35" s="728">
        <f t="shared" si="4"/>
        <v>3874889</v>
      </c>
      <c r="BJ35" s="729"/>
      <c r="BK35" s="730"/>
      <c r="BL35" s="24"/>
      <c r="BM35" s="24"/>
      <c r="BN35" s="24"/>
    </row>
    <row r="36" spans="1:66" ht="30" customHeight="1" x14ac:dyDescent="0.3">
      <c r="A36" s="24"/>
      <c r="B36" s="24"/>
      <c r="C36" s="24"/>
      <c r="D36" s="24"/>
      <c r="E36" s="24"/>
      <c r="F36" s="24"/>
      <c r="G36" s="24"/>
      <c r="H36" s="579" t="s">
        <v>43</v>
      </c>
      <c r="I36" s="580"/>
      <c r="J36" s="580"/>
      <c r="K36" s="580"/>
      <c r="L36" s="580"/>
      <c r="M36" s="580"/>
      <c r="N36" s="580"/>
      <c r="O36" s="580"/>
      <c r="P36" s="619"/>
      <c r="Q36" s="719">
        <f>SUMIFS(Input[T. - Gross E&amp;G],Input[Institution Name],H36)
+SUMIFS(Input[T. - Gross Desg],Input[Institution Name],H36)</f>
        <v>10636902</v>
      </c>
      <c r="R36" s="720"/>
      <c r="S36" s="721"/>
      <c r="T36" s="719">
        <f>SUMIFS(Input[T. W. - Stat (R AFR) E&amp;G],Input[Institution Name],H36)
+SUMIFS(Input[T. W. - Stat (R AFR) Desg],Input[Institution Name],H36)</f>
        <v>0</v>
      </c>
      <c r="U36" s="720"/>
      <c r="V36" s="720"/>
      <c r="W36" s="720">
        <f>SUMIFS(Input[T. W. - Inst. (R AFR) E&amp;G],Input[Institution Name],H36)
+SUMIFS(Input[T. W. - Inst. (R AFR) Desg],Input[Institution Name],H36)</f>
        <v>0</v>
      </c>
      <c r="X36" s="720"/>
      <c r="Y36" s="721"/>
      <c r="Z36" s="719">
        <f>SUMIFS(Input[T. Exp. - Stat (R AFR) E&amp;G],Input[Institution Name],H36)
+SUMIFS(Input[T. Exp. - Stat (R AFR) Desg],Input[Institution Name],H36)</f>
        <v>-279937</v>
      </c>
      <c r="AA36" s="720"/>
      <c r="AB36" s="720"/>
      <c r="AC36" s="720">
        <f>SUMIFS(Input[T. Exp. - Inst. (R AFR) E&amp;G],Input[Institution Name],H36)
+SUMIFS(Input[T. Exp. - Inst. (R AFR) Desg],Input[Institution Name],H36)</f>
        <v>-1152266</v>
      </c>
      <c r="AD36" s="720"/>
      <c r="AE36" s="721"/>
      <c r="AF36" s="719">
        <f>SUMIFS(Input[T. Schlr E&amp;G],Input[Institution Name],H36)
+SUMIFS(Input[T. Schlr Desg],Input[Institution Name],H36)
+SUMIFS(Input[T. Schlr Aux],Input[Institution Name],H36)</f>
        <v>-7293895</v>
      </c>
      <c r="AG36" s="720"/>
      <c r="AH36" s="721"/>
      <c r="AI36" s="719">
        <f t="shared" si="5"/>
        <v>1910804</v>
      </c>
      <c r="AJ36" s="720"/>
      <c r="AK36" s="721"/>
      <c r="AL36" s="144"/>
      <c r="AM36" s="719">
        <f>SUMIFS(Input[Fees - Gross E&amp;G],Input[Institution Name],H36)
+SUMIFS(Input[Fees - Gross Desg],Input[Institution Name],H36)
+SUMIFS(Input[Fees - Gross Aux],Input[Institution Name],H36)
+SUMIFS(Input[Fees - Gross R Exp],Input[Institution Name],H36)
+SUMIFS(Input[Fees - Gross Loan],Input[Institution Name],H36)</f>
        <v>0</v>
      </c>
      <c r="AN36" s="720"/>
      <c r="AO36" s="721"/>
      <c r="AP36" s="719">
        <f>SUMIFS(Input[F. W. - Stat (R AFR) E&amp;G],Input[Institution Name],H36)
+SUMIFS(Input[F. W. - Stat (R AFR) Desg],Input[Institution Name],H36)
+SUMIFS(Input[F. W. - Stat (R AFR) Aux],Input[Institution Name],H36)</f>
        <v>0</v>
      </c>
      <c r="AQ36" s="720"/>
      <c r="AR36" s="720"/>
      <c r="AS36" s="720">
        <f>SUMIFS(Input[F. W. - Inst. (R AFR) E&amp;G],Input[Institution Name],H35)
+SUMIFS(Input[F. W. - Inst. (R AFR) Desg],Input[Institution Name],H35)
+SUMIFS(Input[F. W. - Inst. (R AFR) Aux],Input[Institution Name],H35)</f>
        <v>0</v>
      </c>
      <c r="AT36" s="720"/>
      <c r="AU36" s="721"/>
      <c r="AV36" s="719">
        <f>SUMIFS(Input[F. Exp. - Stat (R AFR) E&amp;G],Input[Institution Name],H36)
+SUMIFS(Input[F. Exp. - Stat (R AFR) Desg],Input[Institution Name],H36)
+SUMIFS(Input[F. Exp. - Stat (R AFR) Aux],Input[Institution Name],H36)</f>
        <v>0</v>
      </c>
      <c r="AW36" s="720"/>
      <c r="AX36" s="720"/>
      <c r="AY36" s="720">
        <f>SUMIFS(Input[F. Exp. - Inst. (R AFR) E&amp;G],Input[Institution Name],H36)
+SUMIFS(Input[F. Exp. - Inst. (R AFR) Desg],Input[Institution Name],H36)
+SUMIFS(Input[F. Exp. - Inst. (R AFR) Aux],Input[Institution Name],H36)</f>
        <v>0</v>
      </c>
      <c r="AZ36" s="720"/>
      <c r="BA36" s="721"/>
      <c r="BB36" s="719">
        <f>SUMIFS(Input[Fee Schlr E&amp;G],Input[Institution Name],H36)
+SUMIFS(Input[Fee Schlr Desg],Input[Institution Name],H36)
+SUMIFS(Input[Fee Schlr Aux],Input[Institution Name],H36)</f>
        <v>0</v>
      </c>
      <c r="BC36" s="720"/>
      <c r="BD36" s="721"/>
      <c r="BE36" s="719">
        <f t="shared" si="3"/>
        <v>0</v>
      </c>
      <c r="BF36" s="720"/>
      <c r="BG36" s="721"/>
      <c r="BH36" s="144"/>
      <c r="BI36" s="719">
        <f t="shared" si="4"/>
        <v>1910804</v>
      </c>
      <c r="BJ36" s="720"/>
      <c r="BK36" s="721"/>
      <c r="BL36" s="24"/>
      <c r="BM36" s="24"/>
      <c r="BN36" s="24"/>
    </row>
    <row r="37" spans="1:66" ht="30" customHeight="1" x14ac:dyDescent="0.3">
      <c r="A37" s="24"/>
      <c r="B37" s="24"/>
      <c r="C37" s="24"/>
      <c r="D37" s="24"/>
      <c r="E37" s="24"/>
      <c r="F37" s="24"/>
      <c r="G37" s="24"/>
      <c r="H37" s="616" t="s">
        <v>46</v>
      </c>
      <c r="I37" s="617"/>
      <c r="J37" s="617"/>
      <c r="K37" s="617"/>
      <c r="L37" s="617"/>
      <c r="M37" s="617"/>
      <c r="N37" s="617"/>
      <c r="O37" s="617"/>
      <c r="P37" s="618"/>
      <c r="Q37" s="728">
        <f>SUMIFS(Input[T. - Gross E&amp;G],Input[Institution Name],H37)
+SUMIFS(Input[T. - Gross Desg],Input[Institution Name],H37)</f>
        <v>5466887</v>
      </c>
      <c r="R37" s="729"/>
      <c r="S37" s="730"/>
      <c r="T37" s="728">
        <f>SUMIFS(Input[T. W. - Stat (R AFR) E&amp;G],Input[Institution Name],H37)
+SUMIFS(Input[T. W. - Stat (R AFR) Desg],Input[Institution Name],H37)</f>
        <v>0</v>
      </c>
      <c r="U37" s="729"/>
      <c r="V37" s="729"/>
      <c r="W37" s="729">
        <f>SUMIFS(Input[T. W. - Inst. (R AFR) E&amp;G],Input[Institution Name],H37)
+SUMIFS(Input[T. W. - Inst. (R AFR) Desg],Input[Institution Name],H37)</f>
        <v>0</v>
      </c>
      <c r="X37" s="729"/>
      <c r="Y37" s="730"/>
      <c r="Z37" s="728">
        <f>SUMIFS(Input[T. Exp. - Stat (R AFR) E&amp;G],Input[Institution Name],H37)
+SUMIFS(Input[T. Exp. - Stat (R AFR) Desg],Input[Institution Name],H37)</f>
        <v>-159204</v>
      </c>
      <c r="AA37" s="729"/>
      <c r="AB37" s="729"/>
      <c r="AC37" s="729">
        <f>SUMIFS(Input[T. Exp. - Inst. (R AFR) E&amp;G],Input[Institution Name],H37)
+SUMIFS(Input[T. Exp. - Inst. (R AFR) Desg],Input[Institution Name],H37)</f>
        <v>-786342</v>
      </c>
      <c r="AD37" s="729"/>
      <c r="AE37" s="730"/>
      <c r="AF37" s="728">
        <f>SUMIFS(Input[T. Schlr E&amp;G],Input[Institution Name],H37)
+SUMIFS(Input[T. Schlr Desg],Input[Institution Name],H37)
+SUMIFS(Input[T. Schlr Aux],Input[Institution Name],H37)</f>
        <v>-1890424</v>
      </c>
      <c r="AG37" s="729"/>
      <c r="AH37" s="730"/>
      <c r="AI37" s="728">
        <f t="shared" si="5"/>
        <v>2630917</v>
      </c>
      <c r="AJ37" s="729"/>
      <c r="AK37" s="730"/>
      <c r="AL37" s="144"/>
      <c r="AM37" s="728">
        <f>SUMIFS(Input[Fees - Gross E&amp;G],Input[Institution Name],H37)
+SUMIFS(Input[Fees - Gross Desg],Input[Institution Name],H37)
+SUMIFS(Input[Fees - Gross Aux],Input[Institution Name],H37)
+SUMIFS(Input[Fees - Gross R Exp],Input[Institution Name],H37)
+SUMIFS(Input[Fees - Gross Loan],Input[Institution Name],H37)</f>
        <v>0</v>
      </c>
      <c r="AN37" s="729"/>
      <c r="AO37" s="730"/>
      <c r="AP37" s="728">
        <f>SUMIFS(Input[F. W. - Stat (R AFR) E&amp;G],Input[Institution Name],H37)
+SUMIFS(Input[F. W. - Stat (R AFR) Desg],Input[Institution Name],H37)
+SUMIFS(Input[F. W. - Stat (R AFR) Aux],Input[Institution Name],H37)</f>
        <v>0</v>
      </c>
      <c r="AQ37" s="729"/>
      <c r="AR37" s="729"/>
      <c r="AS37" s="729">
        <f>SUMIFS(Input[F. W. - Inst. (R AFR) E&amp;G],Input[Institution Name],H36)
+SUMIFS(Input[F. W. - Inst. (R AFR) Desg],Input[Institution Name],H36)
+SUMIFS(Input[F. W. - Inst. (R AFR) Aux],Input[Institution Name],H36)</f>
        <v>0</v>
      </c>
      <c r="AT37" s="729"/>
      <c r="AU37" s="730"/>
      <c r="AV37" s="728">
        <f>SUMIFS(Input[F. Exp. - Stat (R AFR) E&amp;G],Input[Institution Name],H37)
+SUMIFS(Input[F. Exp. - Stat (R AFR) Desg],Input[Institution Name],H37)
+SUMIFS(Input[F. Exp. - Stat (R AFR) Aux],Input[Institution Name],H37)</f>
        <v>0</v>
      </c>
      <c r="AW37" s="729"/>
      <c r="AX37" s="729"/>
      <c r="AY37" s="729">
        <f>SUMIFS(Input[F. Exp. - Inst. (R AFR) E&amp;G],Input[Institution Name],H37)
+SUMIFS(Input[F. Exp. - Inst. (R AFR) Desg],Input[Institution Name],H37)
+SUMIFS(Input[F. Exp. - Inst. (R AFR) Aux],Input[Institution Name],H37)</f>
        <v>0</v>
      </c>
      <c r="AZ37" s="729"/>
      <c r="BA37" s="730"/>
      <c r="BB37" s="728">
        <f>SUMIFS(Input[Fee Schlr E&amp;G],Input[Institution Name],H37)
+SUMIFS(Input[Fee Schlr Desg],Input[Institution Name],H37)
+SUMIFS(Input[Fee Schlr Aux],Input[Institution Name],H37)</f>
        <v>0</v>
      </c>
      <c r="BC37" s="729"/>
      <c r="BD37" s="730"/>
      <c r="BE37" s="728">
        <f t="shared" si="3"/>
        <v>0</v>
      </c>
      <c r="BF37" s="729"/>
      <c r="BG37" s="730"/>
      <c r="BH37" s="144"/>
      <c r="BI37" s="728">
        <f t="shared" si="4"/>
        <v>2630917</v>
      </c>
      <c r="BJ37" s="729"/>
      <c r="BK37" s="730"/>
      <c r="BL37" s="24"/>
      <c r="BM37" s="24"/>
      <c r="BN37" s="24"/>
    </row>
    <row r="38" spans="1:66" ht="30" customHeight="1" x14ac:dyDescent="0.3">
      <c r="A38" s="24"/>
      <c r="B38" s="24"/>
      <c r="C38" s="24"/>
      <c r="D38" s="24"/>
      <c r="E38" s="24"/>
      <c r="F38" s="24"/>
      <c r="G38" s="24"/>
      <c r="H38" s="579" t="s">
        <v>47</v>
      </c>
      <c r="I38" s="580"/>
      <c r="J38" s="580"/>
      <c r="K38" s="580"/>
      <c r="L38" s="580"/>
      <c r="M38" s="580"/>
      <c r="N38" s="580"/>
      <c r="O38" s="580"/>
      <c r="P38" s="619"/>
      <c r="Q38" s="719">
        <f>SUMIFS(Input[T. - Gross E&amp;G],Input[Institution Name],H38)
+SUMIFS(Input[T. - Gross Desg],Input[Institution Name],H38)</f>
        <v>3740042</v>
      </c>
      <c r="R38" s="720"/>
      <c r="S38" s="721"/>
      <c r="T38" s="719">
        <f>SUMIFS(Input[T. W. - Stat (R AFR) E&amp;G],Input[Institution Name],H38)
+SUMIFS(Input[T. W. - Stat (R AFR) Desg],Input[Institution Name],H38)</f>
        <v>0</v>
      </c>
      <c r="U38" s="720"/>
      <c r="V38" s="720"/>
      <c r="W38" s="720">
        <f>SUMIFS(Input[T. W. - Inst. (R AFR) E&amp;G],Input[Institution Name],H38)
+SUMIFS(Input[T. W. - Inst. (R AFR) Desg],Input[Institution Name],H38)</f>
        <v>0</v>
      </c>
      <c r="X38" s="720"/>
      <c r="Y38" s="721"/>
      <c r="Z38" s="719">
        <f>SUMIFS(Input[T. Exp. - Stat (R AFR) E&amp;G],Input[Institution Name],H38)
+SUMIFS(Input[T. Exp. - Stat (R AFR) Desg],Input[Institution Name],H38)</f>
        <v>-38377</v>
      </c>
      <c r="AA38" s="720"/>
      <c r="AB38" s="720"/>
      <c r="AC38" s="720">
        <f>SUMIFS(Input[T. Exp. - Inst. (R AFR) E&amp;G],Input[Institution Name],H38)
+SUMIFS(Input[T. Exp. - Inst. (R AFR) Desg],Input[Institution Name],H38)</f>
        <v>-263579</v>
      </c>
      <c r="AD38" s="720"/>
      <c r="AE38" s="721"/>
      <c r="AF38" s="719">
        <f>SUMIFS(Input[T. Schlr E&amp;G],Input[Institution Name],H38)
+SUMIFS(Input[T. Schlr Desg],Input[Institution Name],H38)
+SUMIFS(Input[T. Schlr Aux],Input[Institution Name],H38)</f>
        <v>-2129544</v>
      </c>
      <c r="AG38" s="720"/>
      <c r="AH38" s="721"/>
      <c r="AI38" s="719">
        <f t="shared" si="5"/>
        <v>1308542</v>
      </c>
      <c r="AJ38" s="720"/>
      <c r="AK38" s="721"/>
      <c r="AL38" s="144"/>
      <c r="AM38" s="719">
        <f>SUMIFS(Input[Fees - Gross E&amp;G],Input[Institution Name],H38)
+SUMIFS(Input[Fees - Gross Desg],Input[Institution Name],H38)
+SUMIFS(Input[Fees - Gross Aux],Input[Institution Name],H38)
+SUMIFS(Input[Fees - Gross R Exp],Input[Institution Name],H38)
+SUMIFS(Input[Fees - Gross Loan],Input[Institution Name],H38)</f>
        <v>0</v>
      </c>
      <c r="AN38" s="720"/>
      <c r="AO38" s="721"/>
      <c r="AP38" s="719">
        <f>SUMIFS(Input[F. W. - Stat (R AFR) E&amp;G],Input[Institution Name],H38)
+SUMIFS(Input[F. W. - Stat (R AFR) Desg],Input[Institution Name],H38)
+SUMIFS(Input[F. W. - Stat (R AFR) Aux],Input[Institution Name],H38)</f>
        <v>0</v>
      </c>
      <c r="AQ38" s="720"/>
      <c r="AR38" s="720"/>
      <c r="AS38" s="720">
        <f>SUMIFS(Input[F. W. - Inst. (R AFR) E&amp;G],Input[Institution Name],H37)
+SUMIFS(Input[F. W. - Inst. (R AFR) Desg],Input[Institution Name],H37)
+SUMIFS(Input[F. W. - Inst. (R AFR) Aux],Input[Institution Name],H37)</f>
        <v>0</v>
      </c>
      <c r="AT38" s="720"/>
      <c r="AU38" s="721"/>
      <c r="AV38" s="719">
        <f>SUMIFS(Input[F. Exp. - Stat (R AFR) E&amp;G],Input[Institution Name],H38)
+SUMIFS(Input[F. Exp. - Stat (R AFR) Desg],Input[Institution Name],H38)
+SUMIFS(Input[F. Exp. - Stat (R AFR) Aux],Input[Institution Name],H38)</f>
        <v>0</v>
      </c>
      <c r="AW38" s="720"/>
      <c r="AX38" s="720"/>
      <c r="AY38" s="720">
        <f>SUMIFS(Input[F. Exp. - Inst. (R AFR) E&amp;G],Input[Institution Name],H38)
+SUMIFS(Input[F. Exp. - Inst. (R AFR) Desg],Input[Institution Name],H38)
+SUMIFS(Input[F. Exp. - Inst. (R AFR) Aux],Input[Institution Name],H38)</f>
        <v>0</v>
      </c>
      <c r="AZ38" s="720"/>
      <c r="BA38" s="721"/>
      <c r="BB38" s="719">
        <f>SUMIFS(Input[Fee Schlr E&amp;G],Input[Institution Name],H38)
+SUMIFS(Input[Fee Schlr Desg],Input[Institution Name],H38)
+SUMIFS(Input[Fee Schlr Aux],Input[Institution Name],H38)</f>
        <v>0</v>
      </c>
      <c r="BC38" s="720"/>
      <c r="BD38" s="721"/>
      <c r="BE38" s="719">
        <f t="shared" si="3"/>
        <v>0</v>
      </c>
      <c r="BF38" s="720"/>
      <c r="BG38" s="721"/>
      <c r="BH38" s="144"/>
      <c r="BI38" s="719">
        <f t="shared" si="4"/>
        <v>1308542</v>
      </c>
      <c r="BJ38" s="720"/>
      <c r="BK38" s="721"/>
      <c r="BL38" s="24"/>
      <c r="BM38" s="24"/>
      <c r="BN38" s="24"/>
    </row>
    <row r="39" spans="1:66" ht="30" customHeight="1" x14ac:dyDescent="0.3">
      <c r="A39" s="24"/>
      <c r="B39" s="24"/>
      <c r="C39" s="24"/>
      <c r="D39" s="24"/>
      <c r="E39" s="24"/>
      <c r="F39" s="24"/>
      <c r="G39" s="24"/>
      <c r="H39" s="616" t="s">
        <v>48</v>
      </c>
      <c r="I39" s="617"/>
      <c r="J39" s="617"/>
      <c r="K39" s="617"/>
      <c r="L39" s="617"/>
      <c r="M39" s="617"/>
      <c r="N39" s="617"/>
      <c r="O39" s="617"/>
      <c r="P39" s="618"/>
      <c r="Q39" s="728">
        <f>SUMIFS(Input[T. - Gross E&amp;G],Input[Institution Name],H39)
+SUMIFS(Input[T. - Gross Desg],Input[Institution Name],H39)</f>
        <v>47773646</v>
      </c>
      <c r="R39" s="729"/>
      <c r="S39" s="730"/>
      <c r="T39" s="728">
        <f>SUMIFS(Input[T. W. - Stat (R AFR) E&amp;G],Input[Institution Name],H39)
+SUMIFS(Input[T. W. - Stat (R AFR) Desg],Input[Institution Name],H39)</f>
        <v>0</v>
      </c>
      <c r="U39" s="729"/>
      <c r="V39" s="729"/>
      <c r="W39" s="729">
        <f>SUMIFS(Input[T. W. - Inst. (R AFR) E&amp;G],Input[Institution Name],H39)
+SUMIFS(Input[T. W. - Inst. (R AFR) Desg],Input[Institution Name],H39)</f>
        <v>0</v>
      </c>
      <c r="X39" s="729"/>
      <c r="Y39" s="730"/>
      <c r="Z39" s="728">
        <f>SUMIFS(Input[T. Exp. - Stat (R AFR) E&amp;G],Input[Institution Name],H39)
+SUMIFS(Input[T. Exp. - Stat (R AFR) Desg],Input[Institution Name],H39)</f>
        <v>-782359</v>
      </c>
      <c r="AA39" s="729"/>
      <c r="AB39" s="729"/>
      <c r="AC39" s="729">
        <f>SUMIFS(Input[T. Exp. - Inst. (R AFR) E&amp;G],Input[Institution Name],H39)
+SUMIFS(Input[T. Exp. - Inst. (R AFR) Desg],Input[Institution Name],H39)</f>
        <v>-3901959</v>
      </c>
      <c r="AD39" s="729"/>
      <c r="AE39" s="730"/>
      <c r="AF39" s="728">
        <f>SUMIFS(Input[T. Schlr E&amp;G],Input[Institution Name],H39)
+SUMIFS(Input[T. Schlr Desg],Input[Institution Name],H39)
+SUMIFS(Input[T. Schlr Aux],Input[Institution Name],H39)</f>
        <v>-15182921</v>
      </c>
      <c r="AG39" s="729"/>
      <c r="AH39" s="730"/>
      <c r="AI39" s="728">
        <f t="shared" si="5"/>
        <v>27906407</v>
      </c>
      <c r="AJ39" s="729"/>
      <c r="AK39" s="730"/>
      <c r="AL39" s="144"/>
      <c r="AM39" s="728">
        <f>SUMIFS(Input[Fees - Gross E&amp;G],Input[Institution Name],H39)
+SUMIFS(Input[Fees - Gross Desg],Input[Institution Name],H39)
+SUMIFS(Input[Fees - Gross Aux],Input[Institution Name],H39)
+SUMIFS(Input[Fees - Gross R Exp],Input[Institution Name],H39)
+SUMIFS(Input[Fees - Gross Loan],Input[Institution Name],H39)</f>
        <v>2582694</v>
      </c>
      <c r="AN39" s="729"/>
      <c r="AO39" s="730"/>
      <c r="AP39" s="728">
        <f>SUMIFS(Input[F. W. - Stat (R AFR) E&amp;G],Input[Institution Name],H39)
+SUMIFS(Input[F. W. - Stat (R AFR) Desg],Input[Institution Name],H39)
+SUMIFS(Input[F. W. - Stat (R AFR) Aux],Input[Institution Name],H39)</f>
        <v>0</v>
      </c>
      <c r="AQ39" s="729"/>
      <c r="AR39" s="729"/>
      <c r="AS39" s="729">
        <f>SUMIFS(Input[F. W. - Inst. (R AFR) E&amp;G],Input[Institution Name],H38)
+SUMIFS(Input[F. W. - Inst. (R AFR) Desg],Input[Institution Name],H38)
+SUMIFS(Input[F. W. - Inst. (R AFR) Aux],Input[Institution Name],H38)</f>
        <v>0</v>
      </c>
      <c r="AT39" s="729"/>
      <c r="AU39" s="730"/>
      <c r="AV39" s="728">
        <f>SUMIFS(Input[F. Exp. - Stat (R AFR) E&amp;G],Input[Institution Name],H39)
+SUMIFS(Input[F. Exp. - Stat (R AFR) Desg],Input[Institution Name],H39)
+SUMIFS(Input[F. Exp. - Stat (R AFR) Aux],Input[Institution Name],H39)</f>
        <v>0</v>
      </c>
      <c r="AW39" s="729"/>
      <c r="AX39" s="729"/>
      <c r="AY39" s="729">
        <f>SUMIFS(Input[F. Exp. - Inst. (R AFR) E&amp;G],Input[Institution Name],H39)
+SUMIFS(Input[F. Exp. - Inst. (R AFR) Desg],Input[Institution Name],H39)
+SUMIFS(Input[F. Exp. - Inst. (R AFR) Aux],Input[Institution Name],H39)</f>
        <v>0</v>
      </c>
      <c r="AZ39" s="729"/>
      <c r="BA39" s="730"/>
      <c r="BB39" s="728">
        <f>SUMIFS(Input[Fee Schlr E&amp;G],Input[Institution Name],H39)
+SUMIFS(Input[Fee Schlr Desg],Input[Institution Name],H39)
+SUMIFS(Input[Fee Schlr Aux],Input[Institution Name],H39)</f>
        <v>0</v>
      </c>
      <c r="BC39" s="729"/>
      <c r="BD39" s="730"/>
      <c r="BE39" s="728">
        <f t="shared" si="3"/>
        <v>2582694</v>
      </c>
      <c r="BF39" s="729"/>
      <c r="BG39" s="730"/>
      <c r="BH39" s="144"/>
      <c r="BI39" s="728">
        <f t="shared" si="4"/>
        <v>30489101</v>
      </c>
      <c r="BJ39" s="729"/>
      <c r="BK39" s="730"/>
      <c r="BL39" s="24"/>
      <c r="BM39" s="24"/>
      <c r="BN39" s="24"/>
    </row>
    <row r="40" spans="1:66" ht="30" customHeight="1" x14ac:dyDescent="0.3">
      <c r="A40" s="24"/>
      <c r="B40" s="24"/>
      <c r="C40" s="24"/>
      <c r="D40" s="24"/>
      <c r="E40" s="24"/>
      <c r="F40" s="24"/>
      <c r="G40" s="24"/>
      <c r="H40" s="579" t="s">
        <v>50</v>
      </c>
      <c r="I40" s="580"/>
      <c r="J40" s="580"/>
      <c r="K40" s="580"/>
      <c r="L40" s="580"/>
      <c r="M40" s="580"/>
      <c r="N40" s="580"/>
      <c r="O40" s="580"/>
      <c r="P40" s="619"/>
      <c r="Q40" s="719">
        <f>SUMIFS(Input[T. - Gross E&amp;G],Input[Institution Name],H40)
+SUMIFS(Input[T. - Gross Desg],Input[Institution Name],H40)</f>
        <v>6236499</v>
      </c>
      <c r="R40" s="720"/>
      <c r="S40" s="721"/>
      <c r="T40" s="719">
        <f>SUMIFS(Input[T. W. - Stat (R AFR) E&amp;G],Input[Institution Name],H40)
+SUMIFS(Input[T. W. - Stat (R AFR) Desg],Input[Institution Name],H40)</f>
        <v>0</v>
      </c>
      <c r="U40" s="720"/>
      <c r="V40" s="720"/>
      <c r="W40" s="720">
        <f>SUMIFS(Input[T. W. - Inst. (R AFR) E&amp;G],Input[Institution Name],H40)
+SUMIFS(Input[T. W. - Inst. (R AFR) Desg],Input[Institution Name],H40)</f>
        <v>0</v>
      </c>
      <c r="X40" s="720"/>
      <c r="Y40" s="721"/>
      <c r="Z40" s="719">
        <f>SUMIFS(Input[T. Exp. - Stat (R AFR) E&amp;G],Input[Institution Name],H40)
+SUMIFS(Input[T. Exp. - Stat (R AFR) Desg],Input[Institution Name],H40)</f>
        <v>-82636</v>
      </c>
      <c r="AA40" s="720"/>
      <c r="AB40" s="720"/>
      <c r="AC40" s="720">
        <f>SUMIFS(Input[T. Exp. - Inst. (R AFR) E&amp;G],Input[Institution Name],H40)
+SUMIFS(Input[T. Exp. - Inst. (R AFR) Desg],Input[Institution Name],H40)</f>
        <v>-570529</v>
      </c>
      <c r="AD40" s="720"/>
      <c r="AE40" s="721"/>
      <c r="AF40" s="719">
        <f>SUMIFS(Input[T. Schlr E&amp;G],Input[Institution Name],H40)
+SUMIFS(Input[T. Schlr Desg],Input[Institution Name],H40)
+SUMIFS(Input[T. Schlr Aux],Input[Institution Name],H40)</f>
        <v>-2926922</v>
      </c>
      <c r="AG40" s="720"/>
      <c r="AH40" s="721"/>
      <c r="AI40" s="719">
        <f t="shared" si="5"/>
        <v>2656412</v>
      </c>
      <c r="AJ40" s="720"/>
      <c r="AK40" s="721"/>
      <c r="AL40" s="144"/>
      <c r="AM40" s="719">
        <f>SUMIFS(Input[Fees - Gross E&amp;G],Input[Institution Name],H40)
+SUMIFS(Input[Fees - Gross Desg],Input[Institution Name],H40)
+SUMIFS(Input[Fees - Gross Aux],Input[Institution Name],H40)
+SUMIFS(Input[Fees - Gross R Exp],Input[Institution Name],H40)
+SUMIFS(Input[Fees - Gross Loan],Input[Institution Name],H40)</f>
        <v>0</v>
      </c>
      <c r="AN40" s="720"/>
      <c r="AO40" s="721"/>
      <c r="AP40" s="719">
        <f>SUMIFS(Input[F. W. - Stat (R AFR) E&amp;G],Input[Institution Name],H40)
+SUMIFS(Input[F. W. - Stat (R AFR) Desg],Input[Institution Name],H40)
+SUMIFS(Input[F. W. - Stat (R AFR) Aux],Input[Institution Name],H40)</f>
        <v>0</v>
      </c>
      <c r="AQ40" s="720"/>
      <c r="AR40" s="720"/>
      <c r="AS40" s="720">
        <f>SUMIFS(Input[F. W. - Inst. (R AFR) E&amp;G],Input[Institution Name],H39)
+SUMIFS(Input[F. W. - Inst. (R AFR) Desg],Input[Institution Name],H39)
+SUMIFS(Input[F. W. - Inst. (R AFR) Aux],Input[Institution Name],H39)</f>
        <v>0</v>
      </c>
      <c r="AT40" s="720"/>
      <c r="AU40" s="721"/>
      <c r="AV40" s="719">
        <f>SUMIFS(Input[F. Exp. - Stat (R AFR) E&amp;G],Input[Institution Name],H40)
+SUMIFS(Input[F. Exp. - Stat (R AFR) Desg],Input[Institution Name],H40)
+SUMIFS(Input[F. Exp. - Stat (R AFR) Aux],Input[Institution Name],H40)</f>
        <v>0</v>
      </c>
      <c r="AW40" s="720"/>
      <c r="AX40" s="720"/>
      <c r="AY40" s="720">
        <f>SUMIFS(Input[F. Exp. - Inst. (R AFR) E&amp;G],Input[Institution Name],H40)
+SUMIFS(Input[F. Exp. - Inst. (R AFR) Desg],Input[Institution Name],H40)
+SUMIFS(Input[F. Exp. - Inst. (R AFR) Aux],Input[Institution Name],H40)</f>
        <v>0</v>
      </c>
      <c r="AZ40" s="720"/>
      <c r="BA40" s="721"/>
      <c r="BB40" s="719">
        <f>SUMIFS(Input[Fee Schlr E&amp;G],Input[Institution Name],H40)
+SUMIFS(Input[Fee Schlr Desg],Input[Institution Name],H40)
+SUMIFS(Input[Fee Schlr Aux],Input[Institution Name],H40)</f>
        <v>0</v>
      </c>
      <c r="BC40" s="720"/>
      <c r="BD40" s="721"/>
      <c r="BE40" s="719">
        <f t="shared" si="3"/>
        <v>0</v>
      </c>
      <c r="BF40" s="720"/>
      <c r="BG40" s="721"/>
      <c r="BH40" s="144"/>
      <c r="BI40" s="719">
        <f t="shared" si="4"/>
        <v>2656412</v>
      </c>
      <c r="BJ40" s="720"/>
      <c r="BK40" s="721"/>
      <c r="BL40" s="24"/>
      <c r="BM40" s="24"/>
      <c r="BN40" s="24"/>
    </row>
    <row r="41" spans="1:66" ht="30" customHeight="1" thickBot="1" x14ac:dyDescent="0.35">
      <c r="A41" s="24"/>
      <c r="B41" s="24"/>
      <c r="C41" s="24"/>
      <c r="D41" s="24"/>
      <c r="E41" s="24"/>
      <c r="F41" s="24"/>
      <c r="G41" s="24"/>
      <c r="H41" s="616" t="s">
        <v>49</v>
      </c>
      <c r="I41" s="617"/>
      <c r="J41" s="617"/>
      <c r="K41" s="617"/>
      <c r="L41" s="617"/>
      <c r="M41" s="617"/>
      <c r="N41" s="617"/>
      <c r="O41" s="617"/>
      <c r="P41" s="618"/>
      <c r="Q41" s="728">
        <f>SUMIFS(Input[T. - Gross E&amp;G],Input[Institution Name],H41)
+SUMIFS(Input[T. - Gross Desg],Input[Institution Name],H41)</f>
        <v>2872156</v>
      </c>
      <c r="R41" s="729"/>
      <c r="S41" s="730"/>
      <c r="T41" s="728">
        <f>SUMIFS(Input[T. W. - Stat (R AFR) E&amp;G],Input[Institution Name],H41)
+SUMIFS(Input[T. W. - Stat (R AFR) Desg],Input[Institution Name],H41)</f>
        <v>0</v>
      </c>
      <c r="U41" s="729"/>
      <c r="V41" s="729"/>
      <c r="W41" s="729">
        <f>SUMIFS(Input[T. W. - Inst. (R AFR) E&amp;G],Input[Institution Name],H41)
+SUMIFS(Input[T. W. - Inst. (R AFR) Desg],Input[Institution Name],H41)</f>
        <v>0</v>
      </c>
      <c r="X41" s="729"/>
      <c r="Y41" s="730"/>
      <c r="Z41" s="728">
        <f>SUMIFS(Input[T. Exp. - Stat (R AFR) E&amp;G],Input[Institution Name],H41)
+SUMIFS(Input[T. Exp. - Stat (R AFR) Desg],Input[Institution Name],H41)</f>
        <v>-90693</v>
      </c>
      <c r="AA41" s="729"/>
      <c r="AB41" s="729"/>
      <c r="AC41" s="729">
        <f>SUMIFS(Input[T. Exp. - Inst. (R AFR) E&amp;G],Input[Institution Name],H41)
+SUMIFS(Input[T. Exp. - Inst. (R AFR) Desg],Input[Institution Name],H41)</f>
        <v>-349128</v>
      </c>
      <c r="AD41" s="729"/>
      <c r="AE41" s="730"/>
      <c r="AF41" s="728">
        <f>SUMIFS(Input[T. Schlr E&amp;G],Input[Institution Name],H41)
+SUMIFS(Input[T. Schlr Desg],Input[Institution Name],H41)
+SUMIFS(Input[T. Schlr Aux],Input[Institution Name],H41)</f>
        <v>-1029176</v>
      </c>
      <c r="AG41" s="729"/>
      <c r="AH41" s="730"/>
      <c r="AI41" s="728">
        <f t="shared" si="5"/>
        <v>1403159</v>
      </c>
      <c r="AJ41" s="729"/>
      <c r="AK41" s="730"/>
      <c r="AL41" s="144"/>
      <c r="AM41" s="728">
        <f>SUMIFS(Input[Fees - Gross E&amp;G],Input[Institution Name],H41)
+SUMIFS(Input[Fees - Gross Desg],Input[Institution Name],H41)
+SUMIFS(Input[Fees - Gross Aux],Input[Institution Name],H41)
+SUMIFS(Input[Fees - Gross R Exp],Input[Institution Name],H41)
+SUMIFS(Input[Fees - Gross Loan],Input[Institution Name],H41)</f>
        <v>0</v>
      </c>
      <c r="AN41" s="729"/>
      <c r="AO41" s="730"/>
      <c r="AP41" s="728">
        <f>SUMIFS(Input[F. W. - Stat (R AFR) E&amp;G],Input[Institution Name],H41)
+SUMIFS(Input[F. W. - Stat (R AFR) Desg],Input[Institution Name],H41)
+SUMIFS(Input[F. W. - Stat (R AFR) Aux],Input[Institution Name],H41)</f>
        <v>0</v>
      </c>
      <c r="AQ41" s="729"/>
      <c r="AR41" s="729"/>
      <c r="AS41" s="729">
        <f>SUMIFS(Input[F. W. - Inst. (R AFR) E&amp;G],Input[Institution Name],H40)
+SUMIFS(Input[F. W. - Inst. (R AFR) Desg],Input[Institution Name],H40)
+SUMIFS(Input[F. W. - Inst. (R AFR) Aux],Input[Institution Name],H40)</f>
        <v>0</v>
      </c>
      <c r="AT41" s="729"/>
      <c r="AU41" s="730"/>
      <c r="AV41" s="728">
        <f>SUMIFS(Input[F. Exp. - Stat (R AFR) E&amp;G],Input[Institution Name],H41)
+SUMIFS(Input[F. Exp. - Stat (R AFR) Desg],Input[Institution Name],H41)
+SUMIFS(Input[F. Exp. - Stat (R AFR) Aux],Input[Institution Name],H41)</f>
        <v>0</v>
      </c>
      <c r="AW41" s="729"/>
      <c r="AX41" s="729"/>
      <c r="AY41" s="729">
        <f>SUMIFS(Input[F. Exp. - Inst. (R AFR) E&amp;G],Input[Institution Name],H41)
+SUMIFS(Input[F. Exp. - Inst. (R AFR) Desg],Input[Institution Name],H41)
+SUMIFS(Input[F. Exp. - Inst. (R AFR) Aux],Input[Institution Name],H41)</f>
        <v>0</v>
      </c>
      <c r="AZ41" s="729"/>
      <c r="BA41" s="730"/>
      <c r="BB41" s="728">
        <f>SUMIFS(Input[Fee Schlr E&amp;G],Input[Institution Name],H41)
+SUMIFS(Input[Fee Schlr Desg],Input[Institution Name],H41)
+SUMIFS(Input[Fee Schlr Aux],Input[Institution Name],H41)</f>
        <v>0</v>
      </c>
      <c r="BC41" s="729"/>
      <c r="BD41" s="730"/>
      <c r="BE41" s="728">
        <f t="shared" si="3"/>
        <v>0</v>
      </c>
      <c r="BF41" s="729"/>
      <c r="BG41" s="730"/>
      <c r="BH41" s="144"/>
      <c r="BI41" s="728">
        <f t="shared" si="4"/>
        <v>1403159</v>
      </c>
      <c r="BJ41" s="729"/>
      <c r="BK41" s="730"/>
      <c r="BL41" s="24"/>
      <c r="BM41" s="24"/>
      <c r="BN41" s="24"/>
    </row>
    <row r="42" spans="1:66" ht="30" customHeight="1" thickTop="1" x14ac:dyDescent="0.3">
      <c r="A42" s="24"/>
      <c r="B42" s="24"/>
      <c r="C42" s="24"/>
      <c r="D42" s="24"/>
      <c r="E42" s="24"/>
      <c r="F42" s="24"/>
      <c r="G42" s="24"/>
      <c r="H42" s="758"/>
      <c r="I42" s="759"/>
      <c r="J42" s="759"/>
      <c r="K42" s="759"/>
      <c r="L42" s="759"/>
      <c r="M42" s="759"/>
      <c r="N42" s="759"/>
      <c r="O42" s="759"/>
      <c r="P42" s="760"/>
      <c r="Q42" s="755">
        <f>SUM(Q33:S41)</f>
        <v>91660752</v>
      </c>
      <c r="R42" s="756"/>
      <c r="S42" s="757"/>
      <c r="T42" s="755">
        <f>SUM(T33:V41)</f>
        <v>0</v>
      </c>
      <c r="U42" s="756"/>
      <c r="V42" s="756"/>
      <c r="W42" s="756">
        <f>SUM(W33:Y41)</f>
        <v>0</v>
      </c>
      <c r="X42" s="756"/>
      <c r="Y42" s="757"/>
      <c r="Z42" s="755">
        <f>SUM(Z33:AB41)</f>
        <v>-1807511</v>
      </c>
      <c r="AA42" s="756"/>
      <c r="AB42" s="756"/>
      <c r="AC42" s="756">
        <f>SUM(AC33:AE41)</f>
        <v>-7161985</v>
      </c>
      <c r="AD42" s="756"/>
      <c r="AE42" s="757"/>
      <c r="AF42" s="755">
        <f>SUM(AF33:AH41)</f>
        <v>-39244406</v>
      </c>
      <c r="AG42" s="756"/>
      <c r="AH42" s="757"/>
      <c r="AI42" s="755">
        <f>SUM(AI33:AK41)</f>
        <v>43446850</v>
      </c>
      <c r="AJ42" s="756"/>
      <c r="AK42" s="757"/>
      <c r="AL42" s="39"/>
      <c r="AM42" s="755">
        <f>SUM(AM33:AO41)</f>
        <v>12682732</v>
      </c>
      <c r="AN42" s="756"/>
      <c r="AO42" s="757"/>
      <c r="AP42" s="755">
        <f>SUM(AP33:AR41)</f>
        <v>0</v>
      </c>
      <c r="AQ42" s="756"/>
      <c r="AR42" s="756"/>
      <c r="AS42" s="756">
        <f>SUM(AS33:AU41)</f>
        <v>0</v>
      </c>
      <c r="AT42" s="756"/>
      <c r="AU42" s="757"/>
      <c r="AV42" s="755">
        <f>SUM(AV33:AX41)</f>
        <v>-77662</v>
      </c>
      <c r="AW42" s="756"/>
      <c r="AX42" s="756"/>
      <c r="AY42" s="756">
        <f>SUM(AY33:BA41)</f>
        <v>-215463</v>
      </c>
      <c r="AZ42" s="756"/>
      <c r="BA42" s="757"/>
      <c r="BB42" s="755">
        <f>SUM(BB33:BD41)</f>
        <v>-3718928</v>
      </c>
      <c r="BC42" s="756"/>
      <c r="BD42" s="757"/>
      <c r="BE42" s="755">
        <f>SUM(BE33:BG41)</f>
        <v>8670679</v>
      </c>
      <c r="BF42" s="756"/>
      <c r="BG42" s="757"/>
      <c r="BH42" s="39"/>
      <c r="BI42" s="752">
        <f>SUM(BI33:BK41)</f>
        <v>52117529</v>
      </c>
      <c r="BJ42" s="753"/>
      <c r="BK42" s="754"/>
      <c r="BL42" s="24"/>
      <c r="BM42" s="24"/>
      <c r="BN42" s="24"/>
    </row>
    <row r="43" spans="1:66" ht="30" customHeight="1" x14ac:dyDescent="0.3">
      <c r="A43" s="24"/>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row>
    <row r="44" spans="1:66" ht="30" customHeight="1" x14ac:dyDescent="0.3">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row>
    <row r="45" spans="1:66" ht="30" customHeight="1" x14ac:dyDescent="0.3">
      <c r="A45" s="24"/>
      <c r="B45" s="24"/>
      <c r="C45" s="24"/>
      <c r="D45" s="24"/>
      <c r="E45" s="24"/>
      <c r="F45" s="24"/>
      <c r="G45" s="24"/>
      <c r="H45" s="718" t="s">
        <v>108</v>
      </c>
      <c r="I45" s="718"/>
      <c r="J45" s="718"/>
      <c r="K45" s="718"/>
      <c r="L45" s="718"/>
      <c r="M45" s="718"/>
      <c r="N45" s="718"/>
      <c r="O45" s="718"/>
      <c r="P45" s="718"/>
      <c r="Q45" s="718"/>
      <c r="R45" s="718"/>
      <c r="S45" s="718"/>
      <c r="T45" s="718"/>
      <c r="U45" s="718"/>
      <c r="V45" s="718"/>
      <c r="W45" s="718"/>
      <c r="X45" s="718"/>
      <c r="Y45" s="718"/>
      <c r="Z45" s="718"/>
      <c r="AA45" s="718"/>
      <c r="AB45" s="718"/>
      <c r="AC45" s="718"/>
      <c r="AD45" s="718"/>
      <c r="AE45" s="718"/>
      <c r="AF45" s="718"/>
      <c r="AG45" s="718"/>
      <c r="AH45" s="718"/>
      <c r="AI45" s="718"/>
      <c r="AJ45" s="718"/>
      <c r="AK45" s="718"/>
      <c r="AL45" s="718"/>
      <c r="AM45" s="718"/>
      <c r="AN45" s="718"/>
      <c r="AO45" s="718"/>
      <c r="AP45" s="718"/>
      <c r="AQ45" s="718"/>
      <c r="AR45" s="718"/>
      <c r="AS45" s="718"/>
      <c r="AT45" s="718"/>
      <c r="AU45" s="718"/>
      <c r="AV45" s="718"/>
      <c r="AW45" s="718"/>
      <c r="AX45" s="718"/>
      <c r="AY45" s="718"/>
      <c r="AZ45" s="718"/>
      <c r="BA45" s="718"/>
      <c r="BB45" s="718"/>
      <c r="BC45" s="718"/>
      <c r="BD45" s="718"/>
      <c r="BE45" s="718"/>
      <c r="BF45" s="718"/>
      <c r="BG45" s="718"/>
      <c r="BH45" s="718"/>
      <c r="BI45" s="718"/>
      <c r="BJ45" s="718"/>
      <c r="BK45" s="718"/>
      <c r="BL45" s="24"/>
      <c r="BM45" s="24"/>
      <c r="BN45" s="24"/>
    </row>
    <row r="46" spans="1:66" ht="30" customHeight="1" x14ac:dyDescent="0.3">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row>
    <row r="47" spans="1:66" s="38" customFormat="1" ht="30" customHeight="1" x14ac:dyDescent="0.3">
      <c r="A47" s="24"/>
      <c r="B47" s="24"/>
      <c r="C47" s="24"/>
      <c r="D47" s="24"/>
      <c r="E47" s="24"/>
      <c r="F47" s="24"/>
      <c r="G47" s="24"/>
      <c r="H47" s="50"/>
      <c r="I47" s="50"/>
      <c r="J47" s="50"/>
      <c r="K47" s="50"/>
      <c r="L47" s="50"/>
      <c r="M47" s="50"/>
      <c r="N47" s="50"/>
      <c r="O47" s="50"/>
      <c r="P47" s="50"/>
      <c r="Q47" s="736" t="s">
        <v>1014</v>
      </c>
      <c r="R47" s="736"/>
      <c r="S47" s="736"/>
      <c r="T47" s="736"/>
      <c r="U47" s="736"/>
      <c r="V47" s="736"/>
      <c r="W47" s="736"/>
      <c r="X47" s="736"/>
      <c r="Y47" s="736"/>
      <c r="Z47" s="736"/>
      <c r="AA47" s="736"/>
      <c r="AB47" s="736"/>
      <c r="AC47" s="736"/>
      <c r="AD47" s="736"/>
      <c r="AE47" s="736"/>
      <c r="AF47" s="736"/>
      <c r="AG47" s="736"/>
      <c r="AH47" s="736"/>
      <c r="AI47" s="736"/>
      <c r="AJ47" s="736"/>
      <c r="AK47" s="736"/>
      <c r="AL47" s="50"/>
      <c r="AM47" s="736" t="s">
        <v>1017</v>
      </c>
      <c r="AN47" s="736"/>
      <c r="AO47" s="736"/>
      <c r="AP47" s="736"/>
      <c r="AQ47" s="736"/>
      <c r="AR47" s="736"/>
      <c r="AS47" s="736"/>
      <c r="AT47" s="736"/>
      <c r="AU47" s="736"/>
      <c r="AV47" s="736"/>
      <c r="AW47" s="736"/>
      <c r="AX47" s="736"/>
      <c r="AY47" s="736"/>
      <c r="AZ47" s="736"/>
      <c r="BA47" s="736"/>
      <c r="BB47" s="736"/>
      <c r="BC47" s="736"/>
      <c r="BD47" s="736"/>
      <c r="BE47" s="736"/>
      <c r="BF47" s="736"/>
      <c r="BG47" s="736"/>
      <c r="BH47" s="50"/>
      <c r="BI47" s="50"/>
      <c r="BJ47" s="50"/>
      <c r="BK47" s="50"/>
      <c r="BL47" s="37"/>
      <c r="BM47" s="37"/>
      <c r="BN47" s="37"/>
    </row>
    <row r="48" spans="1:66" s="38" customFormat="1" ht="30" customHeight="1" x14ac:dyDescent="0.3">
      <c r="A48" s="24"/>
      <c r="B48" s="24"/>
      <c r="C48" s="24"/>
      <c r="D48" s="24"/>
      <c r="E48" s="24"/>
      <c r="F48" s="24"/>
      <c r="G48" s="24"/>
      <c r="H48" s="50"/>
      <c r="I48" s="50"/>
      <c r="J48" s="50"/>
      <c r="K48" s="50"/>
      <c r="L48" s="50"/>
      <c r="M48" s="50"/>
      <c r="N48" s="50"/>
      <c r="O48" s="50"/>
      <c r="P48" s="50"/>
      <c r="Q48" s="734"/>
      <c r="R48" s="734"/>
      <c r="S48" s="734"/>
      <c r="T48" s="735" t="s">
        <v>1015</v>
      </c>
      <c r="U48" s="735"/>
      <c r="V48" s="735"/>
      <c r="W48" s="735"/>
      <c r="X48" s="735"/>
      <c r="Y48" s="735"/>
      <c r="Z48" s="735" t="s">
        <v>1016</v>
      </c>
      <c r="AA48" s="735"/>
      <c r="AB48" s="735"/>
      <c r="AC48" s="735"/>
      <c r="AD48" s="735"/>
      <c r="AE48" s="735"/>
      <c r="AF48" s="734"/>
      <c r="AG48" s="734"/>
      <c r="AH48" s="734"/>
      <c r="AI48" s="734"/>
      <c r="AJ48" s="734"/>
      <c r="AK48" s="734"/>
      <c r="AL48" s="50"/>
      <c r="AM48" s="734"/>
      <c r="AN48" s="734"/>
      <c r="AO48" s="734"/>
      <c r="AP48" s="735" t="s">
        <v>1015</v>
      </c>
      <c r="AQ48" s="735"/>
      <c r="AR48" s="735"/>
      <c r="AS48" s="735"/>
      <c r="AT48" s="735"/>
      <c r="AU48" s="735"/>
      <c r="AV48" s="735" t="s">
        <v>1016</v>
      </c>
      <c r="AW48" s="735"/>
      <c r="AX48" s="735"/>
      <c r="AY48" s="735"/>
      <c r="AZ48" s="735"/>
      <c r="BA48" s="735"/>
      <c r="BB48" s="734"/>
      <c r="BC48" s="734"/>
      <c r="BD48" s="734"/>
      <c r="BE48" s="734"/>
      <c r="BF48" s="734"/>
      <c r="BG48" s="734"/>
      <c r="BH48" s="50"/>
      <c r="BI48" s="50"/>
      <c r="BJ48" s="50"/>
      <c r="BK48" s="50"/>
      <c r="BL48" s="37"/>
      <c r="BM48" s="37"/>
      <c r="BN48" s="37"/>
    </row>
    <row r="49" spans="1:66" ht="28.95" customHeight="1" x14ac:dyDescent="0.3">
      <c r="A49" s="24"/>
      <c r="B49" s="24"/>
      <c r="C49" s="24"/>
      <c r="D49" s="24"/>
      <c r="E49" s="24"/>
      <c r="F49" s="24"/>
      <c r="G49" s="24"/>
      <c r="H49" s="768" t="s">
        <v>0</v>
      </c>
      <c r="I49" s="769"/>
      <c r="J49" s="769"/>
      <c r="K49" s="769"/>
      <c r="L49" s="769"/>
      <c r="M49" s="769"/>
      <c r="N49" s="769"/>
      <c r="O49" s="769"/>
      <c r="P49" s="769"/>
      <c r="Q49" s="748" t="s">
        <v>1010</v>
      </c>
      <c r="R49" s="746"/>
      <c r="S49" s="746"/>
      <c r="T49" s="745" t="s">
        <v>1011</v>
      </c>
      <c r="U49" s="737"/>
      <c r="V49" s="737"/>
      <c r="W49" s="737" t="s">
        <v>66</v>
      </c>
      <c r="X49" s="737"/>
      <c r="Y49" s="738"/>
      <c r="Z49" s="745" t="s">
        <v>1011</v>
      </c>
      <c r="AA49" s="737"/>
      <c r="AB49" s="737"/>
      <c r="AC49" s="737" t="s">
        <v>66</v>
      </c>
      <c r="AD49" s="737"/>
      <c r="AE49" s="738"/>
      <c r="AF49" s="746" t="s">
        <v>1012</v>
      </c>
      <c r="AG49" s="746"/>
      <c r="AH49" s="747"/>
      <c r="AI49" s="748" t="s">
        <v>1013</v>
      </c>
      <c r="AJ49" s="746"/>
      <c r="AK49" s="747"/>
      <c r="AL49" s="41"/>
      <c r="AM49" s="748" t="s">
        <v>1010</v>
      </c>
      <c r="AN49" s="746"/>
      <c r="AO49" s="746"/>
      <c r="AP49" s="745" t="s">
        <v>1011</v>
      </c>
      <c r="AQ49" s="737"/>
      <c r="AR49" s="737"/>
      <c r="AS49" s="737" t="s">
        <v>66</v>
      </c>
      <c r="AT49" s="737"/>
      <c r="AU49" s="738"/>
      <c r="AV49" s="745" t="s">
        <v>1011</v>
      </c>
      <c r="AW49" s="737"/>
      <c r="AX49" s="737"/>
      <c r="AY49" s="737" t="s">
        <v>66</v>
      </c>
      <c r="AZ49" s="737"/>
      <c r="BA49" s="738"/>
      <c r="BB49" s="746" t="s">
        <v>1012</v>
      </c>
      <c r="BC49" s="746"/>
      <c r="BD49" s="747"/>
      <c r="BE49" s="748" t="s">
        <v>1013</v>
      </c>
      <c r="BF49" s="746"/>
      <c r="BG49" s="747"/>
      <c r="BH49" s="41"/>
      <c r="BI49" s="748" t="s">
        <v>1018</v>
      </c>
      <c r="BJ49" s="746"/>
      <c r="BK49" s="747"/>
      <c r="BL49" s="24"/>
      <c r="BM49" s="24"/>
      <c r="BN49" s="24"/>
    </row>
    <row r="50" spans="1:66" customFormat="1" ht="30" customHeight="1" x14ac:dyDescent="0.3">
      <c r="A50" s="5"/>
      <c r="B50" s="5"/>
      <c r="C50" s="5"/>
      <c r="D50" s="5"/>
      <c r="E50" s="5"/>
      <c r="F50" s="5"/>
      <c r="G50" s="5"/>
      <c r="H50" s="620" t="s">
        <v>29</v>
      </c>
      <c r="I50" s="621"/>
      <c r="J50" s="621"/>
      <c r="K50" s="621"/>
      <c r="L50" s="621"/>
      <c r="M50" s="621"/>
      <c r="N50" s="621"/>
      <c r="O50" s="621"/>
      <c r="P50" s="622"/>
      <c r="Q50" s="742">
        <f>SUMIFS(Input[T. - Gross E&amp;G],Input[Institution Name],H50)
+SUMIFS(Input[T. - Gross Desg],Input[Institution Name],H50)</f>
        <v>384059871</v>
      </c>
      <c r="R50" s="743"/>
      <c r="S50" s="744"/>
      <c r="T50" s="728">
        <f>SUMIFS(Input[T. W. - Stat (R AFR) E&amp;G],Input[Institution Name],H50)
+SUMIFS(Input[T. W. - Stat (R AFR) Desg],Input[Institution Name],H50)</f>
        <v>0</v>
      </c>
      <c r="U50" s="729"/>
      <c r="V50" s="729"/>
      <c r="W50" s="729">
        <f>SUMIFS(Input[T. W. - Inst. (R AFR) E&amp;G],Input[Institution Name],H50)
+SUMIFS(Input[T. W. - Inst. (R AFR) Desg],Input[Institution Name],H50)</f>
        <v>0</v>
      </c>
      <c r="X50" s="729"/>
      <c r="Y50" s="730"/>
      <c r="Z50" s="728">
        <f>SUMIFS(Input[T. Exp. - Stat (R AFR) E&amp;G],Input[Institution Name],H50)
+SUMIFS(Input[T. Exp. - Stat (R AFR) Desg],Input[Institution Name],H50)</f>
        <v>-12463538</v>
      </c>
      <c r="AA50" s="729"/>
      <c r="AB50" s="729"/>
      <c r="AC50" s="729">
        <f>SUMIFS(Input[T. Exp. - Inst. (R AFR) E&amp;G],Input[Institution Name],H50)
+SUMIFS(Input[T. Exp. - Inst. (R AFR) Desg],Input[Institution Name],H50)</f>
        <v>-2250361</v>
      </c>
      <c r="AD50" s="729"/>
      <c r="AE50" s="730"/>
      <c r="AF50" s="728">
        <f>SUMIFS(Input[T. Schlr E&amp;G],Input[Institution Name],H50)
+SUMIFS(Input[T. Schlr Desg],Input[Institution Name],H50)
+SUMIFS(Input[T. Schlr Aux],Input[Institution Name],H50)</f>
        <v>-197140043</v>
      </c>
      <c r="AG50" s="729"/>
      <c r="AH50" s="730"/>
      <c r="AI50" s="728">
        <f>SUM(Q50:AH50)</f>
        <v>172205929</v>
      </c>
      <c r="AJ50" s="729"/>
      <c r="AK50" s="730"/>
      <c r="AL50" s="143"/>
      <c r="AM50" s="742">
        <f>SUMIFS(Input[Fees - Gross E&amp;G],Input[Institution Name],H50)
+SUMIFS(Input[Fees - Gross Desg],Input[Institution Name],H50)
+SUMIFS(Input[Fees - Gross Aux],Input[Institution Name],H50)
+SUMIFS(Input[Fees - Gross R Exp],Input[Institution Name],H50)
+SUMIFS(Input[Fees - Gross Loan],Input[Institution Name],H50)</f>
        <v>145302801</v>
      </c>
      <c r="AN50" s="743"/>
      <c r="AO50" s="744"/>
      <c r="AP50" s="739">
        <f>SUMIFS(Input[F. W. - Stat (R AFR) E&amp;G],Input[Institution Name],H50)
+SUMIFS(Input[F. W. - Stat (R AFR) Desg],Input[Institution Name],H50)
+SUMIFS(Input[F. W. - Stat (R AFR) Aux],Input[Institution Name],H50)</f>
        <v>0</v>
      </c>
      <c r="AQ50" s="740"/>
      <c r="AR50" s="740"/>
      <c r="AS50" s="740">
        <f>SUMIFS(Input[F. W. - Inst. (R AFR) E&amp;G],Input[Institution Name],H49)
+SUMIFS(Input[F. W. - Inst. (R AFR) Desg],Input[Institution Name],H49)
+SUMIFS(Input[F. W. - Inst. (R AFR) Aux],Input[Institution Name],H49)</f>
        <v>0</v>
      </c>
      <c r="AT50" s="740"/>
      <c r="AU50" s="741"/>
      <c r="AV50" s="739">
        <f>SUMIFS(Input[F. Exp. - Stat (R AFR) E&amp;G],Input[Institution Name],H50)
+SUMIFS(Input[F. Exp. - Stat (R AFR) Desg],Input[Institution Name],H50)
+SUMIFS(Input[F. Exp. - Stat (R AFR) Aux],Input[Institution Name],H50)</f>
        <v>0</v>
      </c>
      <c r="AW50" s="740"/>
      <c r="AX50" s="740"/>
      <c r="AY50" s="740">
        <f>SUMIFS(Input[F. Exp. - Inst. (R AFR) E&amp;G],Input[Institution Name],H50)
+SUMIFS(Input[F. Exp. - Inst. (R AFR) Desg],Input[Institution Name],H50)
+SUMIFS(Input[F. Exp. - Inst. (R AFR) Aux],Input[Institution Name],H50)</f>
        <v>-2596571</v>
      </c>
      <c r="AZ50" s="740"/>
      <c r="BA50" s="741"/>
      <c r="BB50" s="739">
        <f>SUMIFS(Input[Fee Schlr E&amp;G],Input[Institution Name],H50)
+SUMIFS(Input[Fee Schlr Desg],Input[Institution Name],H50)
+SUMIFS(Input[Fee Schlr Aux],Input[Institution Name],H50)</f>
        <v>-48044357</v>
      </c>
      <c r="BC50" s="740"/>
      <c r="BD50" s="741"/>
      <c r="BE50" s="742">
        <f>SUM(AM50:BD50)</f>
        <v>94661873</v>
      </c>
      <c r="BF50" s="743"/>
      <c r="BG50" s="744"/>
      <c r="BH50" s="143"/>
      <c r="BI50" s="742">
        <f>AI50+BE50</f>
        <v>266867802</v>
      </c>
      <c r="BJ50" s="743"/>
      <c r="BK50" s="744"/>
      <c r="BL50" s="5"/>
      <c r="BM50" s="5"/>
      <c r="BN50" s="5"/>
    </row>
    <row r="51" spans="1:66" customFormat="1" ht="30" customHeight="1" x14ac:dyDescent="0.3">
      <c r="A51" s="5"/>
      <c r="B51" s="5"/>
      <c r="C51" s="5"/>
      <c r="D51" s="5"/>
      <c r="E51" s="5"/>
      <c r="F51" s="5"/>
      <c r="G51" s="5"/>
      <c r="H51" s="579" t="s">
        <v>40</v>
      </c>
      <c r="I51" s="580"/>
      <c r="J51" s="580"/>
      <c r="K51" s="580"/>
      <c r="L51" s="580"/>
      <c r="M51" s="580"/>
      <c r="N51" s="580"/>
      <c r="O51" s="580"/>
      <c r="P51" s="619"/>
      <c r="Q51" s="715">
        <f>SUMIFS(Input[T. - Gross E&amp;G],Input[Institution Name],H51)
+SUMIFS(Input[T. - Gross Desg],Input[Institution Name],H51)</f>
        <v>697069153</v>
      </c>
      <c r="R51" s="716"/>
      <c r="S51" s="717"/>
      <c r="T51" s="719">
        <f>SUMIFS(Input[T. W. - Stat (R AFR) E&amp;G],Input[Institution Name],H51)
+SUMIFS(Input[T. W. - Stat (R AFR) Desg],Input[Institution Name],H51)</f>
        <v>0</v>
      </c>
      <c r="U51" s="720"/>
      <c r="V51" s="720"/>
      <c r="W51" s="720">
        <f>SUMIFS(Input[T. W. - Inst. (R AFR) E&amp;G],Input[Institution Name],H51)
+SUMIFS(Input[T. W. - Inst. (R AFR) Desg],Input[Institution Name],H51)</f>
        <v>0</v>
      </c>
      <c r="X51" s="720"/>
      <c r="Y51" s="721"/>
      <c r="Z51" s="719">
        <f>SUMIFS(Input[T. Exp. - Stat (R AFR) E&amp;G],Input[Institution Name],H51)
+SUMIFS(Input[T. Exp. - Stat (R AFR) Desg],Input[Institution Name],H51)</f>
        <v>-18004031</v>
      </c>
      <c r="AA51" s="720"/>
      <c r="AB51" s="720"/>
      <c r="AC51" s="720">
        <f>SUMIFS(Input[T. Exp. - Inst. (R AFR) E&amp;G],Input[Institution Name],H51)
+SUMIFS(Input[T. Exp. - Inst. (R AFR) Desg],Input[Institution Name],H51)</f>
        <v>0</v>
      </c>
      <c r="AD51" s="720"/>
      <c r="AE51" s="721"/>
      <c r="AF51" s="719">
        <f>SUMIFS(Input[T. Schlr E&amp;G],Input[Institution Name],H51)
+SUMIFS(Input[T. Schlr Desg],Input[Institution Name],H51)
+SUMIFS(Input[T. Schlr Aux],Input[Institution Name],H51)</f>
        <v>-371428146</v>
      </c>
      <c r="AG51" s="720"/>
      <c r="AH51" s="721"/>
      <c r="AI51" s="719">
        <f t="shared" ref="AI51:AI61" si="6">SUM(Q51:AH51)</f>
        <v>307636976</v>
      </c>
      <c r="AJ51" s="720"/>
      <c r="AK51" s="721"/>
      <c r="AL51" s="143"/>
      <c r="AM51" s="715">
        <f>SUMIFS(Input[Fees - Gross E&amp;G],Input[Institution Name],H51)
+SUMIFS(Input[Fees - Gross Desg],Input[Institution Name],H51)
+SUMIFS(Input[Fees - Gross Aux],Input[Institution Name],H51)
+SUMIFS(Input[Fees - Gross R Exp],Input[Institution Name],H51)
+SUMIFS(Input[Fees - Gross Loan],Input[Institution Name],H51)</f>
        <v>102932892</v>
      </c>
      <c r="AN51" s="716"/>
      <c r="AO51" s="717"/>
      <c r="AP51" s="733">
        <f>SUMIFS(Input[F. W. - Stat (R AFR) E&amp;G],Input[Institution Name],H51)
+SUMIFS(Input[F. W. - Stat (R AFR) Desg],Input[Institution Name],H51)
+SUMIFS(Input[F. W. - Stat (R AFR) Aux],Input[Institution Name],H51)</f>
        <v>0</v>
      </c>
      <c r="AQ51" s="731"/>
      <c r="AR51" s="731"/>
      <c r="AS51" s="731">
        <f>SUMIFS(Input[F. W. - Inst. (R AFR) E&amp;G],Input[Institution Name],H50)
+SUMIFS(Input[F. W. - Inst. (R AFR) Desg],Input[Institution Name],H50)
+SUMIFS(Input[F. W. - Inst. (R AFR) Aux],Input[Institution Name],H50)</f>
        <v>0</v>
      </c>
      <c r="AT51" s="731"/>
      <c r="AU51" s="732"/>
      <c r="AV51" s="733">
        <f>SUMIFS(Input[F. Exp. - Stat (R AFR) E&amp;G],Input[Institution Name],H51)
+SUMIFS(Input[F. Exp. - Stat (R AFR) Desg],Input[Institution Name],H51)
+SUMIFS(Input[F. Exp. - Stat (R AFR) Aux],Input[Institution Name],H51)</f>
        <v>-1135987</v>
      </c>
      <c r="AW51" s="731"/>
      <c r="AX51" s="731"/>
      <c r="AY51" s="731">
        <f>SUMIFS(Input[F. Exp. - Inst. (R AFR) E&amp;G],Input[Institution Name],H51)
+SUMIFS(Input[F. Exp. - Inst. (R AFR) Desg],Input[Institution Name],H51)
+SUMIFS(Input[F. Exp. - Inst. (R AFR) Aux],Input[Institution Name],H51)</f>
        <v>0</v>
      </c>
      <c r="AZ51" s="731"/>
      <c r="BA51" s="732"/>
      <c r="BB51" s="733">
        <f>SUMIFS(Input[Fee Schlr E&amp;G],Input[Institution Name],H51)
+SUMIFS(Input[Fee Schlr Desg],Input[Institution Name],H51)
+SUMIFS(Input[Fee Schlr Aux],Input[Institution Name],H51)</f>
        <v>-23064840</v>
      </c>
      <c r="BC51" s="731"/>
      <c r="BD51" s="732"/>
      <c r="BE51" s="715">
        <f t="shared" ref="BE51:BE57" si="7">SUM(AM51:BD51)</f>
        <v>78732065</v>
      </c>
      <c r="BF51" s="716"/>
      <c r="BG51" s="717"/>
      <c r="BH51" s="143"/>
      <c r="BI51" s="715">
        <f t="shared" ref="BI51:BI57" si="8">AI51+BE51</f>
        <v>386369041</v>
      </c>
      <c r="BJ51" s="716"/>
      <c r="BK51" s="717"/>
      <c r="BL51" s="5"/>
      <c r="BM51" s="5"/>
      <c r="BN51" s="5"/>
    </row>
    <row r="52" spans="1:66" customFormat="1" ht="30" customHeight="1" x14ac:dyDescent="0.3">
      <c r="A52" s="5"/>
      <c r="B52" s="5"/>
      <c r="C52" s="5"/>
      <c r="D52" s="5"/>
      <c r="E52" s="5"/>
      <c r="F52" s="5"/>
      <c r="G52" s="5"/>
      <c r="H52" s="616" t="s">
        <v>52</v>
      </c>
      <c r="I52" s="617"/>
      <c r="J52" s="617"/>
      <c r="K52" s="617"/>
      <c r="L52" s="617"/>
      <c r="M52" s="617"/>
      <c r="N52" s="617"/>
      <c r="O52" s="617"/>
      <c r="P52" s="618"/>
      <c r="Q52" s="725">
        <f>SUMIFS(Input[T. - Gross E&amp;G],Input[Institution Name],H52)
+SUMIFS(Input[T. - Gross Desg],Input[Institution Name],H52)</f>
        <v>372709539</v>
      </c>
      <c r="R52" s="726"/>
      <c r="S52" s="727"/>
      <c r="T52" s="728">
        <f>SUMIFS(Input[T. W. - Stat (R AFR) E&amp;G],Input[Institution Name],H52)
+SUMIFS(Input[T. W. - Stat (R AFR) Desg],Input[Institution Name],H52)</f>
        <v>0</v>
      </c>
      <c r="U52" s="729"/>
      <c r="V52" s="729"/>
      <c r="W52" s="729">
        <f>SUMIFS(Input[T. W. - Inst. (R AFR) E&amp;G],Input[Institution Name],H52)
+SUMIFS(Input[T. W. - Inst. (R AFR) Desg],Input[Institution Name],H52)</f>
        <v>0</v>
      </c>
      <c r="X52" s="729"/>
      <c r="Y52" s="730"/>
      <c r="Z52" s="728">
        <f>SUMIFS(Input[T. Exp. - Stat (R AFR) E&amp;G],Input[Institution Name],H52)
+SUMIFS(Input[T. Exp. - Stat (R AFR) Desg],Input[Institution Name],H52)</f>
        <v>-7871397</v>
      </c>
      <c r="AA52" s="729"/>
      <c r="AB52" s="729"/>
      <c r="AC52" s="729">
        <f>SUMIFS(Input[T. Exp. - Inst. (R AFR) E&amp;G],Input[Institution Name],H52)
+SUMIFS(Input[T. Exp. - Inst. (R AFR) Desg],Input[Institution Name],H52)</f>
        <v>0</v>
      </c>
      <c r="AD52" s="729"/>
      <c r="AE52" s="730"/>
      <c r="AF52" s="728">
        <f>SUMIFS(Input[T. Schlr E&amp;G],Input[Institution Name],H52)
+SUMIFS(Input[T. Schlr Desg],Input[Institution Name],H52)
+SUMIFS(Input[T. Schlr Aux],Input[Institution Name],H52)</f>
        <v>-156981294</v>
      </c>
      <c r="AG52" s="729"/>
      <c r="AH52" s="730"/>
      <c r="AI52" s="728">
        <f t="shared" si="6"/>
        <v>207856848</v>
      </c>
      <c r="AJ52" s="729"/>
      <c r="AK52" s="730"/>
      <c r="AL52" s="143"/>
      <c r="AM52" s="725">
        <f>SUMIFS(Input[Fees - Gross E&amp;G],Input[Institution Name],H52)
+SUMIFS(Input[Fees - Gross Desg],Input[Institution Name],H52)
+SUMIFS(Input[Fees - Gross Aux],Input[Institution Name],H52)
+SUMIFS(Input[Fees - Gross R Exp],Input[Institution Name],H52)
+SUMIFS(Input[Fees - Gross Loan],Input[Institution Name],H52)</f>
        <v>123573552</v>
      </c>
      <c r="AN52" s="726"/>
      <c r="AO52" s="727"/>
      <c r="AP52" s="724">
        <f>SUMIFS(Input[F. W. - Stat (R AFR) E&amp;G],Input[Institution Name],H52)
+SUMIFS(Input[F. W. - Stat (R AFR) Desg],Input[Institution Name],H52)
+SUMIFS(Input[F. W. - Stat (R AFR) Aux],Input[Institution Name],H52)</f>
        <v>0</v>
      </c>
      <c r="AQ52" s="722"/>
      <c r="AR52" s="722"/>
      <c r="AS52" s="722">
        <f>SUMIFS(Input[F. W. - Inst. (R AFR) E&amp;G],Input[Institution Name],H51)
+SUMIFS(Input[F. W. - Inst. (R AFR) Desg],Input[Institution Name],H51)
+SUMIFS(Input[F. W. - Inst. (R AFR) Aux],Input[Institution Name],H51)</f>
        <v>0</v>
      </c>
      <c r="AT52" s="722"/>
      <c r="AU52" s="723"/>
      <c r="AV52" s="724">
        <f>SUMIFS(Input[F. Exp. - Stat (R AFR) E&amp;G],Input[Institution Name],H52)
+SUMIFS(Input[F. Exp. - Stat (R AFR) Desg],Input[Institution Name],H52)
+SUMIFS(Input[F. Exp. - Stat (R AFR) Aux],Input[Institution Name],H52)</f>
        <v>-663368</v>
      </c>
      <c r="AW52" s="722"/>
      <c r="AX52" s="722"/>
      <c r="AY52" s="722">
        <f>SUMIFS(Input[F. Exp. - Inst. (R AFR) E&amp;G],Input[Institution Name],H52)
+SUMIFS(Input[F. Exp. - Inst. (R AFR) Desg],Input[Institution Name],H52)
+SUMIFS(Input[F. Exp. - Inst. (R AFR) Aux],Input[Institution Name],H52)</f>
        <v>0</v>
      </c>
      <c r="AZ52" s="722"/>
      <c r="BA52" s="723"/>
      <c r="BB52" s="724">
        <f>SUMIFS(Input[Fee Schlr E&amp;G],Input[Institution Name],H52)
+SUMIFS(Input[Fee Schlr Desg],Input[Institution Name],H52)
+SUMIFS(Input[Fee Schlr Aux],Input[Institution Name],H52)</f>
        <v>-6331043</v>
      </c>
      <c r="BC52" s="722"/>
      <c r="BD52" s="723"/>
      <c r="BE52" s="725">
        <f t="shared" si="7"/>
        <v>116579141</v>
      </c>
      <c r="BF52" s="726"/>
      <c r="BG52" s="727"/>
      <c r="BH52" s="143"/>
      <c r="BI52" s="725">
        <f t="shared" si="8"/>
        <v>324435989</v>
      </c>
      <c r="BJ52" s="726"/>
      <c r="BK52" s="727"/>
      <c r="BL52" s="5"/>
      <c r="BM52" s="5"/>
      <c r="BN52" s="5"/>
    </row>
    <row r="53" spans="1:66" customFormat="1" ht="30" customHeight="1" x14ac:dyDescent="0.3">
      <c r="A53" s="5"/>
      <c r="B53" s="5"/>
      <c r="C53" s="5"/>
      <c r="D53" s="5"/>
      <c r="E53" s="5"/>
      <c r="F53" s="5"/>
      <c r="G53" s="5"/>
      <c r="H53" s="579" t="s">
        <v>55</v>
      </c>
      <c r="I53" s="580"/>
      <c r="J53" s="580"/>
      <c r="K53" s="580"/>
      <c r="L53" s="580"/>
      <c r="M53" s="580"/>
      <c r="N53" s="580"/>
      <c r="O53" s="580"/>
      <c r="P53" s="619"/>
      <c r="Q53" s="715">
        <f>SUMIFS(Input[T. - Gross E&amp;G],Input[Institution Name],H53)
+SUMIFS(Input[T. - Gross Desg],Input[Institution Name],H53)</f>
        <v>160529342</v>
      </c>
      <c r="R53" s="716"/>
      <c r="S53" s="717"/>
      <c r="T53" s="719">
        <f>SUMIFS(Input[T. W. - Stat (R AFR) E&amp;G],Input[Institution Name],H53)
+SUMIFS(Input[T. W. - Stat (R AFR) Desg],Input[Institution Name],H53)</f>
        <v>0</v>
      </c>
      <c r="U53" s="720"/>
      <c r="V53" s="720"/>
      <c r="W53" s="720">
        <f>SUMIFS(Input[T. W. - Inst. (R AFR) E&amp;G],Input[Institution Name],H53)
+SUMIFS(Input[T. W. - Inst. (R AFR) Desg],Input[Institution Name],H53)</f>
        <v>0</v>
      </c>
      <c r="X53" s="720"/>
      <c r="Y53" s="721"/>
      <c r="Z53" s="719">
        <f>SUMIFS(Input[T. Exp. - Stat (R AFR) E&amp;G],Input[Institution Name],H53)
+SUMIFS(Input[T. Exp. - Stat (R AFR) Desg],Input[Institution Name],H53)</f>
        <v>-5889351</v>
      </c>
      <c r="AA53" s="720"/>
      <c r="AB53" s="720"/>
      <c r="AC53" s="720">
        <f>SUMIFS(Input[T. Exp. - Inst. (R AFR) E&amp;G],Input[Institution Name],H53)
+SUMIFS(Input[T. Exp. - Inst. (R AFR) Desg],Input[Institution Name],H53)</f>
        <v>0</v>
      </c>
      <c r="AD53" s="720"/>
      <c r="AE53" s="721"/>
      <c r="AF53" s="719">
        <f>SUMIFS(Input[T. Schlr E&amp;G],Input[Institution Name],H53)
+SUMIFS(Input[T. Schlr Desg],Input[Institution Name],H53)
+SUMIFS(Input[T. Schlr Aux],Input[Institution Name],H53)</f>
        <v>-89973264</v>
      </c>
      <c r="AG53" s="720"/>
      <c r="AH53" s="721"/>
      <c r="AI53" s="719">
        <f t="shared" si="6"/>
        <v>64666727</v>
      </c>
      <c r="AJ53" s="720"/>
      <c r="AK53" s="721"/>
      <c r="AL53" s="143"/>
      <c r="AM53" s="715">
        <f>SUMIFS(Input[Fees - Gross E&amp;G],Input[Institution Name],H53)
+SUMIFS(Input[Fees - Gross Desg],Input[Institution Name],H53)
+SUMIFS(Input[Fees - Gross Aux],Input[Institution Name],H53)
+SUMIFS(Input[Fees - Gross R Exp],Input[Institution Name],H53)
+SUMIFS(Input[Fees - Gross Loan],Input[Institution Name],H53)</f>
        <v>62865914</v>
      </c>
      <c r="AN53" s="716"/>
      <c r="AO53" s="717"/>
      <c r="AP53" s="733">
        <f>SUMIFS(Input[F. W. - Stat (R AFR) E&amp;G],Input[Institution Name],H53)
+SUMIFS(Input[F. W. - Stat (R AFR) Desg],Input[Institution Name],H53)
+SUMIFS(Input[F. W. - Stat (R AFR) Aux],Input[Institution Name],H53)</f>
        <v>0</v>
      </c>
      <c r="AQ53" s="731"/>
      <c r="AR53" s="731"/>
      <c r="AS53" s="731">
        <f>SUMIFS(Input[F. W. - Inst. (R AFR) E&amp;G],Input[Institution Name],H52)
+SUMIFS(Input[F. W. - Inst. (R AFR) Desg],Input[Institution Name],H52)
+SUMIFS(Input[F. W. - Inst. (R AFR) Aux],Input[Institution Name],H52)</f>
        <v>0</v>
      </c>
      <c r="AT53" s="731"/>
      <c r="AU53" s="732"/>
      <c r="AV53" s="733">
        <f>SUMIFS(Input[F. Exp. - Stat (R AFR) E&amp;G],Input[Institution Name],H53)
+SUMIFS(Input[F. Exp. - Stat (R AFR) Desg],Input[Institution Name],H53)
+SUMIFS(Input[F. Exp. - Stat (R AFR) Aux],Input[Institution Name],H53)</f>
        <v>-1944289</v>
      </c>
      <c r="AW53" s="731"/>
      <c r="AX53" s="731"/>
      <c r="AY53" s="731">
        <f>SUMIFS(Input[F. Exp. - Inst. (R AFR) E&amp;G],Input[Institution Name],H53)
+SUMIFS(Input[F. Exp. - Inst. (R AFR) Desg],Input[Institution Name],H53)
+SUMIFS(Input[F. Exp. - Inst. (R AFR) Aux],Input[Institution Name],H53)</f>
        <v>0</v>
      </c>
      <c r="AZ53" s="731"/>
      <c r="BA53" s="732"/>
      <c r="BB53" s="733">
        <f>SUMIFS(Input[Fee Schlr E&amp;G],Input[Institution Name],H53)
+SUMIFS(Input[Fee Schlr Desg],Input[Institution Name],H53)
+SUMIFS(Input[Fee Schlr Aux],Input[Institution Name],H53)</f>
        <v>-35594915</v>
      </c>
      <c r="BC53" s="731"/>
      <c r="BD53" s="732"/>
      <c r="BE53" s="715">
        <f t="shared" si="7"/>
        <v>25326710</v>
      </c>
      <c r="BF53" s="716"/>
      <c r="BG53" s="717"/>
      <c r="BH53" s="143"/>
      <c r="BI53" s="715">
        <f t="shared" si="8"/>
        <v>89993437</v>
      </c>
      <c r="BJ53" s="716"/>
      <c r="BK53" s="717"/>
      <c r="BL53" s="5"/>
      <c r="BM53" s="5"/>
      <c r="BN53" s="5"/>
    </row>
    <row r="54" spans="1:66" customFormat="1" ht="30" customHeight="1" x14ac:dyDescent="0.3">
      <c r="A54" s="5"/>
      <c r="B54" s="5"/>
      <c r="C54" s="5"/>
      <c r="D54" s="5"/>
      <c r="E54" s="5"/>
      <c r="F54" s="5"/>
      <c r="G54" s="5"/>
      <c r="H54" s="616" t="s">
        <v>164</v>
      </c>
      <c r="I54" s="617"/>
      <c r="J54" s="617"/>
      <c r="K54" s="617"/>
      <c r="L54" s="617"/>
      <c r="M54" s="617"/>
      <c r="N54" s="617"/>
      <c r="O54" s="617"/>
      <c r="P54" s="618"/>
      <c r="Q54" s="725">
        <f>SUMIFS(Input[T. - Gross E&amp;G],Input[Institution Name],H54)
+SUMIFS(Input[T. - Gross Desg],Input[Institution Name],H54)</f>
        <v>252105543</v>
      </c>
      <c r="R54" s="726"/>
      <c r="S54" s="727"/>
      <c r="T54" s="728">
        <f>SUMIFS(Input[T. W. - Stat (R AFR) E&amp;G],Input[Institution Name],H54)
+SUMIFS(Input[T. W. - Stat (R AFR) Desg],Input[Institution Name],H54)</f>
        <v>0</v>
      </c>
      <c r="U54" s="729"/>
      <c r="V54" s="729"/>
      <c r="W54" s="729">
        <f>SUMIFS(Input[T. W. - Inst. (R AFR) E&amp;G],Input[Institution Name],H54)
+SUMIFS(Input[T. W. - Inst. (R AFR) Desg],Input[Institution Name],H54)</f>
        <v>0</v>
      </c>
      <c r="X54" s="729"/>
      <c r="Y54" s="730"/>
      <c r="Z54" s="728">
        <f>SUMIFS(Input[T. Exp. - Stat (R AFR) E&amp;G],Input[Institution Name],H54)
+SUMIFS(Input[T. Exp. - Stat (R AFR) Desg],Input[Institution Name],H54)</f>
        <v>-11164633</v>
      </c>
      <c r="AA54" s="729"/>
      <c r="AB54" s="729"/>
      <c r="AC54" s="729">
        <f>SUMIFS(Input[T. Exp. - Inst. (R AFR) E&amp;G],Input[Institution Name],H54)
+SUMIFS(Input[T. Exp. - Inst. (R AFR) Desg],Input[Institution Name],H54)</f>
        <v>0</v>
      </c>
      <c r="AD54" s="729"/>
      <c r="AE54" s="730"/>
      <c r="AF54" s="728">
        <f>SUMIFS(Input[T. Schlr E&amp;G],Input[Institution Name],H54)
+SUMIFS(Input[T. Schlr Desg],Input[Institution Name],H54)
+SUMIFS(Input[T. Schlr Aux],Input[Institution Name],H54)</f>
        <v>-187024452</v>
      </c>
      <c r="AG54" s="729"/>
      <c r="AH54" s="730"/>
      <c r="AI54" s="728">
        <f t="shared" si="6"/>
        <v>53916458</v>
      </c>
      <c r="AJ54" s="729"/>
      <c r="AK54" s="730"/>
      <c r="AL54" s="143"/>
      <c r="AM54" s="725">
        <f>SUMIFS(Input[Fees - Gross E&amp;G],Input[Institution Name],H54)
+SUMIFS(Input[Fees - Gross Desg],Input[Institution Name],H54)
+SUMIFS(Input[Fees - Gross Aux],Input[Institution Name],H54)
+SUMIFS(Input[Fees - Gross R Exp],Input[Institution Name],H54)
+SUMIFS(Input[Fees - Gross Loan],Input[Institution Name],H54)</f>
        <v>65853171</v>
      </c>
      <c r="AN54" s="726"/>
      <c r="AO54" s="727"/>
      <c r="AP54" s="724">
        <f>SUMIFS(Input[F. W. - Stat (R AFR) E&amp;G],Input[Institution Name],H54)
+SUMIFS(Input[F. W. - Stat (R AFR) Desg],Input[Institution Name],H54)
+SUMIFS(Input[F. W. - Stat (R AFR) Aux],Input[Institution Name],H54)</f>
        <v>0</v>
      </c>
      <c r="AQ54" s="722"/>
      <c r="AR54" s="722"/>
      <c r="AS54" s="722">
        <f>SUMIFS(Input[F. W. - Inst. (R AFR) E&amp;G],Input[Institution Name],H53)
+SUMIFS(Input[F. W. - Inst. (R AFR) Desg],Input[Institution Name],H53)
+SUMIFS(Input[F. W. - Inst. (R AFR) Aux],Input[Institution Name],H53)</f>
        <v>0</v>
      </c>
      <c r="AT54" s="722"/>
      <c r="AU54" s="723"/>
      <c r="AV54" s="724">
        <f>SUMIFS(Input[F. Exp. - Stat (R AFR) E&amp;G],Input[Institution Name],H54)
+SUMIFS(Input[F. Exp. - Stat (R AFR) Desg],Input[Institution Name],H54)
+SUMIFS(Input[F. Exp. - Stat (R AFR) Aux],Input[Institution Name],H54)</f>
        <v>-1149181</v>
      </c>
      <c r="AW54" s="722"/>
      <c r="AX54" s="722"/>
      <c r="AY54" s="722">
        <f>SUMIFS(Input[F. Exp. - Inst. (R AFR) E&amp;G],Input[Institution Name],H54)
+SUMIFS(Input[F. Exp. - Inst. (R AFR) Desg],Input[Institution Name],H54)
+SUMIFS(Input[F. Exp. - Inst. (R AFR) Aux],Input[Institution Name],H54)</f>
        <v>0</v>
      </c>
      <c r="AZ54" s="722"/>
      <c r="BA54" s="723"/>
      <c r="BB54" s="724">
        <f>SUMIFS(Input[Fee Schlr E&amp;G],Input[Institution Name],H54)
+SUMIFS(Input[Fee Schlr Desg],Input[Institution Name],H54)
+SUMIFS(Input[Fee Schlr Aux],Input[Institution Name],H54)</f>
        <v>-15572487</v>
      </c>
      <c r="BC54" s="722"/>
      <c r="BD54" s="723"/>
      <c r="BE54" s="725">
        <f t="shared" si="7"/>
        <v>49131503</v>
      </c>
      <c r="BF54" s="726"/>
      <c r="BG54" s="727"/>
      <c r="BH54" s="143"/>
      <c r="BI54" s="725">
        <f t="shared" si="8"/>
        <v>103047961</v>
      </c>
      <c r="BJ54" s="726"/>
      <c r="BK54" s="727"/>
      <c r="BL54" s="5"/>
      <c r="BM54" s="5"/>
      <c r="BN54" s="5"/>
    </row>
    <row r="55" spans="1:66" customFormat="1" ht="30" customHeight="1" x14ac:dyDescent="0.3">
      <c r="A55" s="5"/>
      <c r="B55" s="5"/>
      <c r="C55" s="5"/>
      <c r="D55" s="5"/>
      <c r="E55" s="5"/>
      <c r="F55" s="5"/>
      <c r="G55" s="5"/>
      <c r="H55" s="579" t="s">
        <v>1</v>
      </c>
      <c r="I55" s="580"/>
      <c r="J55" s="580"/>
      <c r="K55" s="580"/>
      <c r="L55" s="580"/>
      <c r="M55" s="580"/>
      <c r="N55" s="580"/>
      <c r="O55" s="580"/>
      <c r="P55" s="619"/>
      <c r="Q55" s="715">
        <f>SUMIFS(Input[T. - Gross E&amp;G],Input[Institution Name],H55)
+SUMIFS(Input[T. - Gross Desg],Input[Institution Name],H55)</f>
        <v>28503399</v>
      </c>
      <c r="R55" s="716"/>
      <c r="S55" s="717"/>
      <c r="T55" s="719">
        <f>SUMIFS(Input[T. W. - Stat (R AFR) E&amp;G],Input[Institution Name],H55)
+SUMIFS(Input[T. W. - Stat (R AFR) Desg],Input[Institution Name],H55)</f>
        <v>0</v>
      </c>
      <c r="U55" s="720"/>
      <c r="V55" s="720"/>
      <c r="W55" s="720">
        <f>SUMIFS(Input[T. W. - Inst. (R AFR) E&amp;G],Input[Institution Name],H55)
+SUMIFS(Input[T. W. - Inst. (R AFR) Desg],Input[Institution Name],H55)</f>
        <v>0</v>
      </c>
      <c r="X55" s="720"/>
      <c r="Y55" s="721"/>
      <c r="Z55" s="719">
        <f>SUMIFS(Input[T. Exp. - Stat (R AFR) E&amp;G],Input[Institution Name],H55)
+SUMIFS(Input[T. Exp. - Stat (R AFR) Desg],Input[Institution Name],H55)</f>
        <v>0</v>
      </c>
      <c r="AA55" s="720"/>
      <c r="AB55" s="720"/>
      <c r="AC55" s="720">
        <f>SUMIFS(Input[T. Exp. - Inst. (R AFR) E&amp;G],Input[Institution Name],H55)
+SUMIFS(Input[T. Exp. - Inst. (R AFR) Desg],Input[Institution Name],H55)</f>
        <v>0</v>
      </c>
      <c r="AD55" s="720"/>
      <c r="AE55" s="721"/>
      <c r="AF55" s="719">
        <f>SUMIFS(Input[T. Schlr E&amp;G],Input[Institution Name],H55)
+SUMIFS(Input[T. Schlr Desg],Input[Institution Name],H55)
+SUMIFS(Input[T. Schlr Aux],Input[Institution Name],H55)</f>
        <v>-14525850</v>
      </c>
      <c r="AG55" s="720"/>
      <c r="AH55" s="721"/>
      <c r="AI55" s="719">
        <f t="shared" si="6"/>
        <v>13977549</v>
      </c>
      <c r="AJ55" s="720"/>
      <c r="AK55" s="721"/>
      <c r="AL55" s="143"/>
      <c r="AM55" s="715">
        <f>SUMIFS(Input[Fees - Gross E&amp;G],Input[Institution Name],H55)
+SUMIFS(Input[Fees - Gross Desg],Input[Institution Name],H55)
+SUMIFS(Input[Fees - Gross Aux],Input[Institution Name],H55)
+SUMIFS(Input[Fees - Gross R Exp],Input[Institution Name],H55)
+SUMIFS(Input[Fees - Gross Loan],Input[Institution Name],H55)</f>
        <v>16237724</v>
      </c>
      <c r="AN55" s="716"/>
      <c r="AO55" s="717"/>
      <c r="AP55" s="733">
        <f>SUMIFS(Input[F. W. - Stat (R AFR) E&amp;G],Input[Institution Name],H55)
+SUMIFS(Input[F. W. - Stat (R AFR) Desg],Input[Institution Name],H55)
+SUMIFS(Input[F. W. - Stat (R AFR) Aux],Input[Institution Name],H55)</f>
        <v>0</v>
      </c>
      <c r="AQ55" s="731"/>
      <c r="AR55" s="731"/>
      <c r="AS55" s="731">
        <f>SUMIFS(Input[F. W. - Inst. (R AFR) E&amp;G],Input[Institution Name],H54)
+SUMIFS(Input[F. W. - Inst. (R AFR) Desg],Input[Institution Name],H54)
+SUMIFS(Input[F. W. - Inst. (R AFR) Aux],Input[Institution Name],H54)</f>
        <v>0</v>
      </c>
      <c r="AT55" s="731"/>
      <c r="AU55" s="732"/>
      <c r="AV55" s="733">
        <f>SUMIFS(Input[F. Exp. - Stat (R AFR) E&amp;G],Input[Institution Name],H55)
+SUMIFS(Input[F. Exp. - Stat (R AFR) Desg],Input[Institution Name],H55)
+SUMIFS(Input[F. Exp. - Stat (R AFR) Aux],Input[Institution Name],H55)</f>
        <v>-74658</v>
      </c>
      <c r="AW55" s="731"/>
      <c r="AX55" s="731"/>
      <c r="AY55" s="731">
        <f>SUMIFS(Input[F. Exp. - Inst. (R AFR) E&amp;G],Input[Institution Name],H55)
+SUMIFS(Input[F. Exp. - Inst. (R AFR) Desg],Input[Institution Name],H55)
+SUMIFS(Input[F. Exp. - Inst. (R AFR) Aux],Input[Institution Name],H55)</f>
        <v>0</v>
      </c>
      <c r="AZ55" s="731"/>
      <c r="BA55" s="732"/>
      <c r="BB55" s="733">
        <f>SUMIFS(Input[Fee Schlr E&amp;G],Input[Institution Name],H55)
+SUMIFS(Input[Fee Schlr Desg],Input[Institution Name],H55)
+SUMIFS(Input[Fee Schlr Aux],Input[Institution Name],H55)</f>
        <v>-1018083</v>
      </c>
      <c r="BC55" s="731"/>
      <c r="BD55" s="732"/>
      <c r="BE55" s="715">
        <f t="shared" si="7"/>
        <v>15144983</v>
      </c>
      <c r="BF55" s="716"/>
      <c r="BG55" s="717"/>
      <c r="BH55" s="143"/>
      <c r="BI55" s="715">
        <f t="shared" si="8"/>
        <v>29122532</v>
      </c>
      <c r="BJ55" s="716"/>
      <c r="BK55" s="717"/>
      <c r="BL55" s="5"/>
      <c r="BM55" s="5"/>
      <c r="BN55" s="5"/>
    </row>
    <row r="56" spans="1:66" customFormat="1" ht="30" customHeight="1" x14ac:dyDescent="0.3">
      <c r="A56" s="5"/>
      <c r="B56" s="5"/>
      <c r="C56" s="5"/>
      <c r="D56" s="5"/>
      <c r="E56" s="5"/>
      <c r="F56" s="5"/>
      <c r="G56" s="5"/>
      <c r="H56" s="616" t="s">
        <v>2</v>
      </c>
      <c r="I56" s="617"/>
      <c r="J56" s="617"/>
      <c r="K56" s="617"/>
      <c r="L56" s="617"/>
      <c r="M56" s="617"/>
      <c r="N56" s="617"/>
      <c r="O56" s="617"/>
      <c r="P56" s="618"/>
      <c r="Q56" s="725">
        <f>SUMIFS(Input[T. - Gross E&amp;G],Input[Institution Name],H56)
+SUMIFS(Input[T. - Gross Desg],Input[Institution Name],H56)</f>
        <v>249448202</v>
      </c>
      <c r="R56" s="726"/>
      <c r="S56" s="727"/>
      <c r="T56" s="728">
        <f>SUMIFS(Input[T. W. - Stat (R AFR) E&amp;G],Input[Institution Name],H56)
+SUMIFS(Input[T. W. - Stat (R AFR) Desg],Input[Institution Name],H56)</f>
        <v>0</v>
      </c>
      <c r="U56" s="729"/>
      <c r="V56" s="729"/>
      <c r="W56" s="729">
        <f>SUMIFS(Input[T. W. - Inst. (R AFR) E&amp;G],Input[Institution Name],H56)
+SUMIFS(Input[T. W. - Inst. (R AFR) Desg],Input[Institution Name],H56)</f>
        <v>0</v>
      </c>
      <c r="X56" s="729"/>
      <c r="Y56" s="730"/>
      <c r="Z56" s="728">
        <f>SUMIFS(Input[T. Exp. - Stat (R AFR) E&amp;G],Input[Institution Name],H56)
+SUMIFS(Input[T. Exp. - Stat (R AFR) Desg],Input[Institution Name],H56)</f>
        <v>-26032668</v>
      </c>
      <c r="AA56" s="729"/>
      <c r="AB56" s="729"/>
      <c r="AC56" s="729">
        <f>SUMIFS(Input[T. Exp. - Inst. (R AFR) E&amp;G],Input[Institution Name],H56)
+SUMIFS(Input[T. Exp. - Inst. (R AFR) Desg],Input[Institution Name],H56)</f>
        <v>0</v>
      </c>
      <c r="AD56" s="729"/>
      <c r="AE56" s="730"/>
      <c r="AF56" s="728">
        <f>SUMIFS(Input[T. Schlr E&amp;G],Input[Institution Name],H56)
+SUMIFS(Input[T. Schlr Desg],Input[Institution Name],H56)
+SUMIFS(Input[T. Schlr Aux],Input[Institution Name],H56)</f>
        <v>-80949404</v>
      </c>
      <c r="AG56" s="729"/>
      <c r="AH56" s="730"/>
      <c r="AI56" s="728">
        <f t="shared" si="6"/>
        <v>142466130</v>
      </c>
      <c r="AJ56" s="729"/>
      <c r="AK56" s="730"/>
      <c r="AL56" s="143"/>
      <c r="AM56" s="725">
        <f>SUMIFS(Input[Fees - Gross E&amp;G],Input[Institution Name],H56)
+SUMIFS(Input[Fees - Gross Desg],Input[Institution Name],H56)
+SUMIFS(Input[Fees - Gross Aux],Input[Institution Name],H56)
+SUMIFS(Input[Fees - Gross R Exp],Input[Institution Name],H56)
+SUMIFS(Input[Fees - Gross Loan],Input[Institution Name],H56)</f>
        <v>163073858</v>
      </c>
      <c r="AN56" s="726"/>
      <c r="AO56" s="727"/>
      <c r="AP56" s="724">
        <f>SUMIFS(Input[F. W. - Stat (R AFR) E&amp;G],Input[Institution Name],H56)
+SUMIFS(Input[F. W. - Stat (R AFR) Desg],Input[Institution Name],H56)
+SUMIFS(Input[F. W. - Stat (R AFR) Aux],Input[Institution Name],H56)</f>
        <v>0</v>
      </c>
      <c r="AQ56" s="722"/>
      <c r="AR56" s="722"/>
      <c r="AS56" s="722">
        <f>SUMIFS(Input[F. W. - Inst. (R AFR) E&amp;G],Input[Institution Name],H55)
+SUMIFS(Input[F. W. - Inst. (R AFR) Desg],Input[Institution Name],H55)
+SUMIFS(Input[F. W. - Inst. (R AFR) Aux],Input[Institution Name],H55)</f>
        <v>0</v>
      </c>
      <c r="AT56" s="722"/>
      <c r="AU56" s="723"/>
      <c r="AV56" s="724">
        <f>SUMIFS(Input[F. Exp. - Stat (R AFR) E&amp;G],Input[Institution Name],H56)
+SUMIFS(Input[F. Exp. - Stat (R AFR) Desg],Input[Institution Name],H56)
+SUMIFS(Input[F. Exp. - Stat (R AFR) Aux],Input[Institution Name],H56)</f>
        <v>-3095682</v>
      </c>
      <c r="AW56" s="722"/>
      <c r="AX56" s="722"/>
      <c r="AY56" s="722">
        <f>SUMIFS(Input[F. Exp. - Inst. (R AFR) E&amp;G],Input[Institution Name],H56)
+SUMIFS(Input[F. Exp. - Inst. (R AFR) Desg],Input[Institution Name],H56)
+SUMIFS(Input[F. Exp. - Inst. (R AFR) Aux],Input[Institution Name],H56)</f>
        <v>0</v>
      </c>
      <c r="AZ56" s="722"/>
      <c r="BA56" s="723"/>
      <c r="BB56" s="724">
        <f>SUMIFS(Input[Fee Schlr E&amp;G],Input[Institution Name],H56)
+SUMIFS(Input[Fee Schlr Desg],Input[Institution Name],H56)
+SUMIFS(Input[Fee Schlr Aux],Input[Institution Name],H56)</f>
        <v>-55160425</v>
      </c>
      <c r="BC56" s="722"/>
      <c r="BD56" s="723"/>
      <c r="BE56" s="725">
        <f t="shared" si="7"/>
        <v>104817751</v>
      </c>
      <c r="BF56" s="726"/>
      <c r="BG56" s="727"/>
      <c r="BH56" s="143"/>
      <c r="BI56" s="725">
        <f t="shared" si="8"/>
        <v>247283881</v>
      </c>
      <c r="BJ56" s="726"/>
      <c r="BK56" s="727"/>
      <c r="BL56" s="5"/>
      <c r="BM56" s="5"/>
      <c r="BN56" s="5"/>
    </row>
    <row r="57" spans="1:66" customFormat="1" ht="30" customHeight="1" x14ac:dyDescent="0.3">
      <c r="A57" s="5"/>
      <c r="B57" s="5"/>
      <c r="C57" s="5"/>
      <c r="D57" s="5"/>
      <c r="E57" s="5"/>
      <c r="F57" s="5"/>
      <c r="G57" s="5"/>
      <c r="H57" s="579" t="s">
        <v>3</v>
      </c>
      <c r="I57" s="580"/>
      <c r="J57" s="580"/>
      <c r="K57" s="580"/>
      <c r="L57" s="580"/>
      <c r="M57" s="580"/>
      <c r="N57" s="580"/>
      <c r="O57" s="580"/>
      <c r="P57" s="619"/>
      <c r="Q57" s="715">
        <f>SUMIFS(Input[T. - Gross E&amp;G],Input[Institution Name],H57)
+SUMIFS(Input[T. - Gross Desg],Input[Institution Name],H57)</f>
        <v>93841163</v>
      </c>
      <c r="R57" s="716"/>
      <c r="S57" s="717"/>
      <c r="T57" s="719">
        <f>SUMIFS(Input[T. W. - Stat (R AFR) E&amp;G],Input[Institution Name],H57)
+SUMIFS(Input[T. W. - Stat (R AFR) Desg],Input[Institution Name],H57)</f>
        <v>0</v>
      </c>
      <c r="U57" s="720"/>
      <c r="V57" s="720"/>
      <c r="W57" s="720">
        <f>SUMIFS(Input[T. W. - Inst. (R AFR) E&amp;G],Input[Institution Name],H57)
+SUMIFS(Input[T. W. - Inst. (R AFR) Desg],Input[Institution Name],H57)</f>
        <v>0</v>
      </c>
      <c r="X57" s="720"/>
      <c r="Y57" s="721"/>
      <c r="Z57" s="719">
        <f>SUMIFS(Input[T. Exp. - Stat (R AFR) E&amp;G],Input[Institution Name],H57)
+SUMIFS(Input[T. Exp. - Stat (R AFR) Desg],Input[Institution Name],H57)</f>
        <v>-5907822</v>
      </c>
      <c r="AA57" s="720"/>
      <c r="AB57" s="720"/>
      <c r="AC57" s="720">
        <f>SUMIFS(Input[T. Exp. - Inst. (R AFR) E&amp;G],Input[Institution Name],H57)
+SUMIFS(Input[T. Exp. - Inst. (R AFR) Desg],Input[Institution Name],H57)</f>
        <v>0</v>
      </c>
      <c r="AD57" s="720"/>
      <c r="AE57" s="721"/>
      <c r="AF57" s="719">
        <f>SUMIFS(Input[T. Schlr E&amp;G],Input[Institution Name],H57)
+SUMIFS(Input[T. Schlr Desg],Input[Institution Name],H57)
+SUMIFS(Input[T. Schlr Aux],Input[Institution Name],H57)</f>
        <v>-36996510</v>
      </c>
      <c r="AG57" s="720"/>
      <c r="AH57" s="721"/>
      <c r="AI57" s="719">
        <f t="shared" si="6"/>
        <v>50936831</v>
      </c>
      <c r="AJ57" s="720"/>
      <c r="AK57" s="721"/>
      <c r="AL57" s="143"/>
      <c r="AM57" s="715">
        <f>SUMIFS(Input[Fees - Gross E&amp;G],Input[Institution Name],H57)
+SUMIFS(Input[Fees - Gross Desg],Input[Institution Name],H57)
+SUMIFS(Input[Fees - Gross Aux],Input[Institution Name],H57)
+SUMIFS(Input[Fees - Gross R Exp],Input[Institution Name],H57)
+SUMIFS(Input[Fees - Gross Loan],Input[Institution Name],H57)</f>
        <v>9145419</v>
      </c>
      <c r="AN57" s="716"/>
      <c r="AO57" s="717"/>
      <c r="AP57" s="733">
        <f>SUMIFS(Input[F. W. - Stat (R AFR) E&amp;G],Input[Institution Name],H57)
+SUMIFS(Input[F. W. - Stat (R AFR) Desg],Input[Institution Name],H57)
+SUMIFS(Input[F. W. - Stat (R AFR) Aux],Input[Institution Name],H57)</f>
        <v>0</v>
      </c>
      <c r="AQ57" s="731"/>
      <c r="AR57" s="731"/>
      <c r="AS57" s="731">
        <f>SUMIFS(Input[F. W. - Inst. (R AFR) E&amp;G],Input[Institution Name],H56)
+SUMIFS(Input[F. W. - Inst. (R AFR) Desg],Input[Institution Name],H56)
+SUMIFS(Input[F. W. - Inst. (R AFR) Aux],Input[Institution Name],H56)</f>
        <v>0</v>
      </c>
      <c r="AT57" s="731"/>
      <c r="AU57" s="732"/>
      <c r="AV57" s="733">
        <f>SUMIFS(Input[F. Exp. - Stat (R AFR) E&amp;G],Input[Institution Name],H57)
+SUMIFS(Input[F. Exp. - Stat (R AFR) Desg],Input[Institution Name],H57)
+SUMIFS(Input[F. Exp. - Stat (R AFR) Aux],Input[Institution Name],H57)</f>
        <v>0</v>
      </c>
      <c r="AW57" s="731"/>
      <c r="AX57" s="731"/>
      <c r="AY57" s="731">
        <f>SUMIFS(Input[F. Exp. - Inst. (R AFR) E&amp;G],Input[Institution Name],H57)
+SUMIFS(Input[F. Exp. - Inst. (R AFR) Desg],Input[Institution Name],H57)
+SUMIFS(Input[F. Exp. - Inst. (R AFR) Aux],Input[Institution Name],H57)</f>
        <v>-4776604</v>
      </c>
      <c r="AZ57" s="731"/>
      <c r="BA57" s="732"/>
      <c r="BB57" s="733">
        <f>SUMIFS(Input[Fee Schlr E&amp;G],Input[Institution Name],H57)
+SUMIFS(Input[Fee Schlr Desg],Input[Institution Name],H57)
+SUMIFS(Input[Fee Schlr Aux],Input[Institution Name],H57)</f>
        <v>0</v>
      </c>
      <c r="BC57" s="731"/>
      <c r="BD57" s="732"/>
      <c r="BE57" s="715">
        <f t="shared" si="7"/>
        <v>4368815</v>
      </c>
      <c r="BF57" s="716"/>
      <c r="BG57" s="717"/>
      <c r="BH57" s="143"/>
      <c r="BI57" s="715">
        <f t="shared" si="8"/>
        <v>55305646</v>
      </c>
      <c r="BJ57" s="716"/>
      <c r="BK57" s="717"/>
      <c r="BL57" s="5"/>
      <c r="BM57" s="5"/>
      <c r="BN57" s="5"/>
    </row>
    <row r="58" spans="1:66" customFormat="1" ht="30" customHeight="1" x14ac:dyDescent="0.3">
      <c r="A58" s="5"/>
      <c r="B58" s="5"/>
      <c r="C58" s="5"/>
      <c r="D58" s="5"/>
      <c r="E58" s="5"/>
      <c r="F58" s="5"/>
      <c r="G58" s="5"/>
      <c r="H58" s="616" t="s">
        <v>27</v>
      </c>
      <c r="I58" s="617"/>
      <c r="J58" s="617"/>
      <c r="K58" s="617"/>
      <c r="L58" s="617"/>
      <c r="M58" s="617"/>
      <c r="N58" s="617"/>
      <c r="O58" s="617"/>
      <c r="P58" s="618"/>
      <c r="Q58" s="725">
        <f>SUMIFS(Input[T. - Gross E&amp;G],Input[Institution Name],H58)
+SUMIFS(Input[T. - Gross Desg],Input[Institution Name],H58)</f>
        <v>77944387</v>
      </c>
      <c r="R58" s="726"/>
      <c r="S58" s="727"/>
      <c r="T58" s="728">
        <f>SUMIFS(Input[T. W. - Stat (R AFR) E&amp;G],Input[Institution Name],H58)
+SUMIFS(Input[T. W. - Stat (R AFR) Desg],Input[Institution Name],H58)</f>
        <v>0</v>
      </c>
      <c r="U58" s="729"/>
      <c r="V58" s="729"/>
      <c r="W58" s="729">
        <f>SUMIFS(Input[T. W. - Inst. (R AFR) E&amp;G],Input[Institution Name],H58)
+SUMIFS(Input[T. W. - Inst. (R AFR) Desg],Input[Institution Name],H58)</f>
        <v>0</v>
      </c>
      <c r="X58" s="729"/>
      <c r="Y58" s="730"/>
      <c r="Z58" s="728">
        <f>SUMIFS(Input[T. Exp. - Stat (R AFR) E&amp;G],Input[Institution Name],H58)
+SUMIFS(Input[T. Exp. - Stat (R AFR) Desg],Input[Institution Name],H58)</f>
        <v>-6198763</v>
      </c>
      <c r="AA58" s="729"/>
      <c r="AB58" s="729"/>
      <c r="AC58" s="729">
        <f>SUMIFS(Input[T. Exp. - Inst. (R AFR) E&amp;G],Input[Institution Name],H58)
+SUMIFS(Input[T. Exp. - Inst. (R AFR) Desg],Input[Institution Name],H58)</f>
        <v>0</v>
      </c>
      <c r="AD58" s="729"/>
      <c r="AE58" s="730"/>
      <c r="AF58" s="728">
        <f>SUMIFS(Input[T. Schlr E&amp;G],Input[Institution Name],H58)
+SUMIFS(Input[T. Schlr Desg],Input[Institution Name],H58)
+SUMIFS(Input[T. Schlr Aux],Input[Institution Name],H58)</f>
        <v>-50460612</v>
      </c>
      <c r="AG58" s="729"/>
      <c r="AH58" s="730"/>
      <c r="AI58" s="728">
        <f t="shared" si="6"/>
        <v>21285012</v>
      </c>
      <c r="AJ58" s="729"/>
      <c r="AK58" s="730"/>
      <c r="AL58" s="143"/>
      <c r="AM58" s="725">
        <f>SUMIFS(Input[Fees - Gross E&amp;G],Input[Institution Name],H58)
+SUMIFS(Input[Fees - Gross Desg],Input[Institution Name],H58)
+SUMIFS(Input[Fees - Gross Aux],Input[Institution Name],H58)
+SUMIFS(Input[Fees - Gross R Exp],Input[Institution Name],H58)
+SUMIFS(Input[Fees - Gross Loan],Input[Institution Name],H58)</f>
        <v>34535701</v>
      </c>
      <c r="AN58" s="726"/>
      <c r="AO58" s="727"/>
      <c r="AP58" s="724">
        <f>SUMIFS(Input[F. W. - Stat (R AFR) E&amp;G],Input[Institution Name],H58)
+SUMIFS(Input[F. W. - Stat (R AFR) Desg],Input[Institution Name],H58)
+SUMIFS(Input[F. W. - Stat (R AFR) Aux],Input[Institution Name],H58)</f>
        <v>0</v>
      </c>
      <c r="AQ58" s="722"/>
      <c r="AR58" s="722"/>
      <c r="AS58" s="722">
        <f>SUMIFS(Input[F. W. - Inst. (R AFR) E&amp;G],Input[Institution Name],H57)
+SUMIFS(Input[F. W. - Inst. (R AFR) Desg],Input[Institution Name],H57)
+SUMIFS(Input[F. W. - Inst. (R AFR) Aux],Input[Institution Name],H57)</f>
        <v>0</v>
      </c>
      <c r="AT58" s="722"/>
      <c r="AU58" s="723"/>
      <c r="AV58" s="724">
        <f>SUMIFS(Input[F. Exp. - Stat (R AFR) E&amp;G],Input[Institution Name],H58)
+SUMIFS(Input[F. Exp. - Stat (R AFR) Desg],Input[Institution Name],H58)
+SUMIFS(Input[F. Exp. - Stat (R AFR) Aux],Input[Institution Name],H58)</f>
        <v>-2340372</v>
      </c>
      <c r="AW58" s="722"/>
      <c r="AX58" s="722"/>
      <c r="AY58" s="722">
        <f>SUMIFS(Input[F. Exp. - Inst. (R AFR) E&amp;G],Input[Institution Name],H58)
+SUMIFS(Input[F. Exp. - Inst. (R AFR) Desg],Input[Institution Name],H58)
+SUMIFS(Input[F. Exp. - Inst. (R AFR) Aux],Input[Institution Name],H58)</f>
        <v>0</v>
      </c>
      <c r="AZ58" s="722"/>
      <c r="BA58" s="723"/>
      <c r="BB58" s="724">
        <f>SUMIFS(Input[Fee Schlr E&amp;G],Input[Institution Name],H58)
+SUMIFS(Input[Fee Schlr Desg],Input[Institution Name],H58)
+SUMIFS(Input[Fee Schlr Aux],Input[Institution Name],H58)</f>
        <v>-1894291</v>
      </c>
      <c r="BC58" s="722"/>
      <c r="BD58" s="723"/>
      <c r="BE58" s="725">
        <f t="shared" ref="BE58:BE81" si="9">SUM(AM58:BD58)</f>
        <v>30301038</v>
      </c>
      <c r="BF58" s="726"/>
      <c r="BG58" s="727"/>
      <c r="BH58" s="143"/>
      <c r="BI58" s="725">
        <f t="shared" ref="BI58:BI81" si="10">AI58+BE58</f>
        <v>51586050</v>
      </c>
      <c r="BJ58" s="726"/>
      <c r="BK58" s="727"/>
      <c r="BL58" s="5"/>
      <c r="BM58" s="5"/>
      <c r="BN58" s="5"/>
    </row>
    <row r="59" spans="1:66" customFormat="1" ht="30" customHeight="1" x14ac:dyDescent="0.3">
      <c r="A59" s="5"/>
      <c r="B59" s="5"/>
      <c r="C59" s="5"/>
      <c r="D59" s="5"/>
      <c r="E59" s="5"/>
      <c r="F59" s="5"/>
      <c r="G59" s="5"/>
      <c r="H59" s="579" t="s">
        <v>4</v>
      </c>
      <c r="I59" s="580"/>
      <c r="J59" s="580"/>
      <c r="K59" s="580"/>
      <c r="L59" s="580"/>
      <c r="M59" s="580"/>
      <c r="N59" s="580"/>
      <c r="O59" s="580"/>
      <c r="P59" s="619"/>
      <c r="Q59" s="715">
        <f>SUMIFS(Input[T. - Gross E&amp;G],Input[Institution Name],H59)
+SUMIFS(Input[T. - Gross Desg],Input[Institution Name],H59)</f>
        <v>663243315</v>
      </c>
      <c r="R59" s="716"/>
      <c r="S59" s="717"/>
      <c r="T59" s="719">
        <f>SUMIFS(Input[T. W. - Stat (R AFR) E&amp;G],Input[Institution Name],H59)
+SUMIFS(Input[T. W. - Stat (R AFR) Desg],Input[Institution Name],H59)</f>
        <v>0</v>
      </c>
      <c r="U59" s="720"/>
      <c r="V59" s="720"/>
      <c r="W59" s="720">
        <f>SUMIFS(Input[T. W. - Inst. (R AFR) E&amp;G],Input[Institution Name],H59)
+SUMIFS(Input[T. W. - Inst. (R AFR) Desg],Input[Institution Name],H59)</f>
        <v>0</v>
      </c>
      <c r="X59" s="720"/>
      <c r="Y59" s="721"/>
      <c r="Z59" s="719">
        <f>SUMIFS(Input[T. Exp. - Stat (R AFR) E&amp;G],Input[Institution Name],H59)
+SUMIFS(Input[T. Exp. - Stat (R AFR) Desg],Input[Institution Name],H59)</f>
        <v>-26368870</v>
      </c>
      <c r="AA59" s="720"/>
      <c r="AB59" s="720"/>
      <c r="AC59" s="720">
        <f>SUMIFS(Input[T. Exp. - Inst. (R AFR) E&amp;G],Input[Institution Name],H59)
+SUMIFS(Input[T. Exp. - Inst. (R AFR) Desg],Input[Institution Name],H59)</f>
        <v>0</v>
      </c>
      <c r="AD59" s="720"/>
      <c r="AE59" s="721"/>
      <c r="AF59" s="719">
        <f>SUMIFS(Input[T. Schlr E&amp;G],Input[Institution Name],H59)
+SUMIFS(Input[T. Schlr Desg],Input[Institution Name],H59)
+SUMIFS(Input[T. Schlr Aux],Input[Institution Name],H59)</f>
        <v>-168507658</v>
      </c>
      <c r="AG59" s="720"/>
      <c r="AH59" s="721"/>
      <c r="AI59" s="719">
        <f t="shared" si="6"/>
        <v>468366787</v>
      </c>
      <c r="AJ59" s="720"/>
      <c r="AK59" s="721"/>
      <c r="AL59" s="143"/>
      <c r="AM59" s="715">
        <f>SUMIFS(Input[Fees - Gross E&amp;G],Input[Institution Name],H59)
+SUMIFS(Input[Fees - Gross Desg],Input[Institution Name],H59)
+SUMIFS(Input[Fees - Gross Aux],Input[Institution Name],H59)
+SUMIFS(Input[Fees - Gross R Exp],Input[Institution Name],H59)
+SUMIFS(Input[Fees - Gross Loan],Input[Institution Name],H59)</f>
        <v>396940278</v>
      </c>
      <c r="AN59" s="716"/>
      <c r="AO59" s="717"/>
      <c r="AP59" s="733">
        <f>SUMIFS(Input[F. W. - Stat (R AFR) E&amp;G],Input[Institution Name],H59)
+SUMIFS(Input[F. W. - Stat (R AFR) Desg],Input[Institution Name],H59)
+SUMIFS(Input[F. W. - Stat (R AFR) Aux],Input[Institution Name],H59)</f>
        <v>0</v>
      </c>
      <c r="AQ59" s="731"/>
      <c r="AR59" s="731"/>
      <c r="AS59" s="731">
        <f>SUMIFS(Input[F. W. - Inst. (R AFR) E&amp;G],Input[Institution Name],H58)
+SUMIFS(Input[F. W. - Inst. (R AFR) Desg],Input[Institution Name],H58)
+SUMIFS(Input[F. W. - Inst. (R AFR) Aux],Input[Institution Name],H58)</f>
        <v>0</v>
      </c>
      <c r="AT59" s="731"/>
      <c r="AU59" s="732"/>
      <c r="AV59" s="733">
        <f>SUMIFS(Input[F. Exp. - Stat (R AFR) E&amp;G],Input[Institution Name],H59)
+SUMIFS(Input[F. Exp. - Stat (R AFR) Desg],Input[Institution Name],H59)
+SUMIFS(Input[F. Exp. - Stat (R AFR) Aux],Input[Institution Name],H59)</f>
        <v>-13522198</v>
      </c>
      <c r="AW59" s="731"/>
      <c r="AX59" s="731"/>
      <c r="AY59" s="731">
        <f>SUMIFS(Input[F. Exp. - Inst. (R AFR) E&amp;G],Input[Institution Name],H59)
+SUMIFS(Input[F. Exp. - Inst. (R AFR) Desg],Input[Institution Name],H59)
+SUMIFS(Input[F. Exp. - Inst. (R AFR) Aux],Input[Institution Name],H59)</f>
        <v>-90718</v>
      </c>
      <c r="AZ59" s="731"/>
      <c r="BA59" s="732"/>
      <c r="BB59" s="733">
        <f>SUMIFS(Input[Fee Schlr E&amp;G],Input[Institution Name],H59)
+SUMIFS(Input[Fee Schlr Desg],Input[Institution Name],H59)
+SUMIFS(Input[Fee Schlr Aux],Input[Institution Name],H59)</f>
        <v>-103090048</v>
      </c>
      <c r="BC59" s="731"/>
      <c r="BD59" s="732"/>
      <c r="BE59" s="715">
        <f t="shared" si="9"/>
        <v>280237314</v>
      </c>
      <c r="BF59" s="716"/>
      <c r="BG59" s="717"/>
      <c r="BH59" s="143"/>
      <c r="BI59" s="715">
        <f t="shared" si="10"/>
        <v>748604101</v>
      </c>
      <c r="BJ59" s="716"/>
      <c r="BK59" s="717"/>
      <c r="BL59" s="5"/>
      <c r="BM59" s="5"/>
      <c r="BN59" s="5"/>
    </row>
    <row r="60" spans="1:66" customFormat="1" ht="30" customHeight="1" x14ac:dyDescent="0.3">
      <c r="A60" s="5"/>
      <c r="B60" s="5"/>
      <c r="C60" s="5"/>
      <c r="D60" s="5"/>
      <c r="E60" s="5"/>
      <c r="F60" s="5"/>
      <c r="G60" s="5"/>
      <c r="H60" s="616" t="s">
        <v>5</v>
      </c>
      <c r="I60" s="617"/>
      <c r="J60" s="617"/>
      <c r="K60" s="617"/>
      <c r="L60" s="617"/>
      <c r="M60" s="617"/>
      <c r="N60" s="617"/>
      <c r="O60" s="617"/>
      <c r="P60" s="618"/>
      <c r="Q60" s="725">
        <f>SUMIFS(Input[T. - Gross E&amp;G],Input[Institution Name],H60)
+SUMIFS(Input[T. - Gross Desg],Input[Institution Name],H60)</f>
        <v>21195897</v>
      </c>
      <c r="R60" s="726"/>
      <c r="S60" s="727"/>
      <c r="T60" s="728">
        <f>SUMIFS(Input[T. W. - Stat (R AFR) E&amp;G],Input[Institution Name],H60)
+SUMIFS(Input[T. W. - Stat (R AFR) Desg],Input[Institution Name],H60)</f>
        <v>0</v>
      </c>
      <c r="U60" s="729"/>
      <c r="V60" s="729"/>
      <c r="W60" s="729">
        <f>SUMIFS(Input[T. W. - Inst. (R AFR) E&amp;G],Input[Institution Name],H60)
+SUMIFS(Input[T. W. - Inst. (R AFR) Desg],Input[Institution Name],H60)</f>
        <v>0</v>
      </c>
      <c r="X60" s="729"/>
      <c r="Y60" s="730"/>
      <c r="Z60" s="728">
        <f>SUMIFS(Input[T. Exp. - Stat (R AFR) E&amp;G],Input[Institution Name],H60)
+SUMIFS(Input[T. Exp. - Stat (R AFR) Desg],Input[Institution Name],H60)</f>
        <v>-1039711</v>
      </c>
      <c r="AA60" s="729"/>
      <c r="AB60" s="729"/>
      <c r="AC60" s="729">
        <f>SUMIFS(Input[T. Exp. - Inst. (R AFR) E&amp;G],Input[Institution Name],H60)
+SUMIFS(Input[T. Exp. - Inst. (R AFR) Desg],Input[Institution Name],H60)</f>
        <v>0</v>
      </c>
      <c r="AD60" s="729"/>
      <c r="AE60" s="730"/>
      <c r="AF60" s="728">
        <f>SUMIFS(Input[T. Schlr E&amp;G],Input[Institution Name],H60)
+SUMIFS(Input[T. Schlr Desg],Input[Institution Name],H60)
+SUMIFS(Input[T. Schlr Aux],Input[Institution Name],H60)</f>
        <v>-4278457</v>
      </c>
      <c r="AG60" s="729"/>
      <c r="AH60" s="730"/>
      <c r="AI60" s="728">
        <f t="shared" si="6"/>
        <v>15877729</v>
      </c>
      <c r="AJ60" s="729"/>
      <c r="AK60" s="730"/>
      <c r="AL60" s="143"/>
      <c r="AM60" s="725">
        <f>SUMIFS(Input[Fees - Gross E&amp;G],Input[Institution Name],H60)
+SUMIFS(Input[Fees - Gross Desg],Input[Institution Name],H60)
+SUMIFS(Input[Fees - Gross Aux],Input[Institution Name],H60)
+SUMIFS(Input[Fees - Gross R Exp],Input[Institution Name],H60)
+SUMIFS(Input[Fees - Gross Loan],Input[Institution Name],H60)</f>
        <v>11004796</v>
      </c>
      <c r="AN60" s="726"/>
      <c r="AO60" s="727"/>
      <c r="AP60" s="724">
        <f>SUMIFS(Input[F. W. - Stat (R AFR) E&amp;G],Input[Institution Name],H60)
+SUMIFS(Input[F. W. - Stat (R AFR) Desg],Input[Institution Name],H60)
+SUMIFS(Input[F. W. - Stat (R AFR) Aux],Input[Institution Name],H60)</f>
        <v>0</v>
      </c>
      <c r="AQ60" s="722"/>
      <c r="AR60" s="722"/>
      <c r="AS60" s="722">
        <f>SUMIFS(Input[F. W. - Inst. (R AFR) E&amp;G],Input[Institution Name],H59)
+SUMIFS(Input[F. W. - Inst. (R AFR) Desg],Input[Institution Name],H59)
+SUMIFS(Input[F. W. - Inst. (R AFR) Aux],Input[Institution Name],H59)</f>
        <v>0</v>
      </c>
      <c r="AT60" s="722"/>
      <c r="AU60" s="723"/>
      <c r="AV60" s="724">
        <f>SUMIFS(Input[F. Exp. - Stat (R AFR) E&amp;G],Input[Institution Name],H60)
+SUMIFS(Input[F. Exp. - Stat (R AFR) Desg],Input[Institution Name],H60)
+SUMIFS(Input[F. Exp. - Stat (R AFR) Aux],Input[Institution Name],H60)</f>
        <v>-553688</v>
      </c>
      <c r="AW60" s="722"/>
      <c r="AX60" s="722"/>
      <c r="AY60" s="722">
        <f>SUMIFS(Input[F. Exp. - Inst. (R AFR) E&amp;G],Input[Institution Name],H60)
+SUMIFS(Input[F. Exp. - Inst. (R AFR) Desg],Input[Institution Name],H60)
+SUMIFS(Input[F. Exp. - Inst. (R AFR) Aux],Input[Institution Name],H60)</f>
        <v>-3447</v>
      </c>
      <c r="AZ60" s="722"/>
      <c r="BA60" s="723"/>
      <c r="BB60" s="724">
        <f>SUMIFS(Input[Fee Schlr E&amp;G],Input[Institution Name],H60)
+SUMIFS(Input[Fee Schlr Desg],Input[Institution Name],H60)
+SUMIFS(Input[Fee Schlr Aux],Input[Institution Name],H60)</f>
        <v>-2196168</v>
      </c>
      <c r="BC60" s="722"/>
      <c r="BD60" s="723"/>
      <c r="BE60" s="725">
        <f t="shared" si="9"/>
        <v>8251493</v>
      </c>
      <c r="BF60" s="726"/>
      <c r="BG60" s="727"/>
      <c r="BH60" s="143"/>
      <c r="BI60" s="725">
        <f t="shared" si="10"/>
        <v>24129222</v>
      </c>
      <c r="BJ60" s="726"/>
      <c r="BK60" s="727"/>
      <c r="BL60" s="5"/>
      <c r="BM60" s="5"/>
      <c r="BN60" s="5"/>
    </row>
    <row r="61" spans="1:66" customFormat="1" ht="30" customHeight="1" x14ac:dyDescent="0.3">
      <c r="A61" s="5"/>
      <c r="B61" s="5"/>
      <c r="C61" s="5"/>
      <c r="D61" s="5"/>
      <c r="E61" s="5"/>
      <c r="F61" s="5"/>
      <c r="G61" s="5"/>
      <c r="H61" s="579" t="s">
        <v>6</v>
      </c>
      <c r="I61" s="580"/>
      <c r="J61" s="580"/>
      <c r="K61" s="580"/>
      <c r="L61" s="580"/>
      <c r="M61" s="580"/>
      <c r="N61" s="580"/>
      <c r="O61" s="580"/>
      <c r="P61" s="619"/>
      <c r="Q61" s="715">
        <f>SUMIFS(Input[T. - Gross E&amp;G],Input[Institution Name],H61)
+SUMIFS(Input[T. - Gross Desg],Input[Institution Name],H61)</f>
        <v>78403723</v>
      </c>
      <c r="R61" s="716"/>
      <c r="S61" s="717"/>
      <c r="T61" s="719">
        <f>SUMIFS(Input[T. W. - Stat (R AFR) E&amp;G],Input[Institution Name],H61)
+SUMIFS(Input[T. W. - Stat (R AFR) Desg],Input[Institution Name],H61)</f>
        <v>0</v>
      </c>
      <c r="U61" s="720"/>
      <c r="V61" s="720"/>
      <c r="W61" s="720">
        <f>SUMIFS(Input[T. W. - Inst. (R AFR) E&amp;G],Input[Institution Name],H61)
+SUMIFS(Input[T. W. - Inst. (R AFR) Desg],Input[Institution Name],H61)</f>
        <v>0</v>
      </c>
      <c r="X61" s="720"/>
      <c r="Y61" s="721"/>
      <c r="Z61" s="719">
        <f>SUMIFS(Input[T. Exp. - Stat (R AFR) E&amp;G],Input[Institution Name],H61)
+SUMIFS(Input[T. Exp. - Stat (R AFR) Desg],Input[Institution Name],H61)</f>
        <v>-3943635</v>
      </c>
      <c r="AA61" s="720"/>
      <c r="AB61" s="720"/>
      <c r="AC61" s="720">
        <f>SUMIFS(Input[T. Exp. - Inst. (R AFR) E&amp;G],Input[Institution Name],H61)
+SUMIFS(Input[T. Exp. - Inst. (R AFR) Desg],Input[Institution Name],H61)</f>
        <v>0</v>
      </c>
      <c r="AD61" s="720"/>
      <c r="AE61" s="721"/>
      <c r="AF61" s="719">
        <f>SUMIFS(Input[T. Schlr E&amp;G],Input[Institution Name],H61)
+SUMIFS(Input[T. Schlr Desg],Input[Institution Name],H61)
+SUMIFS(Input[T. Schlr Aux],Input[Institution Name],H61)</f>
        <v>-39267047</v>
      </c>
      <c r="AG61" s="720"/>
      <c r="AH61" s="721"/>
      <c r="AI61" s="719">
        <f t="shared" si="6"/>
        <v>35193041</v>
      </c>
      <c r="AJ61" s="720"/>
      <c r="AK61" s="721"/>
      <c r="AL61" s="143"/>
      <c r="AM61" s="715">
        <f>SUMIFS(Input[Fees - Gross E&amp;G],Input[Institution Name],H61)
+SUMIFS(Input[Fees - Gross Desg],Input[Institution Name],H61)
+SUMIFS(Input[Fees - Gross Aux],Input[Institution Name],H61)
+SUMIFS(Input[Fees - Gross R Exp],Input[Institution Name],H61)
+SUMIFS(Input[Fees - Gross Loan],Input[Institution Name],H61)</f>
        <v>39444975</v>
      </c>
      <c r="AN61" s="716"/>
      <c r="AO61" s="717"/>
      <c r="AP61" s="733">
        <f>SUMIFS(Input[F. W. - Stat (R AFR) E&amp;G],Input[Institution Name],H61)
+SUMIFS(Input[F. W. - Stat (R AFR) Desg],Input[Institution Name],H61)
+SUMIFS(Input[F. W. - Stat (R AFR) Aux],Input[Institution Name],H61)</f>
        <v>0</v>
      </c>
      <c r="AQ61" s="731"/>
      <c r="AR61" s="731"/>
      <c r="AS61" s="731">
        <f>SUMIFS(Input[F. W. - Inst. (R AFR) E&amp;G],Input[Institution Name],H60)
+SUMIFS(Input[F. W. - Inst. (R AFR) Desg],Input[Institution Name],H60)
+SUMIFS(Input[F. W. - Inst. (R AFR) Aux],Input[Institution Name],H60)</f>
        <v>0</v>
      </c>
      <c r="AT61" s="731"/>
      <c r="AU61" s="732"/>
      <c r="AV61" s="733">
        <f>SUMIFS(Input[F. Exp. - Stat (R AFR) E&amp;G],Input[Institution Name],H61)
+SUMIFS(Input[F. Exp. - Stat (R AFR) Desg],Input[Institution Name],H61)
+SUMIFS(Input[F. Exp. - Stat (R AFR) Aux],Input[Institution Name],H61)</f>
        <v>-2392111</v>
      </c>
      <c r="AW61" s="731"/>
      <c r="AX61" s="731"/>
      <c r="AY61" s="731">
        <f>SUMIFS(Input[F. Exp. - Inst. (R AFR) E&amp;G],Input[Institution Name],H61)
+SUMIFS(Input[F. Exp. - Inst. (R AFR) Desg],Input[Institution Name],H61)
+SUMIFS(Input[F. Exp. - Inst. (R AFR) Aux],Input[Institution Name],H61)</f>
        <v>0</v>
      </c>
      <c r="AZ61" s="731"/>
      <c r="BA61" s="732"/>
      <c r="BB61" s="733">
        <f>SUMIFS(Input[Fee Schlr E&amp;G],Input[Institution Name],H61)
+SUMIFS(Input[Fee Schlr Desg],Input[Institution Name],H61)
+SUMIFS(Input[Fee Schlr Aux],Input[Institution Name],H61)</f>
        <v>-19347216</v>
      </c>
      <c r="BC61" s="731"/>
      <c r="BD61" s="732"/>
      <c r="BE61" s="715">
        <f t="shared" si="9"/>
        <v>17705648</v>
      </c>
      <c r="BF61" s="716"/>
      <c r="BG61" s="717"/>
      <c r="BH61" s="143"/>
      <c r="BI61" s="715">
        <f t="shared" si="10"/>
        <v>52898689</v>
      </c>
      <c r="BJ61" s="716"/>
      <c r="BK61" s="717"/>
      <c r="BL61" s="5"/>
      <c r="BM61" s="5"/>
      <c r="BN61" s="5"/>
    </row>
    <row r="62" spans="1:66" customFormat="1" ht="30" customHeight="1" x14ac:dyDescent="0.3">
      <c r="A62" s="5"/>
      <c r="B62" s="5"/>
      <c r="C62" s="5"/>
      <c r="D62" s="5"/>
      <c r="E62" s="5"/>
      <c r="F62" s="5"/>
      <c r="G62" s="5"/>
      <c r="H62" s="616" t="s">
        <v>7</v>
      </c>
      <c r="I62" s="617"/>
      <c r="J62" s="617"/>
      <c r="K62" s="617"/>
      <c r="L62" s="617"/>
      <c r="M62" s="617"/>
      <c r="N62" s="617"/>
      <c r="O62" s="617"/>
      <c r="P62" s="618"/>
      <c r="Q62" s="725">
        <f>SUMIFS(Input[T. - Gross E&amp;G],Input[Institution Name],H62)
+SUMIFS(Input[T. - Gross Desg],Input[Institution Name],H62)</f>
        <v>89332718</v>
      </c>
      <c r="R62" s="726"/>
      <c r="S62" s="727"/>
      <c r="T62" s="728">
        <f>SUMIFS(Input[T. W. - Stat (R AFR) E&amp;G],Input[Institution Name],H62)
+SUMIFS(Input[T. W. - Stat (R AFR) Desg],Input[Institution Name],H62)</f>
        <v>0</v>
      </c>
      <c r="U62" s="729"/>
      <c r="V62" s="729"/>
      <c r="W62" s="729">
        <f>SUMIFS(Input[T. W. - Inst. (R AFR) E&amp;G],Input[Institution Name],H62)
+SUMIFS(Input[T. W. - Inst. (R AFR) Desg],Input[Institution Name],H62)</f>
        <v>0</v>
      </c>
      <c r="X62" s="729"/>
      <c r="Y62" s="730"/>
      <c r="Z62" s="728">
        <f>SUMIFS(Input[T. Exp. - Stat (R AFR) E&amp;G],Input[Institution Name],H62)
+SUMIFS(Input[T. Exp. - Stat (R AFR) Desg],Input[Institution Name],H62)</f>
        <v>-7225356</v>
      </c>
      <c r="AA62" s="729"/>
      <c r="AB62" s="729"/>
      <c r="AC62" s="729">
        <f>SUMIFS(Input[T. Exp. - Inst. (R AFR) E&amp;G],Input[Institution Name],H62)
+SUMIFS(Input[T. Exp. - Inst. (R AFR) Desg],Input[Institution Name],H62)</f>
        <v>-64300</v>
      </c>
      <c r="AD62" s="729"/>
      <c r="AE62" s="730"/>
      <c r="AF62" s="728">
        <f>SUMIFS(Input[T. Schlr E&amp;G],Input[Institution Name],H62)
+SUMIFS(Input[T. Schlr Desg],Input[Institution Name],H62)
+SUMIFS(Input[T. Schlr Aux],Input[Institution Name],H62)</f>
        <v>-23020661</v>
      </c>
      <c r="AG62" s="729"/>
      <c r="AH62" s="730"/>
      <c r="AI62" s="728">
        <f t="shared" ref="AI62:AI85" si="11">SUM(Q62:AH62)</f>
        <v>59022401</v>
      </c>
      <c r="AJ62" s="729"/>
      <c r="AK62" s="730"/>
      <c r="AL62" s="143"/>
      <c r="AM62" s="725">
        <f>SUMIFS(Input[Fees - Gross E&amp;G],Input[Institution Name],H62)
+SUMIFS(Input[Fees - Gross Desg],Input[Institution Name],H62)
+SUMIFS(Input[Fees - Gross Aux],Input[Institution Name],H62)
+SUMIFS(Input[Fees - Gross R Exp],Input[Institution Name],H62)
+SUMIFS(Input[Fees - Gross Loan],Input[Institution Name],H62)</f>
        <v>59377747</v>
      </c>
      <c r="AN62" s="726"/>
      <c r="AO62" s="727"/>
      <c r="AP62" s="724">
        <f>SUMIFS(Input[F. W. - Stat (R AFR) E&amp;G],Input[Institution Name],H62)
+SUMIFS(Input[F. W. - Stat (R AFR) Desg],Input[Institution Name],H62)
+SUMIFS(Input[F. W. - Stat (R AFR) Aux],Input[Institution Name],H62)</f>
        <v>0</v>
      </c>
      <c r="AQ62" s="722"/>
      <c r="AR62" s="722"/>
      <c r="AS62" s="722">
        <f>SUMIFS(Input[F. W. - Inst. (R AFR) E&amp;G],Input[Institution Name],H61)
+SUMIFS(Input[F. W. - Inst. (R AFR) Desg],Input[Institution Name],H61)
+SUMIFS(Input[F. W. - Inst. (R AFR) Aux],Input[Institution Name],H61)</f>
        <v>0</v>
      </c>
      <c r="AT62" s="722"/>
      <c r="AU62" s="723"/>
      <c r="AV62" s="724">
        <f>SUMIFS(Input[F. Exp. - Stat (R AFR) E&amp;G],Input[Institution Name],H62)
+SUMIFS(Input[F. Exp. - Stat (R AFR) Desg],Input[Institution Name],H62)
+SUMIFS(Input[F. Exp. - Stat (R AFR) Aux],Input[Institution Name],H62)</f>
        <v>-4458830</v>
      </c>
      <c r="AW62" s="722"/>
      <c r="AX62" s="722"/>
      <c r="AY62" s="722">
        <f>SUMIFS(Input[F. Exp. - Inst. (R AFR) E&amp;G],Input[Institution Name],H62)
+SUMIFS(Input[F. Exp. - Inst. (R AFR) Desg],Input[Institution Name],H62)
+SUMIFS(Input[F. Exp. - Inst. (R AFR) Aux],Input[Institution Name],H62)</f>
        <v>0</v>
      </c>
      <c r="AZ62" s="722"/>
      <c r="BA62" s="723"/>
      <c r="BB62" s="724">
        <f>SUMIFS(Input[Fee Schlr E&amp;G],Input[Institution Name],H62)
+SUMIFS(Input[Fee Schlr Desg],Input[Institution Name],H62)
+SUMIFS(Input[Fee Schlr Aux],Input[Institution Name],H62)</f>
        <v>-15687857</v>
      </c>
      <c r="BC62" s="722"/>
      <c r="BD62" s="723"/>
      <c r="BE62" s="725">
        <f t="shared" si="9"/>
        <v>39231060</v>
      </c>
      <c r="BF62" s="726"/>
      <c r="BG62" s="727"/>
      <c r="BH62" s="143"/>
      <c r="BI62" s="725">
        <f t="shared" si="10"/>
        <v>98253461</v>
      </c>
      <c r="BJ62" s="726"/>
      <c r="BK62" s="727"/>
      <c r="BL62" s="5"/>
      <c r="BM62" s="5"/>
      <c r="BN62" s="5"/>
    </row>
    <row r="63" spans="1:66" customFormat="1" ht="30" customHeight="1" x14ac:dyDescent="0.3">
      <c r="A63" s="5"/>
      <c r="B63" s="5"/>
      <c r="C63" s="5"/>
      <c r="D63" s="5"/>
      <c r="E63" s="5"/>
      <c r="F63" s="5"/>
      <c r="G63" s="5"/>
      <c r="H63" s="579" t="s">
        <v>14</v>
      </c>
      <c r="I63" s="580"/>
      <c r="J63" s="580"/>
      <c r="K63" s="580"/>
      <c r="L63" s="580"/>
      <c r="M63" s="580"/>
      <c r="N63" s="580"/>
      <c r="O63" s="580"/>
      <c r="P63" s="619"/>
      <c r="Q63" s="715">
        <f>SUMIFS(Input[T. - Gross E&amp;G],Input[Institution Name],H63)
+SUMIFS(Input[T. - Gross Desg],Input[Institution Name],H63)</f>
        <v>15643035</v>
      </c>
      <c r="R63" s="716"/>
      <c r="S63" s="717"/>
      <c r="T63" s="719">
        <f>SUMIFS(Input[T. W. - Stat (R AFR) E&amp;G],Input[Institution Name],H63)
+SUMIFS(Input[T. W. - Stat (R AFR) Desg],Input[Institution Name],H63)</f>
        <v>0</v>
      </c>
      <c r="U63" s="720"/>
      <c r="V63" s="720"/>
      <c r="W63" s="720">
        <f>SUMIFS(Input[T. W. - Inst. (R AFR) E&amp;G],Input[Institution Name],H63)
+SUMIFS(Input[T. W. - Inst. (R AFR) Desg],Input[Institution Name],H63)</f>
        <v>0</v>
      </c>
      <c r="X63" s="720"/>
      <c r="Y63" s="721"/>
      <c r="Z63" s="719">
        <f>SUMIFS(Input[T. Exp. - Stat (R AFR) E&amp;G],Input[Institution Name],H63)
+SUMIFS(Input[T. Exp. - Stat (R AFR) Desg],Input[Institution Name],H63)</f>
        <v>-1751380</v>
      </c>
      <c r="AA63" s="720"/>
      <c r="AB63" s="720"/>
      <c r="AC63" s="720">
        <f>SUMIFS(Input[T. Exp. - Inst. (R AFR) E&amp;G],Input[Institution Name],H63)
+SUMIFS(Input[T. Exp. - Inst. (R AFR) Desg],Input[Institution Name],H63)</f>
        <v>0</v>
      </c>
      <c r="AD63" s="720"/>
      <c r="AE63" s="721"/>
      <c r="AF63" s="719">
        <f>SUMIFS(Input[T. Schlr E&amp;G],Input[Institution Name],H63)
+SUMIFS(Input[T. Schlr Desg],Input[Institution Name],H63)
+SUMIFS(Input[T. Schlr Aux],Input[Institution Name],H63)</f>
        <v>-3017746</v>
      </c>
      <c r="AG63" s="720"/>
      <c r="AH63" s="721"/>
      <c r="AI63" s="719">
        <f t="shared" si="11"/>
        <v>10873909</v>
      </c>
      <c r="AJ63" s="720"/>
      <c r="AK63" s="721"/>
      <c r="AL63" s="143"/>
      <c r="AM63" s="715">
        <f>SUMIFS(Input[Fees - Gross E&amp;G],Input[Institution Name],H63)
+SUMIFS(Input[Fees - Gross Desg],Input[Institution Name],H63)
+SUMIFS(Input[Fees - Gross Aux],Input[Institution Name],H63)
+SUMIFS(Input[Fees - Gross R Exp],Input[Institution Name],H63)
+SUMIFS(Input[Fees - Gross Loan],Input[Institution Name],H63)</f>
        <v>4277472</v>
      </c>
      <c r="AN63" s="716"/>
      <c r="AO63" s="717"/>
      <c r="AP63" s="733">
        <f>SUMIFS(Input[F. W. - Stat (R AFR) E&amp;G],Input[Institution Name],H63)
+SUMIFS(Input[F. W. - Stat (R AFR) Desg],Input[Institution Name],H63)
+SUMIFS(Input[F. W. - Stat (R AFR) Aux],Input[Institution Name],H63)</f>
        <v>0</v>
      </c>
      <c r="AQ63" s="731"/>
      <c r="AR63" s="731"/>
      <c r="AS63" s="731">
        <f>SUMIFS(Input[F. W. - Inst. (R AFR) E&amp;G],Input[Institution Name],H62)
+SUMIFS(Input[F. W. - Inst. (R AFR) Desg],Input[Institution Name],H62)
+SUMIFS(Input[F. W. - Inst. (R AFR) Aux],Input[Institution Name],H62)</f>
        <v>0</v>
      </c>
      <c r="AT63" s="731"/>
      <c r="AU63" s="732"/>
      <c r="AV63" s="733">
        <f>SUMIFS(Input[F. Exp. - Stat (R AFR) E&amp;G],Input[Institution Name],H63)
+SUMIFS(Input[F. Exp. - Stat (R AFR) Desg],Input[Institution Name],H63)
+SUMIFS(Input[F. Exp. - Stat (R AFR) Aux],Input[Institution Name],H63)</f>
        <v>0</v>
      </c>
      <c r="AW63" s="731"/>
      <c r="AX63" s="731"/>
      <c r="AY63" s="731">
        <f>SUMIFS(Input[F. Exp. - Inst. (R AFR) E&amp;G],Input[Institution Name],H63)
+SUMIFS(Input[F. Exp. - Inst. (R AFR) Desg],Input[Institution Name],H63)
+SUMIFS(Input[F. Exp. - Inst. (R AFR) Aux],Input[Institution Name],H63)</f>
        <v>0</v>
      </c>
      <c r="AZ63" s="731"/>
      <c r="BA63" s="732"/>
      <c r="BB63" s="733">
        <f>SUMIFS(Input[Fee Schlr E&amp;G],Input[Institution Name],H63)
+SUMIFS(Input[Fee Schlr Desg],Input[Institution Name],H63)
+SUMIFS(Input[Fee Schlr Aux],Input[Institution Name],H63)</f>
        <v>-1303570</v>
      </c>
      <c r="BC63" s="731"/>
      <c r="BD63" s="732"/>
      <c r="BE63" s="715">
        <f t="shared" si="9"/>
        <v>2973902</v>
      </c>
      <c r="BF63" s="716"/>
      <c r="BG63" s="717"/>
      <c r="BH63" s="143"/>
      <c r="BI63" s="715">
        <f t="shared" si="10"/>
        <v>13847811</v>
      </c>
      <c r="BJ63" s="716"/>
      <c r="BK63" s="717"/>
      <c r="BL63" s="5"/>
      <c r="BM63" s="5"/>
      <c r="BN63" s="5"/>
    </row>
    <row r="64" spans="1:66" customFormat="1" ht="30" customHeight="1" x14ac:dyDescent="0.3">
      <c r="A64" s="5"/>
      <c r="B64" s="5"/>
      <c r="C64" s="5"/>
      <c r="D64" s="5"/>
      <c r="E64" s="5"/>
      <c r="F64" s="5"/>
      <c r="G64" s="5"/>
      <c r="H64" s="616" t="s">
        <v>8</v>
      </c>
      <c r="I64" s="617"/>
      <c r="J64" s="617"/>
      <c r="K64" s="617"/>
      <c r="L64" s="617"/>
      <c r="M64" s="617"/>
      <c r="N64" s="617"/>
      <c r="O64" s="617"/>
      <c r="P64" s="618"/>
      <c r="Q64" s="725">
        <f>SUMIFS(Input[T. - Gross E&amp;G],Input[Institution Name],H64)
+SUMIFS(Input[T. - Gross Desg],Input[Institution Name],H64)</f>
        <v>56952048</v>
      </c>
      <c r="R64" s="726"/>
      <c r="S64" s="727"/>
      <c r="T64" s="728">
        <f>SUMIFS(Input[T. W. - Stat (R AFR) E&amp;G],Input[Institution Name],H64)
+SUMIFS(Input[T. W. - Stat (R AFR) Desg],Input[Institution Name],H64)</f>
        <v>-176109</v>
      </c>
      <c r="U64" s="729"/>
      <c r="V64" s="729"/>
      <c r="W64" s="729">
        <f>SUMIFS(Input[T. W. - Inst. (R AFR) E&amp;G],Input[Institution Name],H64)
+SUMIFS(Input[T. W. - Inst. (R AFR) Desg],Input[Institution Name],H64)</f>
        <v>0</v>
      </c>
      <c r="X64" s="729"/>
      <c r="Y64" s="730"/>
      <c r="Z64" s="728">
        <f>SUMIFS(Input[T. Exp. - Stat (R AFR) E&amp;G],Input[Institution Name],H64)
+SUMIFS(Input[T. Exp. - Stat (R AFR) Desg],Input[Institution Name],H64)</f>
        <v>-5044951</v>
      </c>
      <c r="AA64" s="729"/>
      <c r="AB64" s="729"/>
      <c r="AC64" s="729">
        <f>SUMIFS(Input[T. Exp. - Inst. (R AFR) E&amp;G],Input[Institution Name],H64)
+SUMIFS(Input[T. Exp. - Inst. (R AFR) Desg],Input[Institution Name],H64)</f>
        <v>0</v>
      </c>
      <c r="AD64" s="729"/>
      <c r="AE64" s="730"/>
      <c r="AF64" s="728">
        <f>SUMIFS(Input[T. Schlr E&amp;G],Input[Institution Name],H64)
+SUMIFS(Input[T. Schlr Desg],Input[Institution Name],H64)
+SUMIFS(Input[T. Schlr Aux],Input[Institution Name],H64)</f>
        <v>-12137470</v>
      </c>
      <c r="AG64" s="729"/>
      <c r="AH64" s="730"/>
      <c r="AI64" s="728">
        <f t="shared" si="11"/>
        <v>39593518</v>
      </c>
      <c r="AJ64" s="729"/>
      <c r="AK64" s="730"/>
      <c r="AL64" s="143"/>
      <c r="AM64" s="725">
        <f>SUMIFS(Input[Fees - Gross E&amp;G],Input[Institution Name],H64)
+SUMIFS(Input[Fees - Gross Desg],Input[Institution Name],H64)
+SUMIFS(Input[Fees - Gross Aux],Input[Institution Name],H64)
+SUMIFS(Input[Fees - Gross R Exp],Input[Institution Name],H64)
+SUMIFS(Input[Fees - Gross Loan],Input[Institution Name],H64)</f>
        <v>64669329</v>
      </c>
      <c r="AN64" s="726"/>
      <c r="AO64" s="727"/>
      <c r="AP64" s="724">
        <f>SUMIFS(Input[F. W. - Stat (R AFR) E&amp;G],Input[Institution Name],H64)
+SUMIFS(Input[F. W. - Stat (R AFR) Desg],Input[Institution Name],H64)
+SUMIFS(Input[F. W. - Stat (R AFR) Aux],Input[Institution Name],H64)</f>
        <v>0</v>
      </c>
      <c r="AQ64" s="722"/>
      <c r="AR64" s="722"/>
      <c r="AS64" s="722">
        <f>SUMIFS(Input[F. W. - Inst. (R AFR) E&amp;G],Input[Institution Name],H63)
+SUMIFS(Input[F. W. - Inst. (R AFR) Desg],Input[Institution Name],H63)
+SUMIFS(Input[F. W. - Inst. (R AFR) Aux],Input[Institution Name],H63)</f>
        <v>0</v>
      </c>
      <c r="AT64" s="722"/>
      <c r="AU64" s="723"/>
      <c r="AV64" s="724">
        <f>SUMIFS(Input[F. Exp. - Stat (R AFR) E&amp;G],Input[Institution Name],H64)
+SUMIFS(Input[F. Exp. - Stat (R AFR) Desg],Input[Institution Name],H64)
+SUMIFS(Input[F. Exp. - Stat (R AFR) Aux],Input[Institution Name],H64)</f>
        <v>-5535293</v>
      </c>
      <c r="AW64" s="722"/>
      <c r="AX64" s="722"/>
      <c r="AY64" s="722">
        <f>SUMIFS(Input[F. Exp. - Inst. (R AFR) E&amp;G],Input[Institution Name],H64)
+SUMIFS(Input[F. Exp. - Inst. (R AFR) Desg],Input[Institution Name],H64)
+SUMIFS(Input[F. Exp. - Inst. (R AFR) Aux],Input[Institution Name],H64)</f>
        <v>0</v>
      </c>
      <c r="AZ64" s="722"/>
      <c r="BA64" s="723"/>
      <c r="BB64" s="724">
        <f>SUMIFS(Input[Fee Schlr E&amp;G],Input[Institution Name],H64)
+SUMIFS(Input[Fee Schlr Desg],Input[Institution Name],H64)
+SUMIFS(Input[Fee Schlr Aux],Input[Institution Name],H64)</f>
        <v>-14175403</v>
      </c>
      <c r="BC64" s="722"/>
      <c r="BD64" s="723"/>
      <c r="BE64" s="725">
        <f t="shared" si="9"/>
        <v>44958633</v>
      </c>
      <c r="BF64" s="726"/>
      <c r="BG64" s="727"/>
      <c r="BH64" s="143"/>
      <c r="BI64" s="725">
        <f t="shared" si="10"/>
        <v>84552151</v>
      </c>
      <c r="BJ64" s="726"/>
      <c r="BK64" s="727"/>
      <c r="BL64" s="5"/>
      <c r="BM64" s="5"/>
      <c r="BN64" s="5"/>
    </row>
    <row r="65" spans="1:66" customFormat="1" ht="30" customHeight="1" x14ac:dyDescent="0.3">
      <c r="A65" s="5"/>
      <c r="B65" s="5"/>
      <c r="C65" s="5"/>
      <c r="D65" s="5"/>
      <c r="E65" s="5"/>
      <c r="F65" s="5"/>
      <c r="G65" s="5"/>
      <c r="H65" s="579" t="s">
        <v>9</v>
      </c>
      <c r="I65" s="580"/>
      <c r="J65" s="580"/>
      <c r="K65" s="580"/>
      <c r="L65" s="580"/>
      <c r="M65" s="580"/>
      <c r="N65" s="580"/>
      <c r="O65" s="580"/>
      <c r="P65" s="619"/>
      <c r="Q65" s="715">
        <f>SUMIFS(Input[T. - Gross E&amp;G],Input[Institution Name],H65)
+SUMIFS(Input[T. - Gross Desg],Input[Institution Name],H65)</f>
        <v>32665800</v>
      </c>
      <c r="R65" s="716"/>
      <c r="S65" s="717"/>
      <c r="T65" s="719">
        <f>SUMIFS(Input[T. W. - Stat (R AFR) E&amp;G],Input[Institution Name],H65)
+SUMIFS(Input[T. W. - Stat (R AFR) Desg],Input[Institution Name],H65)</f>
        <v>0</v>
      </c>
      <c r="U65" s="720"/>
      <c r="V65" s="720"/>
      <c r="W65" s="720">
        <f>SUMIFS(Input[T. W. - Inst. (R AFR) E&amp;G],Input[Institution Name],H65)
+SUMIFS(Input[T. W. - Inst. (R AFR) Desg],Input[Institution Name],H65)</f>
        <v>0</v>
      </c>
      <c r="X65" s="720"/>
      <c r="Y65" s="721"/>
      <c r="Z65" s="719">
        <f>SUMIFS(Input[T. Exp. - Stat (R AFR) E&amp;G],Input[Institution Name],H65)
+SUMIFS(Input[T. Exp. - Stat (R AFR) Desg],Input[Institution Name],H65)</f>
        <v>-2354623</v>
      </c>
      <c r="AA65" s="720"/>
      <c r="AB65" s="720"/>
      <c r="AC65" s="720">
        <f>SUMIFS(Input[T. Exp. - Inst. (R AFR) E&amp;G],Input[Institution Name],H65)
+SUMIFS(Input[T. Exp. - Inst. (R AFR) Desg],Input[Institution Name],H65)</f>
        <v>0</v>
      </c>
      <c r="AD65" s="720"/>
      <c r="AE65" s="721"/>
      <c r="AF65" s="719">
        <f>SUMIFS(Input[T. Schlr E&amp;G],Input[Institution Name],H65)
+SUMIFS(Input[T. Schlr Desg],Input[Institution Name],H65)
+SUMIFS(Input[T. Schlr Aux],Input[Institution Name],H65)</f>
        <v>-11445125</v>
      </c>
      <c r="AG65" s="720"/>
      <c r="AH65" s="721"/>
      <c r="AI65" s="719">
        <f t="shared" si="11"/>
        <v>18866052</v>
      </c>
      <c r="AJ65" s="720"/>
      <c r="AK65" s="721"/>
      <c r="AL65" s="143"/>
      <c r="AM65" s="715">
        <f>SUMIFS(Input[Fees - Gross E&amp;G],Input[Institution Name],H65)
+SUMIFS(Input[Fees - Gross Desg],Input[Institution Name],H65)
+SUMIFS(Input[Fees - Gross Aux],Input[Institution Name],H65)
+SUMIFS(Input[Fees - Gross R Exp],Input[Institution Name],H65)
+SUMIFS(Input[Fees - Gross Loan],Input[Institution Name],H65)</f>
        <v>31043858</v>
      </c>
      <c r="AN65" s="716"/>
      <c r="AO65" s="717"/>
      <c r="AP65" s="733">
        <f>SUMIFS(Input[F. W. - Stat (R AFR) E&amp;G],Input[Institution Name],H65)
+SUMIFS(Input[F. W. - Stat (R AFR) Desg],Input[Institution Name],H65)
+SUMIFS(Input[F. W. - Stat (R AFR) Aux],Input[Institution Name],H65)</f>
        <v>0</v>
      </c>
      <c r="AQ65" s="731"/>
      <c r="AR65" s="731"/>
      <c r="AS65" s="731">
        <f>SUMIFS(Input[F. W. - Inst. (R AFR) E&amp;G],Input[Institution Name],H64)
+SUMIFS(Input[F. W. - Inst. (R AFR) Desg],Input[Institution Name],H64)
+SUMIFS(Input[F. W. - Inst. (R AFR) Aux],Input[Institution Name],H64)</f>
        <v>0</v>
      </c>
      <c r="AT65" s="731"/>
      <c r="AU65" s="732"/>
      <c r="AV65" s="733">
        <f>SUMIFS(Input[F. Exp. - Stat (R AFR) E&amp;G],Input[Institution Name],H65)
+SUMIFS(Input[F. Exp. - Stat (R AFR) Desg],Input[Institution Name],H65)
+SUMIFS(Input[F. Exp. - Stat (R AFR) Aux],Input[Institution Name],H65)</f>
        <v>-1806922</v>
      </c>
      <c r="AW65" s="731"/>
      <c r="AX65" s="731"/>
      <c r="AY65" s="731">
        <f>SUMIFS(Input[F. Exp. - Inst. (R AFR) E&amp;G],Input[Institution Name],H65)
+SUMIFS(Input[F. Exp. - Inst. (R AFR) Desg],Input[Institution Name],H65)
+SUMIFS(Input[F. Exp. - Inst. (R AFR) Aux],Input[Institution Name],H65)</f>
        <v>0</v>
      </c>
      <c r="AZ65" s="731"/>
      <c r="BA65" s="732"/>
      <c r="BB65" s="733">
        <f>SUMIFS(Input[Fee Schlr E&amp;G],Input[Institution Name],H65)
+SUMIFS(Input[Fee Schlr Desg],Input[Institution Name],H65)
+SUMIFS(Input[Fee Schlr Aux],Input[Institution Name],H65)</f>
        <v>-11307632</v>
      </c>
      <c r="BC65" s="731"/>
      <c r="BD65" s="732"/>
      <c r="BE65" s="715">
        <f t="shared" si="9"/>
        <v>17929304</v>
      </c>
      <c r="BF65" s="716"/>
      <c r="BG65" s="717"/>
      <c r="BH65" s="143"/>
      <c r="BI65" s="715">
        <f t="shared" si="10"/>
        <v>36795356</v>
      </c>
      <c r="BJ65" s="716"/>
      <c r="BK65" s="717"/>
      <c r="BL65" s="5"/>
      <c r="BM65" s="5"/>
      <c r="BN65" s="5"/>
    </row>
    <row r="66" spans="1:66" customFormat="1" ht="30" customHeight="1" x14ac:dyDescent="0.3">
      <c r="A66" s="5"/>
      <c r="B66" s="5"/>
      <c r="C66" s="5"/>
      <c r="D66" s="5"/>
      <c r="E66" s="5"/>
      <c r="F66" s="5"/>
      <c r="G66" s="5"/>
      <c r="H66" s="616" t="s">
        <v>15</v>
      </c>
      <c r="I66" s="617"/>
      <c r="J66" s="617"/>
      <c r="K66" s="617"/>
      <c r="L66" s="617"/>
      <c r="M66" s="617"/>
      <c r="N66" s="617"/>
      <c r="O66" s="617"/>
      <c r="P66" s="618"/>
      <c r="Q66" s="725">
        <f>SUMIFS(Input[T. - Gross E&amp;G],Input[Institution Name],H66)
+SUMIFS(Input[T. - Gross Desg],Input[Institution Name],H66)</f>
        <v>31411241</v>
      </c>
      <c r="R66" s="726"/>
      <c r="S66" s="727"/>
      <c r="T66" s="728">
        <f>SUMIFS(Input[T. W. - Stat (R AFR) E&amp;G],Input[Institution Name],H66)
+SUMIFS(Input[T. W. - Stat (R AFR) Desg],Input[Institution Name],H66)</f>
        <v>0</v>
      </c>
      <c r="U66" s="729"/>
      <c r="V66" s="729"/>
      <c r="W66" s="729">
        <f>SUMIFS(Input[T. W. - Inst. (R AFR) E&amp;G],Input[Institution Name],H66)
+SUMIFS(Input[T. W. - Inst. (R AFR) Desg],Input[Institution Name],H66)</f>
        <v>0</v>
      </c>
      <c r="X66" s="729"/>
      <c r="Y66" s="730"/>
      <c r="Z66" s="728">
        <f>SUMIFS(Input[T. Exp. - Stat (R AFR) E&amp;G],Input[Institution Name],H66)
+SUMIFS(Input[T. Exp. - Stat (R AFR) Desg],Input[Institution Name],H66)</f>
        <v>-3339062</v>
      </c>
      <c r="AA66" s="729"/>
      <c r="AB66" s="729"/>
      <c r="AC66" s="729">
        <f>SUMIFS(Input[T. Exp. - Inst. (R AFR) E&amp;G],Input[Institution Name],H66)
+SUMIFS(Input[T. Exp. - Inst. (R AFR) Desg],Input[Institution Name],H66)</f>
        <v>0</v>
      </c>
      <c r="AD66" s="729"/>
      <c r="AE66" s="730"/>
      <c r="AF66" s="728">
        <f>SUMIFS(Input[T. Schlr E&amp;G],Input[Institution Name],H66)
+SUMIFS(Input[T. Schlr Desg],Input[Institution Name],H66)
+SUMIFS(Input[T. Schlr Aux],Input[Institution Name],H66)</f>
        <v>-14189040</v>
      </c>
      <c r="AG66" s="729"/>
      <c r="AH66" s="730"/>
      <c r="AI66" s="728">
        <f t="shared" si="11"/>
        <v>13883139</v>
      </c>
      <c r="AJ66" s="729"/>
      <c r="AK66" s="730"/>
      <c r="AL66" s="143"/>
      <c r="AM66" s="725">
        <f>SUMIFS(Input[Fees - Gross E&amp;G],Input[Institution Name],H66)
+SUMIFS(Input[Fees - Gross Desg],Input[Institution Name],H66)
+SUMIFS(Input[Fees - Gross Aux],Input[Institution Name],H66)
+SUMIFS(Input[Fees - Gross R Exp],Input[Institution Name],H66)
+SUMIFS(Input[Fees - Gross Loan],Input[Institution Name],H66)</f>
        <v>29616392</v>
      </c>
      <c r="AN66" s="726"/>
      <c r="AO66" s="727"/>
      <c r="AP66" s="724">
        <f>SUMIFS(Input[F. W. - Stat (R AFR) E&amp;G],Input[Institution Name],H66)
+SUMIFS(Input[F. W. - Stat (R AFR) Desg],Input[Institution Name],H66)
+SUMIFS(Input[F. W. - Stat (R AFR) Aux],Input[Institution Name],H66)</f>
        <v>0</v>
      </c>
      <c r="AQ66" s="722"/>
      <c r="AR66" s="722"/>
      <c r="AS66" s="722">
        <f>SUMIFS(Input[F. W. - Inst. (R AFR) E&amp;G],Input[Institution Name],H65)
+SUMIFS(Input[F. W. - Inst. (R AFR) Desg],Input[Institution Name],H65)
+SUMIFS(Input[F. W. - Inst. (R AFR) Aux],Input[Institution Name],H65)</f>
        <v>0</v>
      </c>
      <c r="AT66" s="722"/>
      <c r="AU66" s="723"/>
      <c r="AV66" s="724">
        <f>SUMIFS(Input[F. Exp. - Stat (R AFR) E&amp;G],Input[Institution Name],H66)
+SUMIFS(Input[F. Exp. - Stat (R AFR) Desg],Input[Institution Name],H66)
+SUMIFS(Input[F. Exp. - Stat (R AFR) Aux],Input[Institution Name],H66)</f>
        <v>-3199693</v>
      </c>
      <c r="AW66" s="722"/>
      <c r="AX66" s="722"/>
      <c r="AY66" s="722">
        <f>SUMIFS(Input[F. Exp. - Inst. (R AFR) E&amp;G],Input[Institution Name],H66)
+SUMIFS(Input[F. Exp. - Inst. (R AFR) Desg],Input[Institution Name],H66)
+SUMIFS(Input[F. Exp. - Inst. (R AFR) Aux],Input[Institution Name],H66)</f>
        <v>0</v>
      </c>
      <c r="AZ66" s="722"/>
      <c r="BA66" s="723"/>
      <c r="BB66" s="724">
        <f>SUMIFS(Input[Fee Schlr E&amp;G],Input[Institution Name],H66)
+SUMIFS(Input[Fee Schlr Desg],Input[Institution Name],H66)
+SUMIFS(Input[Fee Schlr Aux],Input[Institution Name],H66)</f>
        <v>-13326847</v>
      </c>
      <c r="BC66" s="722"/>
      <c r="BD66" s="723"/>
      <c r="BE66" s="725">
        <f t="shared" si="9"/>
        <v>13089852</v>
      </c>
      <c r="BF66" s="726"/>
      <c r="BG66" s="727"/>
      <c r="BH66" s="143"/>
      <c r="BI66" s="725">
        <f t="shared" si="10"/>
        <v>26972991</v>
      </c>
      <c r="BJ66" s="726"/>
      <c r="BK66" s="727"/>
      <c r="BL66" s="5"/>
      <c r="BM66" s="5"/>
      <c r="BN66" s="5"/>
    </row>
    <row r="67" spans="1:66" customFormat="1" ht="30" customHeight="1" x14ac:dyDescent="0.3">
      <c r="A67" s="5"/>
      <c r="B67" s="5"/>
      <c r="C67" s="5"/>
      <c r="D67" s="5"/>
      <c r="E67" s="5"/>
      <c r="F67" s="5"/>
      <c r="G67" s="5"/>
      <c r="H67" s="579" t="s">
        <v>10</v>
      </c>
      <c r="I67" s="580"/>
      <c r="J67" s="580"/>
      <c r="K67" s="580"/>
      <c r="L67" s="580"/>
      <c r="M67" s="580"/>
      <c r="N67" s="580"/>
      <c r="O67" s="580"/>
      <c r="P67" s="619"/>
      <c r="Q67" s="715">
        <f>SUMIFS(Input[T. - Gross E&amp;G],Input[Institution Name],H67)
+SUMIFS(Input[T. - Gross Desg],Input[Institution Name],H67)</f>
        <v>35982649</v>
      </c>
      <c r="R67" s="716"/>
      <c r="S67" s="717"/>
      <c r="T67" s="719">
        <f>SUMIFS(Input[T. W. - Stat (R AFR) E&amp;G],Input[Institution Name],H67)
+SUMIFS(Input[T. W. - Stat (R AFR) Desg],Input[Institution Name],H67)</f>
        <v>0</v>
      </c>
      <c r="U67" s="720"/>
      <c r="V67" s="720"/>
      <c r="W67" s="720">
        <f>SUMIFS(Input[T. W. - Inst. (R AFR) E&amp;G],Input[Institution Name],H67)
+SUMIFS(Input[T. W. - Inst. (R AFR) Desg],Input[Institution Name],H67)</f>
        <v>0</v>
      </c>
      <c r="X67" s="720"/>
      <c r="Y67" s="721"/>
      <c r="Z67" s="719">
        <f>SUMIFS(Input[T. Exp. - Stat (R AFR) E&amp;G],Input[Institution Name],H67)
+SUMIFS(Input[T. Exp. - Stat (R AFR) Desg],Input[Institution Name],H67)</f>
        <v>-1298425</v>
      </c>
      <c r="AA67" s="720"/>
      <c r="AB67" s="720"/>
      <c r="AC67" s="720">
        <f>SUMIFS(Input[T. Exp. - Inst. (R AFR) E&amp;G],Input[Institution Name],H67)
+SUMIFS(Input[T. Exp. - Inst. (R AFR) Desg],Input[Institution Name],H67)</f>
        <v>0</v>
      </c>
      <c r="AD67" s="720"/>
      <c r="AE67" s="721"/>
      <c r="AF67" s="719">
        <f>SUMIFS(Input[T. Schlr E&amp;G],Input[Institution Name],H67)
+SUMIFS(Input[T. Schlr Desg],Input[Institution Name],H67)
+SUMIFS(Input[T. Schlr Aux],Input[Institution Name],H67)</f>
        <v>-20076974</v>
      </c>
      <c r="AG67" s="720"/>
      <c r="AH67" s="721"/>
      <c r="AI67" s="719">
        <f t="shared" si="11"/>
        <v>14607250</v>
      </c>
      <c r="AJ67" s="720"/>
      <c r="AK67" s="721"/>
      <c r="AL67" s="143"/>
      <c r="AM67" s="715">
        <f>SUMIFS(Input[Fees - Gross E&amp;G],Input[Institution Name],H67)
+SUMIFS(Input[Fees - Gross Desg],Input[Institution Name],H67)
+SUMIFS(Input[Fees - Gross Aux],Input[Institution Name],H67)
+SUMIFS(Input[Fees - Gross R Exp],Input[Institution Name],H67)
+SUMIFS(Input[Fees - Gross Loan],Input[Institution Name],H67)</f>
        <v>37623213</v>
      </c>
      <c r="AN67" s="716"/>
      <c r="AO67" s="717"/>
      <c r="AP67" s="733">
        <f>SUMIFS(Input[F. W. - Stat (R AFR) E&amp;G],Input[Institution Name],H67)
+SUMIFS(Input[F. W. - Stat (R AFR) Desg],Input[Institution Name],H67)
+SUMIFS(Input[F. W. - Stat (R AFR) Aux],Input[Institution Name],H67)</f>
        <v>0</v>
      </c>
      <c r="AQ67" s="731"/>
      <c r="AR67" s="731"/>
      <c r="AS67" s="731">
        <f>SUMIFS(Input[F. W. - Inst. (R AFR) E&amp;G],Input[Institution Name],H66)
+SUMIFS(Input[F. W. - Inst. (R AFR) Desg],Input[Institution Name],H66)
+SUMIFS(Input[F. W. - Inst. (R AFR) Aux],Input[Institution Name],H66)</f>
        <v>0</v>
      </c>
      <c r="AT67" s="731"/>
      <c r="AU67" s="732"/>
      <c r="AV67" s="733">
        <f>SUMIFS(Input[F. Exp. - Stat (R AFR) E&amp;G],Input[Institution Name],H67)
+SUMIFS(Input[F. Exp. - Stat (R AFR) Desg],Input[Institution Name],H67)
+SUMIFS(Input[F. Exp. - Stat (R AFR) Aux],Input[Institution Name],H67)</f>
        <v>-1280060</v>
      </c>
      <c r="AW67" s="731"/>
      <c r="AX67" s="731"/>
      <c r="AY67" s="731">
        <f>SUMIFS(Input[F. Exp. - Inst. (R AFR) E&amp;G],Input[Institution Name],H67)
+SUMIFS(Input[F. Exp. - Inst. (R AFR) Desg],Input[Institution Name],H67)
+SUMIFS(Input[F. Exp. - Inst. (R AFR) Aux],Input[Institution Name],H67)</f>
        <v>0</v>
      </c>
      <c r="AZ67" s="731"/>
      <c r="BA67" s="732"/>
      <c r="BB67" s="733">
        <f>SUMIFS(Input[Fee Schlr E&amp;G],Input[Institution Name],H67)
+SUMIFS(Input[Fee Schlr Desg],Input[Institution Name],H67)
+SUMIFS(Input[Fee Schlr Aux],Input[Institution Name],H67)</f>
        <v>-20913736</v>
      </c>
      <c r="BC67" s="731"/>
      <c r="BD67" s="732"/>
      <c r="BE67" s="715">
        <f t="shared" si="9"/>
        <v>15429417</v>
      </c>
      <c r="BF67" s="716"/>
      <c r="BG67" s="717"/>
      <c r="BH67" s="143"/>
      <c r="BI67" s="715">
        <f t="shared" si="10"/>
        <v>30036667</v>
      </c>
      <c r="BJ67" s="716"/>
      <c r="BK67" s="717"/>
      <c r="BL67" s="5"/>
      <c r="BM67" s="5"/>
      <c r="BN67" s="5"/>
    </row>
    <row r="68" spans="1:66" customFormat="1" ht="30" customHeight="1" x14ac:dyDescent="0.3">
      <c r="A68" s="5"/>
      <c r="B68" s="5"/>
      <c r="C68" s="5"/>
      <c r="D68" s="5"/>
      <c r="E68" s="5"/>
      <c r="F68" s="5"/>
      <c r="G68" s="5"/>
      <c r="H68" s="616" t="s">
        <v>12</v>
      </c>
      <c r="I68" s="617"/>
      <c r="J68" s="617"/>
      <c r="K68" s="617"/>
      <c r="L68" s="617"/>
      <c r="M68" s="617"/>
      <c r="N68" s="617"/>
      <c r="O68" s="617"/>
      <c r="P68" s="618"/>
      <c r="Q68" s="725">
        <f>SUMIFS(Input[T. - Gross E&amp;G],Input[Institution Name],H68)
+SUMIFS(Input[T. - Gross Desg],Input[Institution Name],H68)</f>
        <v>39002615</v>
      </c>
      <c r="R68" s="726"/>
      <c r="S68" s="727"/>
      <c r="T68" s="728">
        <f>SUMIFS(Input[T. W. - Stat (R AFR) E&amp;G],Input[Institution Name],H68)
+SUMIFS(Input[T. W. - Stat (R AFR) Desg],Input[Institution Name],H68)</f>
        <v>0</v>
      </c>
      <c r="U68" s="729"/>
      <c r="V68" s="729"/>
      <c r="W68" s="729">
        <f>SUMIFS(Input[T. W. - Inst. (R AFR) E&amp;G],Input[Institution Name],H68)
+SUMIFS(Input[T. W. - Inst. (R AFR) Desg],Input[Institution Name],H68)</f>
        <v>0</v>
      </c>
      <c r="X68" s="729"/>
      <c r="Y68" s="730"/>
      <c r="Z68" s="728">
        <f>SUMIFS(Input[T. Exp. - Stat (R AFR) E&amp;G],Input[Institution Name],H68)
+SUMIFS(Input[T. Exp. - Stat (R AFR) Desg],Input[Institution Name],H68)</f>
        <v>-1849714</v>
      </c>
      <c r="AA68" s="729"/>
      <c r="AB68" s="729"/>
      <c r="AC68" s="729">
        <f>SUMIFS(Input[T. Exp. - Inst. (R AFR) E&amp;G],Input[Institution Name],H68)
+SUMIFS(Input[T. Exp. - Inst. (R AFR) Desg],Input[Institution Name],H68)</f>
        <v>0</v>
      </c>
      <c r="AD68" s="729"/>
      <c r="AE68" s="730"/>
      <c r="AF68" s="728">
        <f>SUMIFS(Input[T. Schlr E&amp;G],Input[Institution Name],H68)
+SUMIFS(Input[T. Schlr Desg],Input[Institution Name],H68)
+SUMIFS(Input[T. Schlr Aux],Input[Institution Name],H68)</f>
        <v>-10761640</v>
      </c>
      <c r="AG68" s="729"/>
      <c r="AH68" s="730"/>
      <c r="AI68" s="728">
        <f t="shared" si="11"/>
        <v>26391261</v>
      </c>
      <c r="AJ68" s="729"/>
      <c r="AK68" s="730"/>
      <c r="AL68" s="143"/>
      <c r="AM68" s="725">
        <f>SUMIFS(Input[Fees - Gross E&amp;G],Input[Institution Name],H68)
+SUMIFS(Input[Fees - Gross Desg],Input[Institution Name],H68)
+SUMIFS(Input[Fees - Gross Aux],Input[Institution Name],H68)
+SUMIFS(Input[Fees - Gross R Exp],Input[Institution Name],H68)
+SUMIFS(Input[Fees - Gross Loan],Input[Institution Name],H68)</f>
        <v>49848862</v>
      </c>
      <c r="AN68" s="726"/>
      <c r="AO68" s="727"/>
      <c r="AP68" s="724">
        <f>SUMIFS(Input[F. W. - Stat (R AFR) E&amp;G],Input[Institution Name],H68)
+SUMIFS(Input[F. W. - Stat (R AFR) Desg],Input[Institution Name],H68)
+SUMIFS(Input[F. W. - Stat (R AFR) Aux],Input[Institution Name],H68)</f>
        <v>0</v>
      </c>
      <c r="AQ68" s="722"/>
      <c r="AR68" s="722"/>
      <c r="AS68" s="722">
        <f>SUMIFS(Input[F. W. - Inst. (R AFR) E&amp;G],Input[Institution Name],H67)
+SUMIFS(Input[F. W. - Inst. (R AFR) Desg],Input[Institution Name],H67)
+SUMIFS(Input[F. W. - Inst. (R AFR) Aux],Input[Institution Name],H67)</f>
        <v>0</v>
      </c>
      <c r="AT68" s="722"/>
      <c r="AU68" s="723"/>
      <c r="AV68" s="724">
        <f>SUMIFS(Input[F. Exp. - Stat (R AFR) E&amp;G],Input[Institution Name],H68)
+SUMIFS(Input[F. Exp. - Stat (R AFR) Desg],Input[Institution Name],H68)
+SUMIFS(Input[F. Exp. - Stat (R AFR) Aux],Input[Institution Name],H68)</f>
        <v>-3221807</v>
      </c>
      <c r="AW68" s="722"/>
      <c r="AX68" s="722"/>
      <c r="AY68" s="722">
        <f>SUMIFS(Input[F. Exp. - Inst. (R AFR) E&amp;G],Input[Institution Name],H68)
+SUMIFS(Input[F. Exp. - Inst. (R AFR) Desg],Input[Institution Name],H68)
+SUMIFS(Input[F. Exp. - Inst. (R AFR) Aux],Input[Institution Name],H68)</f>
        <v>0</v>
      </c>
      <c r="AZ68" s="722"/>
      <c r="BA68" s="723"/>
      <c r="BB68" s="724">
        <f>SUMIFS(Input[Fee Schlr E&amp;G],Input[Institution Name],H68)
+SUMIFS(Input[Fee Schlr Desg],Input[Institution Name],H68)
+SUMIFS(Input[Fee Schlr Aux],Input[Institution Name],H68)</f>
        <v>-12896642</v>
      </c>
      <c r="BC68" s="722"/>
      <c r="BD68" s="723"/>
      <c r="BE68" s="725">
        <f t="shared" si="9"/>
        <v>33730413</v>
      </c>
      <c r="BF68" s="726"/>
      <c r="BG68" s="727"/>
      <c r="BH68" s="143"/>
      <c r="BI68" s="725">
        <f t="shared" si="10"/>
        <v>60121674</v>
      </c>
      <c r="BJ68" s="726"/>
      <c r="BK68" s="727"/>
      <c r="BL68" s="5"/>
      <c r="BM68" s="5"/>
      <c r="BN68" s="5"/>
    </row>
    <row r="69" spans="1:66" customFormat="1" ht="30" customHeight="1" x14ac:dyDescent="0.3">
      <c r="A69" s="5"/>
      <c r="B69" s="5"/>
      <c r="C69" s="5"/>
      <c r="D69" s="5"/>
      <c r="E69" s="5"/>
      <c r="F69" s="5"/>
      <c r="G69" s="5"/>
      <c r="H69" s="579" t="s">
        <v>11</v>
      </c>
      <c r="I69" s="580"/>
      <c r="J69" s="580"/>
      <c r="K69" s="580"/>
      <c r="L69" s="580"/>
      <c r="M69" s="580"/>
      <c r="N69" s="580"/>
      <c r="O69" s="580"/>
      <c r="P69" s="619"/>
      <c r="Q69" s="715">
        <f>SUMIFS(Input[T. - Gross E&amp;G],Input[Institution Name],H69)
+SUMIFS(Input[T. - Gross Desg],Input[Institution Name],H69)</f>
        <v>55761841</v>
      </c>
      <c r="R69" s="716"/>
      <c r="S69" s="717"/>
      <c r="T69" s="719">
        <f>SUMIFS(Input[T. W. - Stat (R AFR) E&amp;G],Input[Institution Name],H69)
+SUMIFS(Input[T. W. - Stat (R AFR) Desg],Input[Institution Name],H69)</f>
        <v>0</v>
      </c>
      <c r="U69" s="720"/>
      <c r="V69" s="720"/>
      <c r="W69" s="720">
        <f>SUMIFS(Input[T. W. - Inst. (R AFR) E&amp;G],Input[Institution Name],H69)
+SUMIFS(Input[T. W. - Inst. (R AFR) Desg],Input[Institution Name],H69)</f>
        <v>0</v>
      </c>
      <c r="X69" s="720"/>
      <c r="Y69" s="721"/>
      <c r="Z69" s="719">
        <f>SUMIFS(Input[T. Exp. - Stat (R AFR) E&amp;G],Input[Institution Name],H69)
+SUMIFS(Input[T. Exp. - Stat (R AFR) Desg],Input[Institution Name],H69)</f>
        <v>-5661704</v>
      </c>
      <c r="AA69" s="720"/>
      <c r="AB69" s="720"/>
      <c r="AC69" s="720">
        <f>SUMIFS(Input[T. Exp. - Inst. (R AFR) E&amp;G],Input[Institution Name],H69)
+SUMIFS(Input[T. Exp. - Inst. (R AFR) Desg],Input[Institution Name],H69)</f>
        <v>0</v>
      </c>
      <c r="AD69" s="720"/>
      <c r="AE69" s="721"/>
      <c r="AF69" s="719">
        <f>SUMIFS(Input[T. Schlr E&amp;G],Input[Institution Name],H69)
+SUMIFS(Input[T. Schlr Desg],Input[Institution Name],H69)
+SUMIFS(Input[T. Schlr Aux],Input[Institution Name],H69)</f>
        <v>-14856550</v>
      </c>
      <c r="AG69" s="720"/>
      <c r="AH69" s="721"/>
      <c r="AI69" s="719">
        <f t="shared" si="11"/>
        <v>35243587</v>
      </c>
      <c r="AJ69" s="720"/>
      <c r="AK69" s="721"/>
      <c r="AL69" s="143"/>
      <c r="AM69" s="715">
        <f>SUMIFS(Input[Fees - Gross E&amp;G],Input[Institution Name],H69)
+SUMIFS(Input[Fees - Gross Desg],Input[Institution Name],H69)
+SUMIFS(Input[Fees - Gross Aux],Input[Institution Name],H69)
+SUMIFS(Input[Fees - Gross R Exp],Input[Institution Name],H69)
+SUMIFS(Input[Fees - Gross Loan],Input[Institution Name],H69)</f>
        <v>30105694</v>
      </c>
      <c r="AN69" s="716"/>
      <c r="AO69" s="717"/>
      <c r="AP69" s="733">
        <f>SUMIFS(Input[F. W. - Stat (R AFR) E&amp;G],Input[Institution Name],H69)
+SUMIFS(Input[F. W. - Stat (R AFR) Desg],Input[Institution Name],H69)
+SUMIFS(Input[F. W. - Stat (R AFR) Aux],Input[Institution Name],H69)</f>
        <v>0</v>
      </c>
      <c r="AQ69" s="731"/>
      <c r="AR69" s="731"/>
      <c r="AS69" s="731">
        <f>SUMIFS(Input[F. W. - Inst. (R AFR) E&amp;G],Input[Institution Name],H68)
+SUMIFS(Input[F. W. - Inst. (R AFR) Desg],Input[Institution Name],H68)
+SUMIFS(Input[F. W. - Inst. (R AFR) Aux],Input[Institution Name],H68)</f>
        <v>0</v>
      </c>
      <c r="AT69" s="731"/>
      <c r="AU69" s="732"/>
      <c r="AV69" s="733">
        <f>SUMIFS(Input[F. Exp. - Stat (R AFR) E&amp;G],Input[Institution Name],H69)
+SUMIFS(Input[F. Exp. - Stat (R AFR) Desg],Input[Institution Name],H69)
+SUMIFS(Input[F. Exp. - Stat (R AFR) Aux],Input[Institution Name],H69)</f>
        <v>-3322351</v>
      </c>
      <c r="AW69" s="731"/>
      <c r="AX69" s="731"/>
      <c r="AY69" s="731">
        <f>SUMIFS(Input[F. Exp. - Inst. (R AFR) E&amp;G],Input[Institution Name],H69)
+SUMIFS(Input[F. Exp. - Inst. (R AFR) Desg],Input[Institution Name],H69)
+SUMIFS(Input[F. Exp. - Inst. (R AFR) Aux],Input[Institution Name],H69)</f>
        <v>0</v>
      </c>
      <c r="AZ69" s="731"/>
      <c r="BA69" s="732"/>
      <c r="BB69" s="733">
        <f>SUMIFS(Input[Fee Schlr E&amp;G],Input[Institution Name],H69)
+SUMIFS(Input[Fee Schlr Desg],Input[Institution Name],H69)
+SUMIFS(Input[Fee Schlr Aux],Input[Institution Name],H69)</f>
        <v>-7755408</v>
      </c>
      <c r="BC69" s="731"/>
      <c r="BD69" s="732"/>
      <c r="BE69" s="715">
        <f t="shared" si="9"/>
        <v>19027935</v>
      </c>
      <c r="BF69" s="716"/>
      <c r="BG69" s="717"/>
      <c r="BH69" s="143"/>
      <c r="BI69" s="715">
        <f t="shared" si="10"/>
        <v>54271522</v>
      </c>
      <c r="BJ69" s="716"/>
      <c r="BK69" s="717"/>
      <c r="BL69" s="5"/>
      <c r="BM69" s="5"/>
      <c r="BN69" s="5"/>
    </row>
    <row r="70" spans="1:66" customFormat="1" ht="30" customHeight="1" x14ac:dyDescent="0.3">
      <c r="A70" s="5"/>
      <c r="B70" s="5"/>
      <c r="C70" s="5"/>
      <c r="D70" s="5"/>
      <c r="E70" s="5"/>
      <c r="F70" s="5"/>
      <c r="G70" s="5"/>
      <c r="H70" s="616" t="s">
        <v>13</v>
      </c>
      <c r="I70" s="617"/>
      <c r="J70" s="617"/>
      <c r="K70" s="617"/>
      <c r="L70" s="617"/>
      <c r="M70" s="617"/>
      <c r="N70" s="617"/>
      <c r="O70" s="617"/>
      <c r="P70" s="618"/>
      <c r="Q70" s="725">
        <f>SUMIFS(Input[T. - Gross E&amp;G],Input[Institution Name],H70)
+SUMIFS(Input[T. - Gross Desg],Input[Institution Name],H70)</f>
        <v>14326205</v>
      </c>
      <c r="R70" s="726"/>
      <c r="S70" s="727"/>
      <c r="T70" s="728">
        <f>SUMIFS(Input[T. W. - Stat (R AFR) E&amp;G],Input[Institution Name],H70)
+SUMIFS(Input[T. W. - Stat (R AFR) Desg],Input[Institution Name],H70)</f>
        <v>0</v>
      </c>
      <c r="U70" s="729"/>
      <c r="V70" s="729"/>
      <c r="W70" s="729">
        <f>SUMIFS(Input[T. W. - Inst. (R AFR) E&amp;G],Input[Institution Name],H70)
+SUMIFS(Input[T. W. - Inst. (R AFR) Desg],Input[Institution Name],H70)</f>
        <v>0</v>
      </c>
      <c r="X70" s="729"/>
      <c r="Y70" s="730"/>
      <c r="Z70" s="728">
        <f>SUMIFS(Input[T. Exp. - Stat (R AFR) E&amp;G],Input[Institution Name],H70)
+SUMIFS(Input[T. Exp. - Stat (R AFR) Desg],Input[Institution Name],H70)</f>
        <v>-916750</v>
      </c>
      <c r="AA70" s="729"/>
      <c r="AB70" s="729"/>
      <c r="AC70" s="729">
        <f>SUMIFS(Input[T. Exp. - Inst. (R AFR) E&amp;G],Input[Institution Name],H70)
+SUMIFS(Input[T. Exp. - Inst. (R AFR) Desg],Input[Institution Name],H70)</f>
        <v>0</v>
      </c>
      <c r="AD70" s="729"/>
      <c r="AE70" s="730"/>
      <c r="AF70" s="728">
        <f>SUMIFS(Input[T. Schlr E&amp;G],Input[Institution Name],H70)
+SUMIFS(Input[T. Schlr Desg],Input[Institution Name],H70)
+SUMIFS(Input[T. Schlr Aux],Input[Institution Name],H70)</f>
        <v>-5467573</v>
      </c>
      <c r="AG70" s="729"/>
      <c r="AH70" s="730"/>
      <c r="AI70" s="728">
        <f t="shared" si="11"/>
        <v>7941882</v>
      </c>
      <c r="AJ70" s="729"/>
      <c r="AK70" s="730"/>
      <c r="AL70" s="143"/>
      <c r="AM70" s="725">
        <f>SUMIFS(Input[Fees - Gross E&amp;G],Input[Institution Name],H70)
+SUMIFS(Input[Fees - Gross Desg],Input[Institution Name],H70)
+SUMIFS(Input[Fees - Gross Aux],Input[Institution Name],H70)
+SUMIFS(Input[Fees - Gross R Exp],Input[Institution Name],H70)
+SUMIFS(Input[Fees - Gross Loan],Input[Institution Name],H70)</f>
        <v>5915307</v>
      </c>
      <c r="AN70" s="726"/>
      <c r="AO70" s="727"/>
      <c r="AP70" s="724">
        <f>SUMIFS(Input[F. W. - Stat (R AFR) E&amp;G],Input[Institution Name],H70)
+SUMIFS(Input[F. W. - Stat (R AFR) Desg],Input[Institution Name],H70)
+SUMIFS(Input[F. W. - Stat (R AFR) Aux],Input[Institution Name],H70)</f>
        <v>0</v>
      </c>
      <c r="AQ70" s="722"/>
      <c r="AR70" s="722"/>
      <c r="AS70" s="722">
        <f>SUMIFS(Input[F. W. - Inst. (R AFR) E&amp;G],Input[Institution Name],H69)
+SUMIFS(Input[F. W. - Inst. (R AFR) Desg],Input[Institution Name],H69)
+SUMIFS(Input[F. W. - Inst. (R AFR) Aux],Input[Institution Name],H69)</f>
        <v>0</v>
      </c>
      <c r="AT70" s="722"/>
      <c r="AU70" s="723"/>
      <c r="AV70" s="724">
        <f>SUMIFS(Input[F. Exp. - Stat (R AFR) E&amp;G],Input[Institution Name],H70)
+SUMIFS(Input[F. Exp. - Stat (R AFR) Desg],Input[Institution Name],H70)
+SUMIFS(Input[F. Exp. - Stat (R AFR) Aux],Input[Institution Name],H70)</f>
        <v>-381434</v>
      </c>
      <c r="AW70" s="722"/>
      <c r="AX70" s="722"/>
      <c r="AY70" s="722">
        <f>SUMIFS(Input[F. Exp. - Inst. (R AFR) E&amp;G],Input[Institution Name],H70)
+SUMIFS(Input[F. Exp. - Inst. (R AFR) Desg],Input[Institution Name],H70)
+SUMIFS(Input[F. Exp. - Inst. (R AFR) Aux],Input[Institution Name],H70)</f>
        <v>0</v>
      </c>
      <c r="AZ70" s="722"/>
      <c r="BA70" s="723"/>
      <c r="BB70" s="724">
        <f>SUMIFS(Input[Fee Schlr E&amp;G],Input[Institution Name],H70)
+SUMIFS(Input[Fee Schlr Desg],Input[Institution Name],H70)
+SUMIFS(Input[Fee Schlr Aux],Input[Institution Name],H70)</f>
        <v>-2254660</v>
      </c>
      <c r="BC70" s="722"/>
      <c r="BD70" s="723"/>
      <c r="BE70" s="725">
        <f t="shared" si="9"/>
        <v>3279213</v>
      </c>
      <c r="BF70" s="726"/>
      <c r="BG70" s="727"/>
      <c r="BH70" s="143"/>
      <c r="BI70" s="725">
        <f t="shared" si="10"/>
        <v>11221095</v>
      </c>
      <c r="BJ70" s="726"/>
      <c r="BK70" s="727"/>
      <c r="BL70" s="5"/>
      <c r="BM70" s="5"/>
      <c r="BN70" s="5"/>
    </row>
    <row r="71" spans="1:66" customFormat="1" ht="30" customHeight="1" x14ac:dyDescent="0.3">
      <c r="A71" s="5"/>
      <c r="B71" s="5"/>
      <c r="C71" s="5"/>
      <c r="D71" s="5"/>
      <c r="E71" s="5"/>
      <c r="F71" s="5"/>
      <c r="G71" s="5"/>
      <c r="H71" s="579" t="s">
        <v>16</v>
      </c>
      <c r="I71" s="580"/>
      <c r="J71" s="580"/>
      <c r="K71" s="580"/>
      <c r="L71" s="580"/>
      <c r="M71" s="580"/>
      <c r="N71" s="580"/>
      <c r="O71" s="580"/>
      <c r="P71" s="619"/>
      <c r="Q71" s="715">
        <f>SUMIFS(Input[T. - Gross E&amp;G],Input[Institution Name],H71)
+SUMIFS(Input[T. - Gross Desg],Input[Institution Name],H71)</f>
        <v>447575594</v>
      </c>
      <c r="R71" s="716"/>
      <c r="S71" s="717"/>
      <c r="T71" s="719">
        <f>SUMIFS(Input[T. W. - Stat (R AFR) E&amp;G],Input[Institution Name],H71)
+SUMIFS(Input[T. W. - Stat (R AFR) Desg],Input[Institution Name],H71)</f>
        <v>0</v>
      </c>
      <c r="U71" s="720"/>
      <c r="V71" s="720"/>
      <c r="W71" s="720">
        <f>SUMIFS(Input[T. W. - Inst. (R AFR) E&amp;G],Input[Institution Name],H71)
+SUMIFS(Input[T. W. - Inst. (R AFR) Desg],Input[Institution Name],H71)</f>
        <v>0</v>
      </c>
      <c r="X71" s="720"/>
      <c r="Y71" s="721"/>
      <c r="Z71" s="719">
        <f>SUMIFS(Input[T. Exp. - Stat (R AFR) E&amp;G],Input[Institution Name],H71)
+SUMIFS(Input[T. Exp. - Stat (R AFR) Desg],Input[Institution Name],H71)</f>
        <v>-11626664</v>
      </c>
      <c r="AA71" s="720"/>
      <c r="AB71" s="720"/>
      <c r="AC71" s="720">
        <f>SUMIFS(Input[T. Exp. - Inst. (R AFR) E&amp;G],Input[Institution Name],H71)
+SUMIFS(Input[T. Exp. - Inst. (R AFR) Desg],Input[Institution Name],H71)</f>
        <v>0</v>
      </c>
      <c r="AD71" s="720"/>
      <c r="AE71" s="721"/>
      <c r="AF71" s="719">
        <f>SUMIFS(Input[T. Schlr E&amp;G],Input[Institution Name],H71)
+SUMIFS(Input[T. Schlr Desg],Input[Institution Name],H71)
+SUMIFS(Input[T. Schlr Aux],Input[Institution Name],H71)</f>
        <v>-6384365</v>
      </c>
      <c r="AG71" s="720"/>
      <c r="AH71" s="721"/>
      <c r="AI71" s="719">
        <f t="shared" si="11"/>
        <v>429564565</v>
      </c>
      <c r="AJ71" s="720"/>
      <c r="AK71" s="721"/>
      <c r="AL71" s="143"/>
      <c r="AM71" s="715">
        <f>SUMIFS(Input[Fees - Gross E&amp;G],Input[Institution Name],H71)
+SUMIFS(Input[Fees - Gross Desg],Input[Institution Name],H71)
+SUMIFS(Input[Fees - Gross Aux],Input[Institution Name],H71)
+SUMIFS(Input[Fees - Gross R Exp],Input[Institution Name],H71)
+SUMIFS(Input[Fees - Gross Loan],Input[Institution Name],H71)</f>
        <v>160979854</v>
      </c>
      <c r="AN71" s="716"/>
      <c r="AO71" s="717"/>
      <c r="AP71" s="733">
        <f>SUMIFS(Input[F. W. - Stat (R AFR) E&amp;G],Input[Institution Name],H71)
+SUMIFS(Input[F. W. - Stat (R AFR) Desg],Input[Institution Name],H71)
+SUMIFS(Input[F. W. - Stat (R AFR) Aux],Input[Institution Name],H71)</f>
        <v>0</v>
      </c>
      <c r="AQ71" s="731"/>
      <c r="AR71" s="731"/>
      <c r="AS71" s="731">
        <f>SUMIFS(Input[F. W. - Inst. (R AFR) E&amp;G],Input[Institution Name],H70)
+SUMIFS(Input[F. W. - Inst. (R AFR) Desg],Input[Institution Name],H70)
+SUMIFS(Input[F. W. - Inst. (R AFR) Aux],Input[Institution Name],H70)</f>
        <v>0</v>
      </c>
      <c r="AT71" s="731"/>
      <c r="AU71" s="732"/>
      <c r="AV71" s="733">
        <f>SUMIFS(Input[F. Exp. - Stat (R AFR) E&amp;G],Input[Institution Name],H71)
+SUMIFS(Input[F. Exp. - Stat (R AFR) Desg],Input[Institution Name],H71)
+SUMIFS(Input[F. Exp. - Stat (R AFR) Aux],Input[Institution Name],H71)</f>
        <v>-3248658</v>
      </c>
      <c r="AW71" s="731"/>
      <c r="AX71" s="731"/>
      <c r="AY71" s="731">
        <f>SUMIFS(Input[F. Exp. - Inst. (R AFR) E&amp;G],Input[Institution Name],H71)
+SUMIFS(Input[F. Exp. - Inst. (R AFR) Desg],Input[Institution Name],H71)
+SUMIFS(Input[F. Exp. - Inst. (R AFR) Aux],Input[Institution Name],H71)</f>
        <v>0</v>
      </c>
      <c r="AZ71" s="731"/>
      <c r="BA71" s="732"/>
      <c r="BB71" s="733">
        <f>SUMIFS(Input[Fee Schlr E&amp;G],Input[Institution Name],H71)
+SUMIFS(Input[Fee Schlr Desg],Input[Institution Name],H71)
+SUMIFS(Input[Fee Schlr Aux],Input[Institution Name],H71)</f>
        <v>-57379790</v>
      </c>
      <c r="BC71" s="731"/>
      <c r="BD71" s="732"/>
      <c r="BE71" s="715">
        <f t="shared" si="9"/>
        <v>100351406</v>
      </c>
      <c r="BF71" s="716"/>
      <c r="BG71" s="717"/>
      <c r="BH71" s="143"/>
      <c r="BI71" s="715">
        <f t="shared" si="10"/>
        <v>529915971</v>
      </c>
      <c r="BJ71" s="716"/>
      <c r="BK71" s="717"/>
      <c r="BL71" s="5"/>
      <c r="BM71" s="5"/>
      <c r="BN71" s="5"/>
    </row>
    <row r="72" spans="1:66" customFormat="1" ht="30" customHeight="1" x14ac:dyDescent="0.3">
      <c r="A72" s="5"/>
      <c r="B72" s="5"/>
      <c r="C72" s="5"/>
      <c r="D72" s="5"/>
      <c r="E72" s="5"/>
      <c r="F72" s="5"/>
      <c r="G72" s="5"/>
      <c r="H72" s="616" t="s">
        <v>17</v>
      </c>
      <c r="I72" s="617"/>
      <c r="J72" s="617"/>
      <c r="K72" s="617"/>
      <c r="L72" s="617"/>
      <c r="M72" s="617"/>
      <c r="N72" s="617"/>
      <c r="O72" s="617"/>
      <c r="P72" s="618"/>
      <c r="Q72" s="725">
        <f>SUMIFS(Input[T. - Gross E&amp;G],Input[Institution Name],H72)
+SUMIFS(Input[T. - Gross Desg],Input[Institution Name],H72)</f>
        <v>54796479</v>
      </c>
      <c r="R72" s="726"/>
      <c r="S72" s="727"/>
      <c r="T72" s="728">
        <f>SUMIFS(Input[T. W. - Stat (R AFR) E&amp;G],Input[Institution Name],H72)
+SUMIFS(Input[T. W. - Stat (R AFR) Desg],Input[Institution Name],H72)</f>
        <v>0</v>
      </c>
      <c r="U72" s="729"/>
      <c r="V72" s="729"/>
      <c r="W72" s="729">
        <f>SUMIFS(Input[T. W. - Inst. (R AFR) E&amp;G],Input[Institution Name],H72)
+SUMIFS(Input[T. W. - Inst. (R AFR) Desg],Input[Institution Name],H72)</f>
        <v>0</v>
      </c>
      <c r="X72" s="729"/>
      <c r="Y72" s="730"/>
      <c r="Z72" s="728">
        <f>SUMIFS(Input[T. Exp. - Stat (R AFR) E&amp;G],Input[Institution Name],H72)
+SUMIFS(Input[T. Exp. - Stat (R AFR) Desg],Input[Institution Name],H72)</f>
        <v>-2038611</v>
      </c>
      <c r="AA72" s="729"/>
      <c r="AB72" s="729"/>
      <c r="AC72" s="729">
        <f>SUMIFS(Input[T. Exp. - Inst. (R AFR) E&amp;G],Input[Institution Name],H72)
+SUMIFS(Input[T. Exp. - Inst. (R AFR) Desg],Input[Institution Name],H72)</f>
        <v>0</v>
      </c>
      <c r="AD72" s="729"/>
      <c r="AE72" s="730"/>
      <c r="AF72" s="728">
        <f>SUMIFS(Input[T. Schlr E&amp;G],Input[Institution Name],H72)
+SUMIFS(Input[T. Schlr Desg],Input[Institution Name],H72)
+SUMIFS(Input[T. Schlr Aux],Input[Institution Name],H72)</f>
        <v>-19928592</v>
      </c>
      <c r="AG72" s="729"/>
      <c r="AH72" s="730"/>
      <c r="AI72" s="728">
        <f t="shared" si="11"/>
        <v>32829276</v>
      </c>
      <c r="AJ72" s="729"/>
      <c r="AK72" s="730"/>
      <c r="AL72" s="143"/>
      <c r="AM72" s="725">
        <f>SUMIFS(Input[Fees - Gross E&amp;G],Input[Institution Name],H72)
+SUMIFS(Input[Fees - Gross Desg],Input[Institution Name],H72)
+SUMIFS(Input[Fees - Gross Aux],Input[Institution Name],H72)
+SUMIFS(Input[Fees - Gross R Exp],Input[Institution Name],H72)
+SUMIFS(Input[Fees - Gross Loan],Input[Institution Name],H72)</f>
        <v>17261820</v>
      </c>
      <c r="AN72" s="726"/>
      <c r="AO72" s="727"/>
      <c r="AP72" s="724">
        <f>SUMIFS(Input[F. W. - Stat (R AFR) E&amp;G],Input[Institution Name],H72)
+SUMIFS(Input[F. W. - Stat (R AFR) Desg],Input[Institution Name],H72)
+SUMIFS(Input[F. W. - Stat (R AFR) Aux],Input[Institution Name],H72)</f>
        <v>0</v>
      </c>
      <c r="AQ72" s="722"/>
      <c r="AR72" s="722"/>
      <c r="AS72" s="722">
        <f>SUMIFS(Input[F. W. - Inst. (R AFR) E&amp;G],Input[Institution Name],H71)
+SUMIFS(Input[F. W. - Inst. (R AFR) Desg],Input[Institution Name],H71)
+SUMIFS(Input[F. W. - Inst. (R AFR) Aux],Input[Institution Name],H71)</f>
        <v>0</v>
      </c>
      <c r="AT72" s="722"/>
      <c r="AU72" s="723"/>
      <c r="AV72" s="724">
        <f>SUMIFS(Input[F. Exp. - Stat (R AFR) E&amp;G],Input[Institution Name],H72)
+SUMIFS(Input[F. Exp. - Stat (R AFR) Desg],Input[Institution Name],H72)
+SUMIFS(Input[F. Exp. - Stat (R AFR) Aux],Input[Institution Name],H72)</f>
        <v>-526433</v>
      </c>
      <c r="AW72" s="722"/>
      <c r="AX72" s="722"/>
      <c r="AY72" s="722">
        <f>SUMIFS(Input[F. Exp. - Inst. (R AFR) E&amp;G],Input[Institution Name],H72)
+SUMIFS(Input[F. Exp. - Inst. (R AFR) Desg],Input[Institution Name],H72)
+SUMIFS(Input[F. Exp. - Inst. (R AFR) Aux],Input[Institution Name],H72)</f>
        <v>0</v>
      </c>
      <c r="AZ72" s="722"/>
      <c r="BA72" s="723"/>
      <c r="BB72" s="724">
        <f>SUMIFS(Input[Fee Schlr E&amp;G],Input[Institution Name],H72)
+SUMIFS(Input[Fee Schlr Desg],Input[Institution Name],H72)
+SUMIFS(Input[Fee Schlr Aux],Input[Institution Name],H72)</f>
        <v>-3027155</v>
      </c>
      <c r="BC72" s="722"/>
      <c r="BD72" s="723"/>
      <c r="BE72" s="725">
        <f t="shared" si="9"/>
        <v>13708232</v>
      </c>
      <c r="BF72" s="726"/>
      <c r="BG72" s="727"/>
      <c r="BH72" s="143"/>
      <c r="BI72" s="725">
        <f t="shared" si="10"/>
        <v>46537508</v>
      </c>
      <c r="BJ72" s="726"/>
      <c r="BK72" s="727"/>
      <c r="BL72" s="5"/>
      <c r="BM72" s="5"/>
      <c r="BN72" s="5"/>
    </row>
    <row r="73" spans="1:66" customFormat="1" ht="30" customHeight="1" x14ac:dyDescent="0.3">
      <c r="A73" s="5"/>
      <c r="B73" s="5"/>
      <c r="C73" s="5"/>
      <c r="D73" s="5"/>
      <c r="E73" s="5"/>
      <c r="F73" s="5"/>
      <c r="G73" s="5"/>
      <c r="H73" s="579" t="s">
        <v>18</v>
      </c>
      <c r="I73" s="580"/>
      <c r="J73" s="580"/>
      <c r="K73" s="580"/>
      <c r="L73" s="580"/>
      <c r="M73" s="580"/>
      <c r="N73" s="580"/>
      <c r="O73" s="580"/>
      <c r="P73" s="619"/>
      <c r="Q73" s="715">
        <f>SUMIFS(Input[T. - Gross E&amp;G],Input[Institution Name],H73)
+SUMIFS(Input[T. - Gross Desg],Input[Institution Name],H73)</f>
        <v>87106224</v>
      </c>
      <c r="R73" s="716"/>
      <c r="S73" s="717"/>
      <c r="T73" s="719">
        <f>SUMIFS(Input[T. W. - Stat (R AFR) E&amp;G],Input[Institution Name],H73)
+SUMIFS(Input[T. W. - Stat (R AFR) Desg],Input[Institution Name],H73)</f>
        <v>0</v>
      </c>
      <c r="U73" s="720"/>
      <c r="V73" s="720"/>
      <c r="W73" s="720">
        <f>SUMIFS(Input[T. W. - Inst. (R AFR) E&amp;G],Input[Institution Name],H73)
+SUMIFS(Input[T. W. - Inst. (R AFR) Desg],Input[Institution Name],H73)</f>
        <v>0</v>
      </c>
      <c r="X73" s="720"/>
      <c r="Y73" s="721"/>
      <c r="Z73" s="719">
        <f>SUMIFS(Input[T. Exp. - Stat (R AFR) E&amp;G],Input[Institution Name],H73)
+SUMIFS(Input[T. Exp. - Stat (R AFR) Desg],Input[Institution Name],H73)</f>
        <v>-2417419</v>
      </c>
      <c r="AA73" s="720"/>
      <c r="AB73" s="720"/>
      <c r="AC73" s="720">
        <f>SUMIFS(Input[T. Exp. - Inst. (R AFR) E&amp;G],Input[Institution Name],H73)
+SUMIFS(Input[T. Exp. - Inst. (R AFR) Desg],Input[Institution Name],H73)</f>
        <v>0</v>
      </c>
      <c r="AD73" s="720"/>
      <c r="AE73" s="721"/>
      <c r="AF73" s="719">
        <f>SUMIFS(Input[T. Schlr E&amp;G],Input[Institution Name],H73)
+SUMIFS(Input[T. Schlr Desg],Input[Institution Name],H73)
+SUMIFS(Input[T. Schlr Aux],Input[Institution Name],H73)</f>
        <v>-47369816</v>
      </c>
      <c r="AG73" s="720"/>
      <c r="AH73" s="721"/>
      <c r="AI73" s="719">
        <f t="shared" si="11"/>
        <v>37318989</v>
      </c>
      <c r="AJ73" s="720"/>
      <c r="AK73" s="721"/>
      <c r="AL73" s="143"/>
      <c r="AM73" s="715">
        <f>SUMIFS(Input[Fees - Gross E&amp;G],Input[Institution Name],H73)
+SUMIFS(Input[Fees - Gross Desg],Input[Institution Name],H73)
+SUMIFS(Input[Fees - Gross Aux],Input[Institution Name],H73)
+SUMIFS(Input[Fees - Gross R Exp],Input[Institution Name],H73)
+SUMIFS(Input[Fees - Gross Loan],Input[Institution Name],H73)</f>
        <v>24804625</v>
      </c>
      <c r="AN73" s="716"/>
      <c r="AO73" s="717"/>
      <c r="AP73" s="733">
        <f>SUMIFS(Input[F. W. - Stat (R AFR) E&amp;G],Input[Institution Name],H73)
+SUMIFS(Input[F. W. - Stat (R AFR) Desg],Input[Institution Name],H73)
+SUMIFS(Input[F. W. - Stat (R AFR) Aux],Input[Institution Name],H73)</f>
        <v>0</v>
      </c>
      <c r="AQ73" s="731"/>
      <c r="AR73" s="731"/>
      <c r="AS73" s="731">
        <f>SUMIFS(Input[F. W. - Inst. (R AFR) E&amp;G],Input[Institution Name],H72)
+SUMIFS(Input[F. W. - Inst. (R AFR) Desg],Input[Institution Name],H72)
+SUMIFS(Input[F. W. - Inst. (R AFR) Aux],Input[Institution Name],H72)</f>
        <v>0</v>
      </c>
      <c r="AT73" s="731"/>
      <c r="AU73" s="732"/>
      <c r="AV73" s="733">
        <f>SUMIFS(Input[F. Exp. - Stat (R AFR) E&amp;G],Input[Institution Name],H73)
+SUMIFS(Input[F. Exp. - Stat (R AFR) Desg],Input[Institution Name],H73)
+SUMIFS(Input[F. Exp. - Stat (R AFR) Aux],Input[Institution Name],H73)</f>
        <v>-525569</v>
      </c>
      <c r="AW73" s="731"/>
      <c r="AX73" s="731"/>
      <c r="AY73" s="731">
        <f>SUMIFS(Input[F. Exp. - Inst. (R AFR) E&amp;G],Input[Institution Name],H73)
+SUMIFS(Input[F. Exp. - Inst. (R AFR) Desg],Input[Institution Name],H73)
+SUMIFS(Input[F. Exp. - Inst. (R AFR) Aux],Input[Institution Name],H73)</f>
        <v>0</v>
      </c>
      <c r="AZ73" s="731"/>
      <c r="BA73" s="732"/>
      <c r="BB73" s="733">
        <f>SUMIFS(Input[Fee Schlr E&amp;G],Input[Institution Name],H73)
+SUMIFS(Input[Fee Schlr Desg],Input[Institution Name],H73)
+SUMIFS(Input[Fee Schlr Aux],Input[Institution Name],H73)</f>
        <v>-8653612</v>
      </c>
      <c r="BC73" s="731"/>
      <c r="BD73" s="732"/>
      <c r="BE73" s="715">
        <f t="shared" si="9"/>
        <v>15625444</v>
      </c>
      <c r="BF73" s="716"/>
      <c r="BG73" s="717"/>
      <c r="BH73" s="143"/>
      <c r="BI73" s="715">
        <f t="shared" si="10"/>
        <v>52944433</v>
      </c>
      <c r="BJ73" s="716"/>
      <c r="BK73" s="717"/>
      <c r="BL73" s="5"/>
      <c r="BM73" s="5"/>
      <c r="BN73" s="5"/>
    </row>
    <row r="74" spans="1:66" customFormat="1" ht="30" customHeight="1" x14ac:dyDescent="0.3">
      <c r="A74" s="5"/>
      <c r="B74" s="5"/>
      <c r="C74" s="5"/>
      <c r="D74" s="5"/>
      <c r="E74" s="5"/>
      <c r="F74" s="5"/>
      <c r="G74" s="5"/>
      <c r="H74" s="616" t="s">
        <v>19</v>
      </c>
      <c r="I74" s="617"/>
      <c r="J74" s="617"/>
      <c r="K74" s="617"/>
      <c r="L74" s="617"/>
      <c r="M74" s="617"/>
      <c r="N74" s="617"/>
      <c r="O74" s="617"/>
      <c r="P74" s="618"/>
      <c r="Q74" s="725">
        <f>SUMIFS(Input[T. - Gross E&amp;G],Input[Institution Name],H74)
+SUMIFS(Input[T. - Gross Desg],Input[Institution Name],H74)</f>
        <v>20648222</v>
      </c>
      <c r="R74" s="726"/>
      <c r="S74" s="727"/>
      <c r="T74" s="728">
        <f>SUMIFS(Input[T. W. - Stat (R AFR) E&amp;G],Input[Institution Name],H74)
+SUMIFS(Input[T. W. - Stat (R AFR) Desg],Input[Institution Name],H74)</f>
        <v>0</v>
      </c>
      <c r="U74" s="729"/>
      <c r="V74" s="729"/>
      <c r="W74" s="729">
        <f>SUMIFS(Input[T. W. - Inst. (R AFR) E&amp;G],Input[Institution Name],H74)
+SUMIFS(Input[T. W. - Inst. (R AFR) Desg],Input[Institution Name],H74)</f>
        <v>0</v>
      </c>
      <c r="X74" s="729"/>
      <c r="Y74" s="730"/>
      <c r="Z74" s="728">
        <f>SUMIFS(Input[T. Exp. - Stat (R AFR) E&amp;G],Input[Institution Name],H74)
+SUMIFS(Input[T. Exp. - Stat (R AFR) Desg],Input[Institution Name],H74)</f>
        <v>-997490</v>
      </c>
      <c r="AA74" s="729"/>
      <c r="AB74" s="729"/>
      <c r="AC74" s="729">
        <f>SUMIFS(Input[T. Exp. - Inst. (R AFR) E&amp;G],Input[Institution Name],H74)
+SUMIFS(Input[T. Exp. - Inst. (R AFR) Desg],Input[Institution Name],H74)</f>
        <v>0</v>
      </c>
      <c r="AD74" s="729"/>
      <c r="AE74" s="730"/>
      <c r="AF74" s="728">
        <f>SUMIFS(Input[T. Schlr E&amp;G],Input[Institution Name],H74)
+SUMIFS(Input[T. Schlr Desg],Input[Institution Name],H74)
+SUMIFS(Input[T. Schlr Aux],Input[Institution Name],H74)</f>
        <v>-9265861</v>
      </c>
      <c r="AG74" s="729"/>
      <c r="AH74" s="730"/>
      <c r="AI74" s="728">
        <f t="shared" si="11"/>
        <v>10384871</v>
      </c>
      <c r="AJ74" s="729"/>
      <c r="AK74" s="730"/>
      <c r="AL74" s="143"/>
      <c r="AM74" s="725">
        <f>SUMIFS(Input[Fees - Gross E&amp;G],Input[Institution Name],H74)
+SUMIFS(Input[Fees - Gross Desg],Input[Institution Name],H74)
+SUMIFS(Input[Fees - Gross Aux],Input[Institution Name],H74)
+SUMIFS(Input[Fees - Gross R Exp],Input[Institution Name],H74)
+SUMIFS(Input[Fees - Gross Loan],Input[Institution Name],H74)</f>
        <v>8774327</v>
      </c>
      <c r="AN74" s="726"/>
      <c r="AO74" s="727"/>
      <c r="AP74" s="724">
        <f>SUMIFS(Input[F. W. - Stat (R AFR) E&amp;G],Input[Institution Name],H74)
+SUMIFS(Input[F. W. - Stat (R AFR) Desg],Input[Institution Name],H74)
+SUMIFS(Input[F. W. - Stat (R AFR) Aux],Input[Institution Name],H74)</f>
        <v>0</v>
      </c>
      <c r="AQ74" s="722"/>
      <c r="AR74" s="722"/>
      <c r="AS74" s="722">
        <f>SUMIFS(Input[F. W. - Inst. (R AFR) E&amp;G],Input[Institution Name],H73)
+SUMIFS(Input[F. W. - Inst. (R AFR) Desg],Input[Institution Name],H73)
+SUMIFS(Input[F. W. - Inst. (R AFR) Aux],Input[Institution Name],H73)</f>
        <v>0</v>
      </c>
      <c r="AT74" s="722"/>
      <c r="AU74" s="723"/>
      <c r="AV74" s="724">
        <f>SUMIFS(Input[F. Exp. - Stat (R AFR) E&amp;G],Input[Institution Name],H74)
+SUMIFS(Input[F. Exp. - Stat (R AFR) Desg],Input[Institution Name],H74)
+SUMIFS(Input[F. Exp. - Stat (R AFR) Aux],Input[Institution Name],H74)</f>
        <v>-429986</v>
      </c>
      <c r="AW74" s="722"/>
      <c r="AX74" s="722"/>
      <c r="AY74" s="722">
        <f>SUMIFS(Input[F. Exp. - Inst. (R AFR) E&amp;G],Input[Institution Name],H74)
+SUMIFS(Input[F. Exp. - Inst. (R AFR) Desg],Input[Institution Name],H74)
+SUMIFS(Input[F. Exp. - Inst. (R AFR) Aux],Input[Institution Name],H74)</f>
        <v>0</v>
      </c>
      <c r="AZ74" s="722"/>
      <c r="BA74" s="723"/>
      <c r="BB74" s="724">
        <f>SUMIFS(Input[Fee Schlr E&amp;G],Input[Institution Name],H74)
+SUMIFS(Input[Fee Schlr Desg],Input[Institution Name],H74)
+SUMIFS(Input[Fee Schlr Aux],Input[Institution Name],H74)</f>
        <v>-4383688</v>
      </c>
      <c r="BC74" s="722"/>
      <c r="BD74" s="723"/>
      <c r="BE74" s="725">
        <f t="shared" si="9"/>
        <v>3960653</v>
      </c>
      <c r="BF74" s="726"/>
      <c r="BG74" s="727"/>
      <c r="BH74" s="143"/>
      <c r="BI74" s="725">
        <f t="shared" si="10"/>
        <v>14345524</v>
      </c>
      <c r="BJ74" s="726"/>
      <c r="BK74" s="727"/>
      <c r="BL74" s="5"/>
      <c r="BM74" s="5"/>
      <c r="BN74" s="5"/>
    </row>
    <row r="75" spans="1:66" customFormat="1" ht="30" customHeight="1" x14ac:dyDescent="0.3">
      <c r="A75" s="5"/>
      <c r="B75" s="5"/>
      <c r="C75" s="5"/>
      <c r="D75" s="5"/>
      <c r="E75" s="5"/>
      <c r="F75" s="5"/>
      <c r="G75" s="5"/>
      <c r="H75" s="579" t="s">
        <v>62</v>
      </c>
      <c r="I75" s="580"/>
      <c r="J75" s="580"/>
      <c r="K75" s="580"/>
      <c r="L75" s="580"/>
      <c r="M75" s="580"/>
      <c r="N75" s="580"/>
      <c r="O75" s="580"/>
      <c r="P75" s="619"/>
      <c r="Q75" s="715">
        <f>SUMIFS(Input[T. - Gross E&amp;G],Input[Institution Name],H75)
+SUMIFS(Input[T. - Gross Desg],Input[Institution Name],H75)</f>
        <v>400806261</v>
      </c>
      <c r="R75" s="716"/>
      <c r="S75" s="717"/>
      <c r="T75" s="719">
        <f>SUMIFS(Input[T. W. - Stat (R AFR) E&amp;G],Input[Institution Name],H75)
+SUMIFS(Input[T. W. - Stat (R AFR) Desg],Input[Institution Name],H75)</f>
        <v>0</v>
      </c>
      <c r="U75" s="720"/>
      <c r="V75" s="720"/>
      <c r="W75" s="720">
        <f>SUMIFS(Input[T. W. - Inst. (R AFR) E&amp;G],Input[Institution Name],H75)
+SUMIFS(Input[T. W. - Inst. (R AFR) Desg],Input[Institution Name],H75)</f>
        <v>0</v>
      </c>
      <c r="X75" s="720"/>
      <c r="Y75" s="721"/>
      <c r="Z75" s="719">
        <f>SUMIFS(Input[T. Exp. - Stat (R AFR) E&amp;G],Input[Institution Name],H75)
+SUMIFS(Input[T. Exp. - Stat (R AFR) Desg],Input[Institution Name],H75)</f>
        <v>0</v>
      </c>
      <c r="AA75" s="720"/>
      <c r="AB75" s="720"/>
      <c r="AC75" s="720">
        <f>SUMIFS(Input[T. Exp. - Inst. (R AFR) E&amp;G],Input[Institution Name],H75)
+SUMIFS(Input[T. Exp. - Inst. (R AFR) Desg],Input[Institution Name],H75)</f>
        <v>0</v>
      </c>
      <c r="AD75" s="720"/>
      <c r="AE75" s="721"/>
      <c r="AF75" s="719">
        <f>SUMIFS(Input[T. Schlr E&amp;G],Input[Institution Name],H75)
+SUMIFS(Input[T. Schlr Desg],Input[Institution Name],H75)
+SUMIFS(Input[T. Schlr Aux],Input[Institution Name],H75)</f>
        <v>-62370043</v>
      </c>
      <c r="AG75" s="720"/>
      <c r="AH75" s="721"/>
      <c r="AI75" s="719">
        <f t="shared" si="11"/>
        <v>338436218</v>
      </c>
      <c r="AJ75" s="720"/>
      <c r="AK75" s="721"/>
      <c r="AL75" s="143"/>
      <c r="AM75" s="715">
        <f>SUMIFS(Input[Fees - Gross E&amp;G],Input[Institution Name],H75)
+SUMIFS(Input[Fees - Gross Desg],Input[Institution Name],H75)
+SUMIFS(Input[Fees - Gross Aux],Input[Institution Name],H75)
+SUMIFS(Input[Fees - Gross R Exp],Input[Institution Name],H75)
+SUMIFS(Input[Fees - Gross Loan],Input[Institution Name],H75)</f>
        <v>176744022</v>
      </c>
      <c r="AN75" s="716"/>
      <c r="AO75" s="717"/>
      <c r="AP75" s="733">
        <f>SUMIFS(Input[F. W. - Stat (R AFR) E&amp;G],Input[Institution Name],H75)
+SUMIFS(Input[F. W. - Stat (R AFR) Desg],Input[Institution Name],H75)
+SUMIFS(Input[F. W. - Stat (R AFR) Aux],Input[Institution Name],H75)</f>
        <v>0</v>
      </c>
      <c r="AQ75" s="731"/>
      <c r="AR75" s="731"/>
      <c r="AS75" s="731">
        <f>SUMIFS(Input[F. W. - Inst. (R AFR) E&amp;G],Input[Institution Name],H74)
+SUMIFS(Input[F. W. - Inst. (R AFR) Desg],Input[Institution Name],H74)
+SUMIFS(Input[F. W. - Inst. (R AFR) Aux],Input[Institution Name],H74)</f>
        <v>0</v>
      </c>
      <c r="AT75" s="731"/>
      <c r="AU75" s="732"/>
      <c r="AV75" s="733">
        <f>SUMIFS(Input[F. Exp. - Stat (R AFR) E&amp;G],Input[Institution Name],H75)
+SUMIFS(Input[F. Exp. - Stat (R AFR) Desg],Input[Institution Name],H75)
+SUMIFS(Input[F. Exp. - Stat (R AFR) Aux],Input[Institution Name],H75)</f>
        <v>0</v>
      </c>
      <c r="AW75" s="731"/>
      <c r="AX75" s="731"/>
      <c r="AY75" s="731">
        <f>SUMIFS(Input[F. Exp. - Inst. (R AFR) E&amp;G],Input[Institution Name],H75)
+SUMIFS(Input[F. Exp. - Inst. (R AFR) Desg],Input[Institution Name],H75)
+SUMIFS(Input[F. Exp. - Inst. (R AFR) Aux],Input[Institution Name],H75)</f>
        <v>0</v>
      </c>
      <c r="AZ75" s="731"/>
      <c r="BA75" s="732"/>
      <c r="BB75" s="733">
        <f>SUMIFS(Input[Fee Schlr E&amp;G],Input[Institution Name],H75)
+SUMIFS(Input[Fee Schlr Desg],Input[Institution Name],H75)
+SUMIFS(Input[Fee Schlr Aux],Input[Institution Name],H75)</f>
        <v>-103447170</v>
      </c>
      <c r="BC75" s="731"/>
      <c r="BD75" s="732"/>
      <c r="BE75" s="715">
        <f t="shared" si="9"/>
        <v>73296852</v>
      </c>
      <c r="BF75" s="716"/>
      <c r="BG75" s="717"/>
      <c r="BH75" s="143"/>
      <c r="BI75" s="715">
        <f t="shared" si="10"/>
        <v>411733070</v>
      </c>
      <c r="BJ75" s="716"/>
      <c r="BK75" s="717"/>
      <c r="BL75" s="5"/>
      <c r="BM75" s="5"/>
      <c r="BN75" s="5"/>
    </row>
    <row r="76" spans="1:66" customFormat="1" ht="30" customHeight="1" x14ac:dyDescent="0.3">
      <c r="A76" s="5"/>
      <c r="B76" s="5"/>
      <c r="C76" s="5"/>
      <c r="D76" s="5"/>
      <c r="E76" s="5"/>
      <c r="F76" s="5"/>
      <c r="G76" s="5"/>
      <c r="H76" s="616" t="s">
        <v>25</v>
      </c>
      <c r="I76" s="617"/>
      <c r="J76" s="617"/>
      <c r="K76" s="617"/>
      <c r="L76" s="617"/>
      <c r="M76" s="617"/>
      <c r="N76" s="617"/>
      <c r="O76" s="617"/>
      <c r="P76" s="618"/>
      <c r="Q76" s="725">
        <f>SUMIFS(Input[T. - Gross E&amp;G],Input[Institution Name],H76)
+SUMIFS(Input[T. - Gross Desg],Input[Institution Name],H76)</f>
        <v>30245468</v>
      </c>
      <c r="R76" s="726"/>
      <c r="S76" s="727"/>
      <c r="T76" s="728">
        <f>SUMIFS(Input[T. W. - Stat (R AFR) E&amp;G],Input[Institution Name],H76)
+SUMIFS(Input[T. W. - Stat (R AFR) Desg],Input[Institution Name],H76)</f>
        <v>0</v>
      </c>
      <c r="U76" s="729"/>
      <c r="V76" s="729"/>
      <c r="W76" s="729">
        <f>SUMIFS(Input[T. W. - Inst. (R AFR) E&amp;G],Input[Institution Name],H76)
+SUMIFS(Input[T. W. - Inst. (R AFR) Desg],Input[Institution Name],H76)</f>
        <v>0</v>
      </c>
      <c r="X76" s="729"/>
      <c r="Y76" s="730"/>
      <c r="Z76" s="728">
        <f>SUMIFS(Input[T. Exp. - Stat (R AFR) E&amp;G],Input[Institution Name],H76)
+SUMIFS(Input[T. Exp. - Stat (R AFR) Desg],Input[Institution Name],H76)</f>
        <v>0</v>
      </c>
      <c r="AA76" s="729"/>
      <c r="AB76" s="729"/>
      <c r="AC76" s="729">
        <f>SUMIFS(Input[T. Exp. - Inst. (R AFR) E&amp;G],Input[Institution Name],H76)
+SUMIFS(Input[T. Exp. - Inst. (R AFR) Desg],Input[Institution Name],H76)</f>
        <v>0</v>
      </c>
      <c r="AD76" s="729"/>
      <c r="AE76" s="730"/>
      <c r="AF76" s="728">
        <f>SUMIFS(Input[T. Schlr E&amp;G],Input[Institution Name],H76)
+SUMIFS(Input[T. Schlr Desg],Input[Institution Name],H76)
+SUMIFS(Input[T. Schlr Aux],Input[Institution Name],H76)</f>
        <v>-13893655</v>
      </c>
      <c r="AG76" s="729"/>
      <c r="AH76" s="730"/>
      <c r="AI76" s="728">
        <f t="shared" si="11"/>
        <v>16351813</v>
      </c>
      <c r="AJ76" s="729"/>
      <c r="AK76" s="730"/>
      <c r="AL76" s="143"/>
      <c r="AM76" s="725">
        <f>SUMIFS(Input[Fees - Gross E&amp;G],Input[Institution Name],H76)
+SUMIFS(Input[Fees - Gross Desg],Input[Institution Name],H76)
+SUMIFS(Input[Fees - Gross Aux],Input[Institution Name],H76)
+SUMIFS(Input[Fees - Gross R Exp],Input[Institution Name],H76)
+SUMIFS(Input[Fees - Gross Loan],Input[Institution Name],H76)</f>
        <v>6531553</v>
      </c>
      <c r="AN76" s="726"/>
      <c r="AO76" s="727"/>
      <c r="AP76" s="724">
        <f>SUMIFS(Input[F. W. - Stat (R AFR) E&amp;G],Input[Institution Name],H76)
+SUMIFS(Input[F. W. - Stat (R AFR) Desg],Input[Institution Name],H76)
+SUMIFS(Input[F. W. - Stat (R AFR) Aux],Input[Institution Name],H76)</f>
        <v>0</v>
      </c>
      <c r="AQ76" s="722"/>
      <c r="AR76" s="722"/>
      <c r="AS76" s="722">
        <f>SUMIFS(Input[F. W. - Inst. (R AFR) E&amp;G],Input[Institution Name],H75)
+SUMIFS(Input[F. W. - Inst. (R AFR) Desg],Input[Institution Name],H75)
+SUMIFS(Input[F. W. - Inst. (R AFR) Aux],Input[Institution Name],H75)</f>
        <v>0</v>
      </c>
      <c r="AT76" s="722"/>
      <c r="AU76" s="723"/>
      <c r="AV76" s="724">
        <f>SUMIFS(Input[F. Exp. - Stat (R AFR) E&amp;G],Input[Institution Name],H76)
+SUMIFS(Input[F. Exp. - Stat (R AFR) Desg],Input[Institution Name],H76)
+SUMIFS(Input[F. Exp. - Stat (R AFR) Aux],Input[Institution Name],H76)</f>
        <v>0</v>
      </c>
      <c r="AW76" s="722"/>
      <c r="AX76" s="722"/>
      <c r="AY76" s="722">
        <f>SUMIFS(Input[F. Exp. - Inst. (R AFR) E&amp;G],Input[Institution Name],H76)
+SUMIFS(Input[F. Exp. - Inst. (R AFR) Desg],Input[Institution Name],H76)
+SUMIFS(Input[F. Exp. - Inst. (R AFR) Aux],Input[Institution Name],H76)</f>
        <v>0</v>
      </c>
      <c r="AZ76" s="722"/>
      <c r="BA76" s="723"/>
      <c r="BB76" s="724">
        <f>SUMIFS(Input[Fee Schlr E&amp;G],Input[Institution Name],H76)
+SUMIFS(Input[Fee Schlr Desg],Input[Institution Name],H76)
+SUMIFS(Input[Fee Schlr Aux],Input[Institution Name],H76)</f>
        <v>0</v>
      </c>
      <c r="BC76" s="722"/>
      <c r="BD76" s="723"/>
      <c r="BE76" s="725">
        <f t="shared" si="9"/>
        <v>6531553</v>
      </c>
      <c r="BF76" s="726"/>
      <c r="BG76" s="727"/>
      <c r="BH76" s="143"/>
      <c r="BI76" s="725">
        <f t="shared" si="10"/>
        <v>22883366</v>
      </c>
      <c r="BJ76" s="726"/>
      <c r="BK76" s="727"/>
      <c r="BL76" s="5"/>
      <c r="BM76" s="5"/>
      <c r="BN76" s="5"/>
    </row>
    <row r="77" spans="1:66" customFormat="1" ht="30" customHeight="1" x14ac:dyDescent="0.3">
      <c r="A77" s="5"/>
      <c r="B77" s="5"/>
      <c r="C77" s="5"/>
      <c r="D77" s="5"/>
      <c r="E77" s="5"/>
      <c r="F77" s="5"/>
      <c r="G77" s="5"/>
      <c r="H77" s="579" t="s">
        <v>63</v>
      </c>
      <c r="I77" s="580"/>
      <c r="J77" s="580"/>
      <c r="K77" s="580"/>
      <c r="L77" s="580"/>
      <c r="M77" s="580"/>
      <c r="N77" s="580"/>
      <c r="O77" s="580"/>
      <c r="P77" s="619"/>
      <c r="Q77" s="715">
        <f>SUMIFS(Input[T. - Gross E&amp;G],Input[Institution Name],H77)
+SUMIFS(Input[T. - Gross Desg],Input[Institution Name],H77)</f>
        <v>97012703</v>
      </c>
      <c r="R77" s="716"/>
      <c r="S77" s="717"/>
      <c r="T77" s="719">
        <f>SUMIFS(Input[T. W. - Stat (R AFR) E&amp;G],Input[Institution Name],H77)
+SUMIFS(Input[T. W. - Stat (R AFR) Desg],Input[Institution Name],H77)</f>
        <v>-5927481</v>
      </c>
      <c r="U77" s="720"/>
      <c r="V77" s="720"/>
      <c r="W77" s="720">
        <f>SUMIFS(Input[T. W. - Inst. (R AFR) E&amp;G],Input[Institution Name],H77)
+SUMIFS(Input[T. W. - Inst. (R AFR) Desg],Input[Institution Name],H77)</f>
        <v>-4718773</v>
      </c>
      <c r="X77" s="720"/>
      <c r="Y77" s="721"/>
      <c r="Z77" s="719">
        <f>SUMIFS(Input[T. Exp. - Stat (R AFR) E&amp;G],Input[Institution Name],H77)
+SUMIFS(Input[T. Exp. - Stat (R AFR) Desg],Input[Institution Name],H77)</f>
        <v>0</v>
      </c>
      <c r="AA77" s="720"/>
      <c r="AB77" s="720"/>
      <c r="AC77" s="720">
        <f>SUMIFS(Input[T. Exp. - Inst. (R AFR) E&amp;G],Input[Institution Name],H77)
+SUMIFS(Input[T. Exp. - Inst. (R AFR) Desg],Input[Institution Name],H77)</f>
        <v>0</v>
      </c>
      <c r="AD77" s="720"/>
      <c r="AE77" s="721"/>
      <c r="AF77" s="719">
        <f>SUMIFS(Input[T. Schlr E&amp;G],Input[Institution Name],H77)
+SUMIFS(Input[T. Schlr Desg],Input[Institution Name],H77)
+SUMIFS(Input[T. Schlr Aux],Input[Institution Name],H77)</f>
        <v>0</v>
      </c>
      <c r="AG77" s="720"/>
      <c r="AH77" s="721"/>
      <c r="AI77" s="719">
        <f t="shared" si="11"/>
        <v>86366449</v>
      </c>
      <c r="AJ77" s="720"/>
      <c r="AK77" s="721"/>
      <c r="AL77" s="143"/>
      <c r="AM77" s="715">
        <f>SUMIFS(Input[Fees - Gross E&amp;G],Input[Institution Name],H77)
+SUMIFS(Input[Fees - Gross Desg],Input[Institution Name],H77)
+SUMIFS(Input[Fees - Gross Aux],Input[Institution Name],H77)
+SUMIFS(Input[Fees - Gross R Exp],Input[Institution Name],H77)
+SUMIFS(Input[Fees - Gross Loan],Input[Institution Name],H77)</f>
        <v>-27654658</v>
      </c>
      <c r="AN77" s="716"/>
      <c r="AO77" s="717"/>
      <c r="AP77" s="733">
        <f>SUMIFS(Input[F. W. - Stat (R AFR) E&amp;G],Input[Institution Name],H77)
+SUMIFS(Input[F. W. - Stat (R AFR) Desg],Input[Institution Name],H77)
+SUMIFS(Input[F. W. - Stat (R AFR) Aux],Input[Institution Name],H77)</f>
        <v>0</v>
      </c>
      <c r="AQ77" s="731"/>
      <c r="AR77" s="731"/>
      <c r="AS77" s="731">
        <f>SUMIFS(Input[F. W. - Inst. (R AFR) E&amp;G],Input[Institution Name],H76)
+SUMIFS(Input[F. W. - Inst. (R AFR) Desg],Input[Institution Name],H76)
+SUMIFS(Input[F. W. - Inst. (R AFR) Aux],Input[Institution Name],H76)</f>
        <v>0</v>
      </c>
      <c r="AT77" s="731"/>
      <c r="AU77" s="732"/>
      <c r="AV77" s="733">
        <f>SUMIFS(Input[F. Exp. - Stat (R AFR) E&amp;G],Input[Institution Name],H77)
+SUMIFS(Input[F. Exp. - Stat (R AFR) Desg],Input[Institution Name],H77)
+SUMIFS(Input[F. Exp. - Stat (R AFR) Aux],Input[Institution Name],H77)</f>
        <v>0</v>
      </c>
      <c r="AW77" s="731"/>
      <c r="AX77" s="731"/>
      <c r="AY77" s="731">
        <f>SUMIFS(Input[F. Exp. - Inst. (R AFR) E&amp;G],Input[Institution Name],H77)
+SUMIFS(Input[F. Exp. - Inst. (R AFR) Desg],Input[Institution Name],H77)
+SUMIFS(Input[F. Exp. - Inst. (R AFR) Aux],Input[Institution Name],H77)</f>
        <v>0</v>
      </c>
      <c r="AZ77" s="731"/>
      <c r="BA77" s="732"/>
      <c r="BB77" s="733">
        <f>SUMIFS(Input[Fee Schlr E&amp;G],Input[Institution Name],H77)
+SUMIFS(Input[Fee Schlr Desg],Input[Institution Name],H77)
+SUMIFS(Input[Fee Schlr Aux],Input[Institution Name],H77)</f>
        <v>0</v>
      </c>
      <c r="BC77" s="731"/>
      <c r="BD77" s="732"/>
      <c r="BE77" s="715">
        <f t="shared" si="9"/>
        <v>-27654658</v>
      </c>
      <c r="BF77" s="716"/>
      <c r="BG77" s="717"/>
      <c r="BH77" s="143"/>
      <c r="BI77" s="715">
        <f t="shared" si="10"/>
        <v>58711791</v>
      </c>
      <c r="BJ77" s="716"/>
      <c r="BK77" s="717"/>
      <c r="BL77" s="5"/>
      <c r="BM77" s="5"/>
      <c r="BN77" s="5"/>
    </row>
    <row r="78" spans="1:66" customFormat="1" ht="30" customHeight="1" x14ac:dyDescent="0.3">
      <c r="A78" s="5"/>
      <c r="B78" s="5"/>
      <c r="C78" s="5"/>
      <c r="D78" s="5"/>
      <c r="E78" s="5"/>
      <c r="F78" s="5"/>
      <c r="G78" s="5"/>
      <c r="H78" s="616" t="s">
        <v>23</v>
      </c>
      <c r="I78" s="617"/>
      <c r="J78" s="617"/>
      <c r="K78" s="617"/>
      <c r="L78" s="617"/>
      <c r="M78" s="617"/>
      <c r="N78" s="617"/>
      <c r="O78" s="617"/>
      <c r="P78" s="618"/>
      <c r="Q78" s="725">
        <f>SUMIFS(Input[T. - Gross E&amp;G],Input[Institution Name],H78)
+SUMIFS(Input[T. - Gross Desg],Input[Institution Name],H78)</f>
        <v>345264533</v>
      </c>
      <c r="R78" s="726"/>
      <c r="S78" s="727"/>
      <c r="T78" s="728">
        <f>SUMIFS(Input[T. W. - Stat (R AFR) E&amp;G],Input[Institution Name],H78)
+SUMIFS(Input[T. W. - Stat (R AFR) Desg],Input[Institution Name],H78)</f>
        <v>0</v>
      </c>
      <c r="U78" s="729"/>
      <c r="V78" s="729"/>
      <c r="W78" s="729">
        <f>SUMIFS(Input[T. W. - Inst. (R AFR) E&amp;G],Input[Institution Name],H78)
+SUMIFS(Input[T. W. - Inst. (R AFR) Desg],Input[Institution Name],H78)</f>
        <v>0</v>
      </c>
      <c r="X78" s="729"/>
      <c r="Y78" s="730"/>
      <c r="Z78" s="728">
        <f>SUMIFS(Input[T. Exp. - Stat (R AFR) E&amp;G],Input[Institution Name],H78)
+SUMIFS(Input[T. Exp. - Stat (R AFR) Desg],Input[Institution Name],H78)</f>
        <v>0</v>
      </c>
      <c r="AA78" s="729"/>
      <c r="AB78" s="729"/>
      <c r="AC78" s="729">
        <f>SUMIFS(Input[T. Exp. - Inst. (R AFR) E&amp;G],Input[Institution Name],H78)
+SUMIFS(Input[T. Exp. - Inst. (R AFR) Desg],Input[Institution Name],H78)</f>
        <v>0</v>
      </c>
      <c r="AD78" s="729"/>
      <c r="AE78" s="730"/>
      <c r="AF78" s="728">
        <f>SUMIFS(Input[T. Schlr E&amp;G],Input[Institution Name],H78)
+SUMIFS(Input[T. Schlr Desg],Input[Institution Name],H78)
+SUMIFS(Input[T. Schlr Aux],Input[Institution Name],H78)</f>
        <v>-116314937</v>
      </c>
      <c r="AG78" s="729"/>
      <c r="AH78" s="730"/>
      <c r="AI78" s="728">
        <f t="shared" si="11"/>
        <v>228949596</v>
      </c>
      <c r="AJ78" s="729"/>
      <c r="AK78" s="730"/>
      <c r="AL78" s="143"/>
      <c r="AM78" s="725">
        <f>SUMIFS(Input[Fees - Gross E&amp;G],Input[Institution Name],H78)
+SUMIFS(Input[Fees - Gross Desg],Input[Institution Name],H78)
+SUMIFS(Input[Fees - Gross Aux],Input[Institution Name],H78)
+SUMIFS(Input[Fees - Gross R Exp],Input[Institution Name],H78)
+SUMIFS(Input[Fees - Gross Loan],Input[Institution Name],H78)</f>
        <v>164145694</v>
      </c>
      <c r="AN78" s="726"/>
      <c r="AO78" s="727"/>
      <c r="AP78" s="724">
        <f>SUMIFS(Input[F. W. - Stat (R AFR) E&amp;G],Input[Institution Name],H78)
+SUMIFS(Input[F. W. - Stat (R AFR) Desg],Input[Institution Name],H78)
+SUMIFS(Input[F. W. - Stat (R AFR) Aux],Input[Institution Name],H78)</f>
        <v>0</v>
      </c>
      <c r="AQ78" s="722"/>
      <c r="AR78" s="722"/>
      <c r="AS78" s="722">
        <f>SUMIFS(Input[F. W. - Inst. (R AFR) E&amp;G],Input[Institution Name],H77)
+SUMIFS(Input[F. W. - Inst. (R AFR) Desg],Input[Institution Name],H77)
+SUMIFS(Input[F. W. - Inst. (R AFR) Aux],Input[Institution Name],H77)</f>
        <v>0</v>
      </c>
      <c r="AT78" s="722"/>
      <c r="AU78" s="723"/>
      <c r="AV78" s="724">
        <f>SUMIFS(Input[F. Exp. - Stat (R AFR) E&amp;G],Input[Institution Name],H78)
+SUMIFS(Input[F. Exp. - Stat (R AFR) Desg],Input[Institution Name],H78)
+SUMIFS(Input[F. Exp. - Stat (R AFR) Aux],Input[Institution Name],H78)</f>
        <v>0</v>
      </c>
      <c r="AW78" s="722"/>
      <c r="AX78" s="722"/>
      <c r="AY78" s="722">
        <f>SUMIFS(Input[F. Exp. - Inst. (R AFR) E&amp;G],Input[Institution Name],H78)
+SUMIFS(Input[F. Exp. - Inst. (R AFR) Desg],Input[Institution Name],H78)
+SUMIFS(Input[F. Exp. - Inst. (R AFR) Aux],Input[Institution Name],H78)</f>
        <v>0</v>
      </c>
      <c r="AZ78" s="722"/>
      <c r="BA78" s="723"/>
      <c r="BB78" s="724">
        <f>SUMIFS(Input[Fee Schlr E&amp;G],Input[Institution Name],H78)
+SUMIFS(Input[Fee Schlr Desg],Input[Institution Name],H78)
+SUMIFS(Input[Fee Schlr Aux],Input[Institution Name],H78)</f>
        <v>-55310845</v>
      </c>
      <c r="BC78" s="722"/>
      <c r="BD78" s="723"/>
      <c r="BE78" s="725">
        <f t="shared" si="9"/>
        <v>108834849</v>
      </c>
      <c r="BF78" s="726"/>
      <c r="BG78" s="727"/>
      <c r="BH78" s="143"/>
      <c r="BI78" s="725">
        <f t="shared" si="10"/>
        <v>337784445</v>
      </c>
      <c r="BJ78" s="726"/>
      <c r="BK78" s="727"/>
      <c r="BL78" s="5"/>
      <c r="BM78" s="5"/>
      <c r="BN78" s="5"/>
    </row>
    <row r="79" spans="1:66" customFormat="1" ht="30" customHeight="1" x14ac:dyDescent="0.3">
      <c r="A79" s="5"/>
      <c r="B79" s="5"/>
      <c r="C79" s="5"/>
      <c r="D79" s="5"/>
      <c r="E79" s="5"/>
      <c r="F79" s="5"/>
      <c r="G79" s="5"/>
      <c r="H79" s="579" t="s">
        <v>24</v>
      </c>
      <c r="I79" s="580"/>
      <c r="J79" s="580"/>
      <c r="K79" s="580"/>
      <c r="L79" s="580"/>
      <c r="M79" s="580"/>
      <c r="N79" s="580"/>
      <c r="O79" s="580"/>
      <c r="P79" s="619"/>
      <c r="Q79" s="715">
        <f>SUMIFS(Input[T. - Gross E&amp;G],Input[Institution Name],H79)
+SUMIFS(Input[T. - Gross Desg],Input[Institution Name],H79)</f>
        <v>49452280</v>
      </c>
      <c r="R79" s="716"/>
      <c r="S79" s="717"/>
      <c r="T79" s="719">
        <f>SUMIFS(Input[T. W. - Stat (R AFR) E&amp;G],Input[Institution Name],H79)
+SUMIFS(Input[T. W. - Stat (R AFR) Desg],Input[Institution Name],H79)</f>
        <v>0</v>
      </c>
      <c r="U79" s="720"/>
      <c r="V79" s="720"/>
      <c r="W79" s="720">
        <f>SUMIFS(Input[T. W. - Inst. (R AFR) E&amp;G],Input[Institution Name],H79)
+SUMIFS(Input[T. W. - Inst. (R AFR) Desg],Input[Institution Name],H79)</f>
        <v>0</v>
      </c>
      <c r="X79" s="720"/>
      <c r="Y79" s="721"/>
      <c r="Z79" s="719">
        <f>SUMIFS(Input[T. Exp. - Stat (R AFR) E&amp;G],Input[Institution Name],H79)
+SUMIFS(Input[T. Exp. - Stat (R AFR) Desg],Input[Institution Name],H79)</f>
        <v>-8707304</v>
      </c>
      <c r="AA79" s="720"/>
      <c r="AB79" s="720"/>
      <c r="AC79" s="720">
        <f>SUMIFS(Input[T. Exp. - Inst. (R AFR) E&amp;G],Input[Institution Name],H79)
+SUMIFS(Input[T. Exp. - Inst. (R AFR) Desg],Input[Institution Name],H79)</f>
        <v>-300699</v>
      </c>
      <c r="AD79" s="720"/>
      <c r="AE79" s="721"/>
      <c r="AF79" s="719">
        <f>SUMIFS(Input[T. Schlr E&amp;G],Input[Institution Name],H79)
+SUMIFS(Input[T. Schlr Desg],Input[Institution Name],H79)
+SUMIFS(Input[T. Schlr Aux],Input[Institution Name],H79)</f>
        <v>-23821682</v>
      </c>
      <c r="AG79" s="720"/>
      <c r="AH79" s="721"/>
      <c r="AI79" s="719">
        <f t="shared" si="11"/>
        <v>16622595</v>
      </c>
      <c r="AJ79" s="720"/>
      <c r="AK79" s="721"/>
      <c r="AL79" s="143"/>
      <c r="AM79" s="715">
        <f>SUMIFS(Input[Fees - Gross E&amp;G],Input[Institution Name],H79)
+SUMIFS(Input[Fees - Gross Desg],Input[Institution Name],H79)
+SUMIFS(Input[Fees - Gross Aux],Input[Institution Name],H79)
+SUMIFS(Input[Fees - Gross R Exp],Input[Institution Name],H79)
+SUMIFS(Input[Fees - Gross Loan],Input[Institution Name],H79)</f>
        <v>44317148</v>
      </c>
      <c r="AN79" s="716"/>
      <c r="AO79" s="717"/>
      <c r="AP79" s="733">
        <f>SUMIFS(Input[F. W. - Stat (R AFR) E&amp;G],Input[Institution Name],H79)
+SUMIFS(Input[F. W. - Stat (R AFR) Desg],Input[Institution Name],H79)
+SUMIFS(Input[F. W. - Stat (R AFR) Aux],Input[Institution Name],H79)</f>
        <v>0</v>
      </c>
      <c r="AQ79" s="731"/>
      <c r="AR79" s="731"/>
      <c r="AS79" s="731">
        <f>SUMIFS(Input[F. W. - Inst. (R AFR) E&amp;G],Input[Institution Name],H78)
+SUMIFS(Input[F. W. - Inst. (R AFR) Desg],Input[Institution Name],H78)
+SUMIFS(Input[F. W. - Inst. (R AFR) Aux],Input[Institution Name],H78)</f>
        <v>0</v>
      </c>
      <c r="AT79" s="731"/>
      <c r="AU79" s="732"/>
      <c r="AV79" s="733">
        <f>SUMIFS(Input[F. Exp. - Stat (R AFR) E&amp;G],Input[Institution Name],H79)
+SUMIFS(Input[F. Exp. - Stat (R AFR) Desg],Input[Institution Name],H79)
+SUMIFS(Input[F. Exp. - Stat (R AFR) Aux],Input[Institution Name],H79)</f>
        <v>-8534189</v>
      </c>
      <c r="AW79" s="731"/>
      <c r="AX79" s="731"/>
      <c r="AY79" s="731">
        <f>SUMIFS(Input[F. Exp. - Inst. (R AFR) E&amp;G],Input[Institution Name],H79)
+SUMIFS(Input[F. Exp. - Inst. (R AFR) Desg],Input[Institution Name],H79)
+SUMIFS(Input[F. Exp. - Inst. (R AFR) Aux],Input[Institution Name],H79)</f>
        <v>-74729</v>
      </c>
      <c r="AZ79" s="731"/>
      <c r="BA79" s="732"/>
      <c r="BB79" s="733">
        <f>SUMIFS(Input[Fee Schlr E&amp;G],Input[Institution Name],H79)
+SUMIFS(Input[Fee Schlr Desg],Input[Institution Name],H79)
+SUMIFS(Input[Fee Schlr Aux],Input[Institution Name],H79)</f>
        <v>-14736082</v>
      </c>
      <c r="BC79" s="731"/>
      <c r="BD79" s="732"/>
      <c r="BE79" s="715">
        <f t="shared" si="9"/>
        <v>20972148</v>
      </c>
      <c r="BF79" s="716"/>
      <c r="BG79" s="717"/>
      <c r="BH79" s="143"/>
      <c r="BI79" s="715">
        <f t="shared" si="10"/>
        <v>37594743</v>
      </c>
      <c r="BJ79" s="716"/>
      <c r="BK79" s="717"/>
      <c r="BL79" s="5"/>
      <c r="BM79" s="5"/>
      <c r="BN79" s="5"/>
    </row>
    <row r="80" spans="1:66" customFormat="1" ht="30" customHeight="1" x14ac:dyDescent="0.3">
      <c r="A80" s="5"/>
      <c r="B80" s="5"/>
      <c r="C80" s="5"/>
      <c r="D80" s="5"/>
      <c r="E80" s="5"/>
      <c r="F80" s="5"/>
      <c r="G80" s="5"/>
      <c r="H80" s="616" t="s">
        <v>26</v>
      </c>
      <c r="I80" s="617"/>
      <c r="J80" s="617"/>
      <c r="K80" s="617"/>
      <c r="L80" s="617"/>
      <c r="M80" s="617"/>
      <c r="N80" s="617"/>
      <c r="O80" s="617"/>
      <c r="P80" s="618"/>
      <c r="Q80" s="725">
        <f>SUMIFS(Input[T. - Gross E&amp;G],Input[Institution Name],H80)
+SUMIFS(Input[T. - Gross Desg],Input[Institution Name],H80)</f>
        <v>26228989</v>
      </c>
      <c r="R80" s="726"/>
      <c r="S80" s="727"/>
      <c r="T80" s="728">
        <f>SUMIFS(Input[T. W. - Stat (R AFR) E&amp;G],Input[Institution Name],H80)
+SUMIFS(Input[T. W. - Stat (R AFR) Desg],Input[Institution Name],H80)</f>
        <v>0</v>
      </c>
      <c r="U80" s="729"/>
      <c r="V80" s="729"/>
      <c r="W80" s="729">
        <f>SUMIFS(Input[T. W. - Inst. (R AFR) E&amp;G],Input[Institution Name],H80)
+SUMIFS(Input[T. W. - Inst. (R AFR) Desg],Input[Institution Name],H80)</f>
        <v>0</v>
      </c>
      <c r="X80" s="729"/>
      <c r="Y80" s="730"/>
      <c r="Z80" s="728">
        <f>SUMIFS(Input[T. Exp. - Stat (R AFR) E&amp;G],Input[Institution Name],H80)
+SUMIFS(Input[T. Exp. - Stat (R AFR) Desg],Input[Institution Name],H80)</f>
        <v>-1737401</v>
      </c>
      <c r="AA80" s="729"/>
      <c r="AB80" s="729"/>
      <c r="AC80" s="729">
        <f>SUMIFS(Input[T. Exp. - Inst. (R AFR) E&amp;G],Input[Institution Name],H80)
+SUMIFS(Input[T. Exp. - Inst. (R AFR) Desg],Input[Institution Name],H80)</f>
        <v>-30451</v>
      </c>
      <c r="AD80" s="729"/>
      <c r="AE80" s="730"/>
      <c r="AF80" s="728">
        <f>SUMIFS(Input[T. Schlr E&amp;G],Input[Institution Name],H80)
+SUMIFS(Input[T. Schlr Desg],Input[Institution Name],H80)
+SUMIFS(Input[T. Schlr Aux],Input[Institution Name],H80)</f>
        <v>-9901289</v>
      </c>
      <c r="AG80" s="729"/>
      <c r="AH80" s="730"/>
      <c r="AI80" s="728">
        <f t="shared" si="11"/>
        <v>14559848</v>
      </c>
      <c r="AJ80" s="729"/>
      <c r="AK80" s="730"/>
      <c r="AL80" s="143"/>
      <c r="AM80" s="725">
        <f>SUMIFS(Input[Fees - Gross E&amp;G],Input[Institution Name],H80)
+SUMIFS(Input[Fees - Gross Desg],Input[Institution Name],H80)
+SUMIFS(Input[Fees - Gross Aux],Input[Institution Name],H80)
+SUMIFS(Input[Fees - Gross R Exp],Input[Institution Name],H80)
+SUMIFS(Input[Fees - Gross Loan],Input[Institution Name],H80)</f>
        <v>24532087</v>
      </c>
      <c r="AN80" s="726"/>
      <c r="AO80" s="727"/>
      <c r="AP80" s="724">
        <f>SUMIFS(Input[F. W. - Stat (R AFR) E&amp;G],Input[Institution Name],H80)
+SUMIFS(Input[F. W. - Stat (R AFR) Desg],Input[Institution Name],H80)
+SUMIFS(Input[F. W. - Stat (R AFR) Aux],Input[Institution Name],H80)</f>
        <v>0</v>
      </c>
      <c r="AQ80" s="722"/>
      <c r="AR80" s="722"/>
      <c r="AS80" s="722">
        <f>SUMIFS(Input[F. W. - Inst. (R AFR) E&amp;G],Input[Institution Name],H79)
+SUMIFS(Input[F. W. - Inst. (R AFR) Desg],Input[Institution Name],H79)
+SUMIFS(Input[F. W. - Inst. (R AFR) Aux],Input[Institution Name],H79)</f>
        <v>0</v>
      </c>
      <c r="AT80" s="722"/>
      <c r="AU80" s="723"/>
      <c r="AV80" s="724">
        <f>SUMIFS(Input[F. Exp. - Stat (R AFR) E&amp;G],Input[Institution Name],H80)
+SUMIFS(Input[F. Exp. - Stat (R AFR) Desg],Input[Institution Name],H80)
+SUMIFS(Input[F. Exp. - Stat (R AFR) Aux],Input[Institution Name],H80)</f>
        <v>-1536196</v>
      </c>
      <c r="AW80" s="722"/>
      <c r="AX80" s="722"/>
      <c r="AY80" s="722">
        <f>SUMIFS(Input[F. Exp. - Inst. (R AFR) E&amp;G],Input[Institution Name],H80)
+SUMIFS(Input[F. Exp. - Inst. (R AFR) Desg],Input[Institution Name],H80)
+SUMIFS(Input[F. Exp. - Inst. (R AFR) Aux],Input[Institution Name],H80)</f>
        <v>-975446</v>
      </c>
      <c r="AZ80" s="722"/>
      <c r="BA80" s="723"/>
      <c r="BB80" s="724">
        <f>SUMIFS(Input[Fee Schlr E&amp;G],Input[Institution Name],H80)
+SUMIFS(Input[Fee Schlr Desg],Input[Institution Name],H80)
+SUMIFS(Input[Fee Schlr Aux],Input[Institution Name],H80)</f>
        <v>-7611616</v>
      </c>
      <c r="BC80" s="722"/>
      <c r="BD80" s="723"/>
      <c r="BE80" s="725">
        <f t="shared" si="9"/>
        <v>14408829</v>
      </c>
      <c r="BF80" s="726"/>
      <c r="BG80" s="727"/>
      <c r="BH80" s="143"/>
      <c r="BI80" s="725">
        <f t="shared" si="10"/>
        <v>28968677</v>
      </c>
      <c r="BJ80" s="726"/>
      <c r="BK80" s="727"/>
      <c r="BL80" s="5"/>
      <c r="BM80" s="5"/>
      <c r="BN80" s="5"/>
    </row>
    <row r="81" spans="1:66" customFormat="1" ht="30" customHeight="1" x14ac:dyDescent="0.3">
      <c r="A81" s="5"/>
      <c r="B81" s="5"/>
      <c r="C81" s="5"/>
      <c r="D81" s="5"/>
      <c r="E81" s="5"/>
      <c r="F81" s="5"/>
      <c r="G81" s="5"/>
      <c r="H81" s="579" t="s">
        <v>64</v>
      </c>
      <c r="I81" s="580"/>
      <c r="J81" s="580"/>
      <c r="K81" s="580"/>
      <c r="L81" s="580"/>
      <c r="M81" s="580"/>
      <c r="N81" s="580"/>
      <c r="O81" s="580"/>
      <c r="P81" s="619"/>
      <c r="Q81" s="715">
        <f>SUMIFS(Input[T. - Gross E&amp;G],Input[Institution Name],H81)
+SUMIFS(Input[T. - Gross Desg],Input[Institution Name],H81)</f>
        <v>128915648</v>
      </c>
      <c r="R81" s="716"/>
      <c r="S81" s="717"/>
      <c r="T81" s="719">
        <f>SUMIFS(Input[T. W. - Stat (R AFR) E&amp;G],Input[Institution Name],H81)
+SUMIFS(Input[T. W. - Stat (R AFR) Desg],Input[Institution Name],H81)</f>
        <v>-4162310</v>
      </c>
      <c r="U81" s="720"/>
      <c r="V81" s="720"/>
      <c r="W81" s="720">
        <f>SUMIFS(Input[T. W. - Inst. (R AFR) E&amp;G],Input[Institution Name],H81)
+SUMIFS(Input[T. W. - Inst. (R AFR) Desg],Input[Institution Name],H81)</f>
        <v>-25069</v>
      </c>
      <c r="X81" s="720"/>
      <c r="Y81" s="721"/>
      <c r="Z81" s="719">
        <f>SUMIFS(Input[T. Exp. - Stat (R AFR) E&amp;G],Input[Institution Name],H81)
+SUMIFS(Input[T. Exp. - Stat (R AFR) Desg],Input[Institution Name],H81)</f>
        <v>-3926912</v>
      </c>
      <c r="AA81" s="720"/>
      <c r="AB81" s="720"/>
      <c r="AC81" s="720">
        <f>SUMIFS(Input[T. Exp. - Inst. (R AFR) E&amp;G],Input[Institution Name],H81)
+SUMIFS(Input[T. Exp. - Inst. (R AFR) Desg],Input[Institution Name],H81)</f>
        <v>-3498132</v>
      </c>
      <c r="AD81" s="720"/>
      <c r="AE81" s="721"/>
      <c r="AF81" s="719">
        <f>SUMIFS(Input[T. Schlr E&amp;G],Input[Institution Name],H81)
+SUMIFS(Input[T. Schlr Desg],Input[Institution Name],H81)
+SUMIFS(Input[T. Schlr Aux],Input[Institution Name],H81)</f>
        <v>0</v>
      </c>
      <c r="AG81" s="720"/>
      <c r="AH81" s="721"/>
      <c r="AI81" s="719">
        <f t="shared" si="11"/>
        <v>117303225</v>
      </c>
      <c r="AJ81" s="720"/>
      <c r="AK81" s="721"/>
      <c r="AL81" s="143"/>
      <c r="AM81" s="715">
        <f>SUMIFS(Input[Fees - Gross E&amp;G],Input[Institution Name],H81)
+SUMIFS(Input[Fees - Gross Desg],Input[Institution Name],H81)
+SUMIFS(Input[Fees - Gross Aux],Input[Institution Name],H81)
+SUMIFS(Input[Fees - Gross R Exp],Input[Institution Name],H81)
+SUMIFS(Input[Fees - Gross Loan],Input[Institution Name],H81)</f>
        <v>27128012</v>
      </c>
      <c r="AN81" s="716"/>
      <c r="AO81" s="717"/>
      <c r="AP81" s="733">
        <f>SUMIFS(Input[F. W. - Stat (R AFR) E&amp;G],Input[Institution Name],H81)
+SUMIFS(Input[F. W. - Stat (R AFR) Desg],Input[Institution Name],H81)
+SUMIFS(Input[F. W. - Stat (R AFR) Aux],Input[Institution Name],H81)</f>
        <v>0</v>
      </c>
      <c r="AQ81" s="731"/>
      <c r="AR81" s="731"/>
      <c r="AS81" s="731">
        <f>SUMIFS(Input[F. W. - Inst. (R AFR) E&amp;G],Input[Institution Name],H80)
+SUMIFS(Input[F. W. - Inst. (R AFR) Desg],Input[Institution Name],H80)
+SUMIFS(Input[F. W. - Inst. (R AFR) Aux],Input[Institution Name],H80)</f>
        <v>0</v>
      </c>
      <c r="AT81" s="731"/>
      <c r="AU81" s="732"/>
      <c r="AV81" s="733">
        <f>SUMIFS(Input[F. Exp. - Stat (R AFR) E&amp;G],Input[Institution Name],H81)
+SUMIFS(Input[F. Exp. - Stat (R AFR) Desg],Input[Institution Name],H81)
+SUMIFS(Input[F. Exp. - Stat (R AFR) Aux],Input[Institution Name],H81)</f>
        <v>-1994712</v>
      </c>
      <c r="AW81" s="731"/>
      <c r="AX81" s="731"/>
      <c r="AY81" s="731">
        <f>SUMIFS(Input[F. Exp. - Inst. (R AFR) E&amp;G],Input[Institution Name],H81)
+SUMIFS(Input[F. Exp. - Inst. (R AFR) Desg],Input[Institution Name],H81)
+SUMIFS(Input[F. Exp. - Inst. (R AFR) Aux],Input[Institution Name],H81)</f>
        <v>-3009</v>
      </c>
      <c r="AZ81" s="731"/>
      <c r="BA81" s="732"/>
      <c r="BB81" s="733">
        <f>SUMIFS(Input[Fee Schlr E&amp;G],Input[Institution Name],H81)
+SUMIFS(Input[Fee Schlr Desg],Input[Institution Name],H81)
+SUMIFS(Input[Fee Schlr Aux],Input[Institution Name],H81)</f>
        <v>-52338501</v>
      </c>
      <c r="BC81" s="731"/>
      <c r="BD81" s="732"/>
      <c r="BE81" s="715">
        <f t="shared" si="9"/>
        <v>-27208210</v>
      </c>
      <c r="BF81" s="716"/>
      <c r="BG81" s="717"/>
      <c r="BH81" s="143"/>
      <c r="BI81" s="715">
        <f t="shared" si="10"/>
        <v>90095015</v>
      </c>
      <c r="BJ81" s="716"/>
      <c r="BK81" s="717"/>
      <c r="BL81" s="5"/>
      <c r="BM81" s="5"/>
      <c r="BN81" s="5"/>
    </row>
    <row r="82" spans="1:66" customFormat="1" ht="30" customHeight="1" x14ac:dyDescent="0.3">
      <c r="A82" s="5"/>
      <c r="B82" s="5"/>
      <c r="C82" s="5"/>
      <c r="D82" s="5"/>
      <c r="E82" s="5"/>
      <c r="F82" s="5"/>
      <c r="G82" s="5"/>
      <c r="H82" s="616" t="s">
        <v>20</v>
      </c>
      <c r="I82" s="617"/>
      <c r="J82" s="617"/>
      <c r="K82" s="617"/>
      <c r="L82" s="617"/>
      <c r="M82" s="617"/>
      <c r="N82" s="617"/>
      <c r="O82" s="617"/>
      <c r="P82" s="618"/>
      <c r="Q82" s="725">
        <f>SUMIFS(Input[T. - Gross E&amp;G],Input[Institution Name],H82)
+SUMIFS(Input[T. - Gross Desg],Input[Institution Name],H82)</f>
        <v>109104731</v>
      </c>
      <c r="R82" s="726"/>
      <c r="S82" s="727"/>
      <c r="T82" s="728">
        <f>SUMIFS(Input[T. W. - Stat (R AFR) E&amp;G],Input[Institution Name],H82)
+SUMIFS(Input[T. W. - Stat (R AFR) Desg],Input[Institution Name],H82)</f>
        <v>0</v>
      </c>
      <c r="U82" s="729"/>
      <c r="V82" s="729"/>
      <c r="W82" s="729">
        <f>SUMIFS(Input[T. W. - Inst. (R AFR) E&amp;G],Input[Institution Name],H82)
+SUMIFS(Input[T. W. - Inst. (R AFR) Desg],Input[Institution Name],H82)</f>
        <v>0</v>
      </c>
      <c r="X82" s="729"/>
      <c r="Y82" s="730"/>
      <c r="Z82" s="728">
        <f>SUMIFS(Input[T. Exp. - Stat (R AFR) E&amp;G],Input[Institution Name],H82)
+SUMIFS(Input[T. Exp. - Stat (R AFR) Desg],Input[Institution Name],H82)</f>
        <v>-6308720</v>
      </c>
      <c r="AA82" s="729"/>
      <c r="AB82" s="729"/>
      <c r="AC82" s="729">
        <f>SUMIFS(Input[T. Exp. - Inst. (R AFR) E&amp;G],Input[Institution Name],H82)
+SUMIFS(Input[T. Exp. - Inst. (R AFR) Desg],Input[Institution Name],H82)</f>
        <v>0</v>
      </c>
      <c r="AD82" s="729"/>
      <c r="AE82" s="730"/>
      <c r="AF82" s="728">
        <f>SUMIFS(Input[T. Schlr E&amp;G],Input[Institution Name],H82)
+SUMIFS(Input[T. Schlr Desg],Input[Institution Name],H82)
+SUMIFS(Input[T. Schlr Aux],Input[Institution Name],H82)</f>
        <v>-42731256</v>
      </c>
      <c r="AG82" s="729"/>
      <c r="AH82" s="730"/>
      <c r="AI82" s="728">
        <f t="shared" si="11"/>
        <v>60064755</v>
      </c>
      <c r="AJ82" s="729"/>
      <c r="AK82" s="730"/>
      <c r="AL82" s="143"/>
      <c r="AM82" s="725">
        <f>SUMIFS(Input[Fees - Gross E&amp;G],Input[Institution Name],H82)
+SUMIFS(Input[Fees - Gross Desg],Input[Institution Name],H82)
+SUMIFS(Input[Fees - Gross Aux],Input[Institution Name],H82)
+SUMIFS(Input[Fees - Gross R Exp],Input[Institution Name],H82)
+SUMIFS(Input[Fees - Gross Loan],Input[Institution Name],H82)</f>
        <v>46357344</v>
      </c>
      <c r="AN82" s="726"/>
      <c r="AO82" s="727"/>
      <c r="AP82" s="724">
        <f>SUMIFS(Input[F. W. - Stat (R AFR) E&amp;G],Input[Institution Name],H82)
+SUMIFS(Input[F. W. - Stat (R AFR) Desg],Input[Institution Name],H82)
+SUMIFS(Input[F. W. - Stat (R AFR) Aux],Input[Institution Name],H82)</f>
        <v>0</v>
      </c>
      <c r="AQ82" s="722"/>
      <c r="AR82" s="722"/>
      <c r="AS82" s="722">
        <f>SUMIFS(Input[F. W. - Inst. (R AFR) E&amp;G],Input[Institution Name],H81)
+SUMIFS(Input[F. W. - Inst. (R AFR) Desg],Input[Institution Name],H81)
+SUMIFS(Input[F. W. - Inst. (R AFR) Aux],Input[Institution Name],H81)</f>
        <v>0</v>
      </c>
      <c r="AT82" s="722"/>
      <c r="AU82" s="723"/>
      <c r="AV82" s="724">
        <f>SUMIFS(Input[F. Exp. - Stat (R AFR) E&amp;G],Input[Institution Name],H82)
+SUMIFS(Input[F. Exp. - Stat (R AFR) Desg],Input[Institution Name],H82)
+SUMIFS(Input[F. Exp. - Stat (R AFR) Aux],Input[Institution Name],H82)</f>
        <v>-363817</v>
      </c>
      <c r="AW82" s="722"/>
      <c r="AX82" s="722"/>
      <c r="AY82" s="722">
        <f>SUMIFS(Input[F. Exp. - Inst. (R AFR) E&amp;G],Input[Institution Name],H82)
+SUMIFS(Input[F. Exp. - Inst. (R AFR) Desg],Input[Institution Name],H82)
+SUMIFS(Input[F. Exp. - Inst. (R AFR) Aux],Input[Institution Name],H82)</f>
        <v>0</v>
      </c>
      <c r="AZ82" s="722"/>
      <c r="BA82" s="723"/>
      <c r="BB82" s="724">
        <f>SUMIFS(Input[Fee Schlr E&amp;G],Input[Institution Name],H82)
+SUMIFS(Input[Fee Schlr Desg],Input[Institution Name],H82)
+SUMIFS(Input[Fee Schlr Aux],Input[Institution Name],H82)</f>
        <v>-19054668</v>
      </c>
      <c r="BC82" s="722"/>
      <c r="BD82" s="723"/>
      <c r="BE82" s="725">
        <f>SUM(AM82:BD82)</f>
        <v>26938859</v>
      </c>
      <c r="BF82" s="726"/>
      <c r="BG82" s="727"/>
      <c r="BH82" s="143"/>
      <c r="BI82" s="725">
        <f>AI82+BE82</f>
        <v>87003614</v>
      </c>
      <c r="BJ82" s="726"/>
      <c r="BK82" s="727"/>
      <c r="BL82" s="5"/>
      <c r="BM82" s="5"/>
      <c r="BN82" s="5"/>
    </row>
    <row r="83" spans="1:66" customFormat="1" ht="30" customHeight="1" x14ac:dyDescent="0.3">
      <c r="A83" s="5"/>
      <c r="B83" s="5"/>
      <c r="C83" s="5"/>
      <c r="D83" s="5"/>
      <c r="E83" s="5"/>
      <c r="F83" s="5"/>
      <c r="G83" s="5"/>
      <c r="H83" s="579" t="s">
        <v>21</v>
      </c>
      <c r="I83" s="580"/>
      <c r="J83" s="580"/>
      <c r="K83" s="580"/>
      <c r="L83" s="580"/>
      <c r="M83" s="580"/>
      <c r="N83" s="580"/>
      <c r="O83" s="580"/>
      <c r="P83" s="619"/>
      <c r="Q83" s="715">
        <f>SUMIFS(Input[T. - Gross E&amp;G],Input[Institution Name],H83)
+SUMIFS(Input[T. - Gross Desg],Input[Institution Name],H83)</f>
        <v>141813697</v>
      </c>
      <c r="R83" s="716"/>
      <c r="S83" s="717"/>
      <c r="T83" s="719">
        <f>SUMIFS(Input[T. W. - Stat (R AFR) E&amp;G],Input[Institution Name],H83)
+SUMIFS(Input[T. W. - Stat (R AFR) Desg],Input[Institution Name],H83)</f>
        <v>-4420472</v>
      </c>
      <c r="U83" s="720"/>
      <c r="V83" s="720"/>
      <c r="W83" s="720">
        <f>SUMIFS(Input[T. W. - Inst. (R AFR) E&amp;G],Input[Institution Name],H83)
+SUMIFS(Input[T. W. - Inst. (R AFR) Desg],Input[Institution Name],H83)</f>
        <v>0</v>
      </c>
      <c r="X83" s="720"/>
      <c r="Y83" s="721"/>
      <c r="Z83" s="719">
        <f>SUMIFS(Input[T. Exp. - Stat (R AFR) E&amp;G],Input[Institution Name],H83)
+SUMIFS(Input[T. Exp. - Stat (R AFR) Desg],Input[Institution Name],H83)</f>
        <v>-13850011</v>
      </c>
      <c r="AA83" s="720"/>
      <c r="AB83" s="720"/>
      <c r="AC83" s="720">
        <f>SUMIFS(Input[T. Exp. - Inst. (R AFR) E&amp;G],Input[Institution Name],H83)
+SUMIFS(Input[T. Exp. - Inst. (R AFR) Desg],Input[Institution Name],H83)</f>
        <v>0</v>
      </c>
      <c r="AD83" s="720"/>
      <c r="AE83" s="721"/>
      <c r="AF83" s="719">
        <f>SUMIFS(Input[T. Schlr E&amp;G],Input[Institution Name],H83)
+SUMIFS(Input[T. Schlr Desg],Input[Institution Name],H83)
+SUMIFS(Input[T. Schlr Aux],Input[Institution Name],H83)</f>
        <v>-87932108</v>
      </c>
      <c r="AG83" s="720"/>
      <c r="AH83" s="721"/>
      <c r="AI83" s="719">
        <f t="shared" si="11"/>
        <v>35611106</v>
      </c>
      <c r="AJ83" s="720"/>
      <c r="AK83" s="721"/>
      <c r="AL83" s="143"/>
      <c r="AM83" s="715">
        <f>SUMIFS(Input[Fees - Gross E&amp;G],Input[Institution Name],H83)
+SUMIFS(Input[Fees - Gross Desg],Input[Institution Name],H83)
+SUMIFS(Input[Fees - Gross Aux],Input[Institution Name],H83)
+SUMIFS(Input[Fees - Gross R Exp],Input[Institution Name],H83)
+SUMIFS(Input[Fees - Gross Loan],Input[Institution Name],H83)</f>
        <v>104149548</v>
      </c>
      <c r="AN83" s="716"/>
      <c r="AO83" s="717"/>
      <c r="AP83" s="733">
        <f>SUMIFS(Input[F. W. - Stat (R AFR) E&amp;G],Input[Institution Name],H83)
+SUMIFS(Input[F. W. - Stat (R AFR) Desg],Input[Institution Name],H83)
+SUMIFS(Input[F. W. - Stat (R AFR) Aux],Input[Institution Name],H83)</f>
        <v>0</v>
      </c>
      <c r="AQ83" s="731"/>
      <c r="AR83" s="731"/>
      <c r="AS83" s="731">
        <f>SUMIFS(Input[F. W. - Inst. (R AFR) E&amp;G],Input[Institution Name],H82)
+SUMIFS(Input[F. W. - Inst. (R AFR) Desg],Input[Institution Name],H82)
+SUMIFS(Input[F. W. - Inst. (R AFR) Aux],Input[Institution Name],H82)</f>
        <v>0</v>
      </c>
      <c r="AT83" s="731"/>
      <c r="AU83" s="732"/>
      <c r="AV83" s="733">
        <f>SUMIFS(Input[F. Exp. - Stat (R AFR) E&amp;G],Input[Institution Name],H83)
+SUMIFS(Input[F. Exp. - Stat (R AFR) Desg],Input[Institution Name],H83)
+SUMIFS(Input[F. Exp. - Stat (R AFR) Aux],Input[Institution Name],H83)</f>
        <v>-8124416</v>
      </c>
      <c r="AW83" s="731"/>
      <c r="AX83" s="731"/>
      <c r="AY83" s="731">
        <f>SUMIFS(Input[F. Exp. - Inst. (R AFR) E&amp;G],Input[Institution Name],H83)
+SUMIFS(Input[F. Exp. - Inst. (R AFR) Desg],Input[Institution Name],H83)
+SUMIFS(Input[F. Exp. - Inst. (R AFR) Aux],Input[Institution Name],H83)</f>
        <v>0</v>
      </c>
      <c r="AZ83" s="731"/>
      <c r="BA83" s="732"/>
      <c r="BB83" s="733">
        <f>SUMIFS(Input[Fee Schlr E&amp;G],Input[Institution Name],H83)
+SUMIFS(Input[Fee Schlr Desg],Input[Institution Name],H83)
+SUMIFS(Input[Fee Schlr Aux],Input[Institution Name],H83)</f>
        <v>-7305966</v>
      </c>
      <c r="BC83" s="731"/>
      <c r="BD83" s="732"/>
      <c r="BE83" s="715">
        <f>SUM(AM83:BD83)</f>
        <v>88719166</v>
      </c>
      <c r="BF83" s="716"/>
      <c r="BG83" s="717"/>
      <c r="BH83" s="143"/>
      <c r="BI83" s="715">
        <f>AI83+BE83</f>
        <v>124330272</v>
      </c>
      <c r="BJ83" s="716"/>
      <c r="BK83" s="717"/>
      <c r="BL83" s="5"/>
      <c r="BM83" s="5"/>
      <c r="BN83" s="5"/>
    </row>
    <row r="84" spans="1:66" customFormat="1" ht="30" customHeight="1" x14ac:dyDescent="0.3">
      <c r="A84" s="5"/>
      <c r="B84" s="5"/>
      <c r="C84" s="5"/>
      <c r="D84" s="5"/>
      <c r="E84" s="5"/>
      <c r="F84" s="5"/>
      <c r="G84" s="5"/>
      <c r="H84" s="616" t="s">
        <v>61</v>
      </c>
      <c r="I84" s="617"/>
      <c r="J84" s="617"/>
      <c r="K84" s="617"/>
      <c r="L84" s="617"/>
      <c r="M84" s="617"/>
      <c r="N84" s="617"/>
      <c r="O84" s="617"/>
      <c r="P84" s="618"/>
      <c r="Q84" s="725">
        <f>SUMIFS(Input[T. - Gross E&amp;G],Input[Institution Name],H84)
+SUMIFS(Input[T. - Gross Desg],Input[Institution Name],H84)</f>
        <v>340615159</v>
      </c>
      <c r="R84" s="726"/>
      <c r="S84" s="727"/>
      <c r="T84" s="728">
        <f>SUMIFS(Input[T. W. - Stat (R AFR) E&amp;G],Input[Institution Name],H84)
+SUMIFS(Input[T. W. - Stat (R AFR) Desg],Input[Institution Name],H84)</f>
        <v>0</v>
      </c>
      <c r="U84" s="729"/>
      <c r="V84" s="729"/>
      <c r="W84" s="729">
        <f>SUMIFS(Input[T. W. - Inst. (R AFR) E&amp;G],Input[Institution Name],H84)
+SUMIFS(Input[T. W. - Inst. (R AFR) Desg],Input[Institution Name],H84)</f>
        <v>0</v>
      </c>
      <c r="X84" s="729"/>
      <c r="Y84" s="730"/>
      <c r="Z84" s="728">
        <f>SUMIFS(Input[T. Exp. - Stat (R AFR) E&amp;G],Input[Institution Name],H84)
+SUMIFS(Input[T. Exp. - Stat (R AFR) Desg],Input[Institution Name],H84)</f>
        <v>-23081247</v>
      </c>
      <c r="AA84" s="729"/>
      <c r="AB84" s="729"/>
      <c r="AC84" s="729">
        <f>SUMIFS(Input[T. Exp. - Inst. (R AFR) E&amp;G],Input[Institution Name],H84)
+SUMIFS(Input[T. Exp. - Inst. (R AFR) Desg],Input[Institution Name],H84)</f>
        <v>0</v>
      </c>
      <c r="AD84" s="729"/>
      <c r="AE84" s="730"/>
      <c r="AF84" s="728">
        <f>SUMIFS(Input[T. Schlr E&amp;G],Input[Institution Name],H84)
+SUMIFS(Input[T. Schlr Desg],Input[Institution Name],H84)
+SUMIFS(Input[T. Schlr Aux],Input[Institution Name],H84)</f>
        <v>-144833080</v>
      </c>
      <c r="AG84" s="729"/>
      <c r="AH84" s="730"/>
      <c r="AI84" s="728">
        <f t="shared" si="11"/>
        <v>172700832</v>
      </c>
      <c r="AJ84" s="729"/>
      <c r="AK84" s="730"/>
      <c r="AL84" s="143"/>
      <c r="AM84" s="725">
        <f>SUMIFS(Input[Fees - Gross E&amp;G],Input[Institution Name],H84)
+SUMIFS(Input[Fees - Gross Desg],Input[Institution Name],H84)
+SUMIFS(Input[Fees - Gross Aux],Input[Institution Name],H84)
+SUMIFS(Input[Fees - Gross R Exp],Input[Institution Name],H84)
+SUMIFS(Input[Fees - Gross Loan],Input[Institution Name],H84)</f>
        <v>146217597</v>
      </c>
      <c r="AN84" s="726"/>
      <c r="AO84" s="727"/>
      <c r="AP84" s="724">
        <f>SUMIFS(Input[F. W. - Stat (R AFR) E&amp;G],Input[Institution Name],H84)
+SUMIFS(Input[F. W. - Stat (R AFR) Desg],Input[Institution Name],H84)
+SUMIFS(Input[F. W. - Stat (R AFR) Aux],Input[Institution Name],H84)</f>
        <v>0</v>
      </c>
      <c r="AQ84" s="722"/>
      <c r="AR84" s="722"/>
      <c r="AS84" s="722">
        <f>SUMIFS(Input[F. W. - Inst. (R AFR) E&amp;G],Input[Institution Name],H83)
+SUMIFS(Input[F. W. - Inst. (R AFR) Desg],Input[Institution Name],H83)
+SUMIFS(Input[F. W. - Inst. (R AFR) Aux],Input[Institution Name],H83)</f>
        <v>0</v>
      </c>
      <c r="AT84" s="722"/>
      <c r="AU84" s="723"/>
      <c r="AV84" s="724">
        <f>SUMIFS(Input[F. Exp. - Stat (R AFR) E&amp;G],Input[Institution Name],H84)
+SUMIFS(Input[F. Exp. - Stat (R AFR) Desg],Input[Institution Name],H84)
+SUMIFS(Input[F. Exp. - Stat (R AFR) Aux],Input[Institution Name],H84)</f>
        <v>-8865605</v>
      </c>
      <c r="AW84" s="722"/>
      <c r="AX84" s="722"/>
      <c r="AY84" s="722">
        <f>SUMIFS(Input[F. Exp. - Inst. (R AFR) E&amp;G],Input[Institution Name],H84)
+SUMIFS(Input[F. Exp. - Inst. (R AFR) Desg],Input[Institution Name],H84)
+SUMIFS(Input[F. Exp. - Inst. (R AFR) Aux],Input[Institution Name],H84)</f>
        <v>0</v>
      </c>
      <c r="AZ84" s="722"/>
      <c r="BA84" s="723"/>
      <c r="BB84" s="724">
        <f>SUMIFS(Input[Fee Schlr E&amp;G],Input[Institution Name],H84)
+SUMIFS(Input[Fee Schlr Desg],Input[Institution Name],H84)
+SUMIFS(Input[Fee Schlr Aux],Input[Institution Name],H84)</f>
        <v>-63767164</v>
      </c>
      <c r="BC84" s="722"/>
      <c r="BD84" s="723"/>
      <c r="BE84" s="725">
        <f>SUM(AM84:BD84)</f>
        <v>73584828</v>
      </c>
      <c r="BF84" s="726"/>
      <c r="BG84" s="727"/>
      <c r="BH84" s="143"/>
      <c r="BI84" s="725">
        <f>AI84+BE84</f>
        <v>246285660</v>
      </c>
      <c r="BJ84" s="726"/>
      <c r="BK84" s="727"/>
      <c r="BL84" s="5"/>
      <c r="BM84" s="5"/>
      <c r="BN84" s="5"/>
    </row>
    <row r="85" spans="1:66" customFormat="1" ht="30" customHeight="1" thickBot="1" x14ac:dyDescent="0.35">
      <c r="A85" s="5"/>
      <c r="B85" s="5"/>
      <c r="C85" s="5"/>
      <c r="D85" s="5"/>
      <c r="E85" s="5"/>
      <c r="F85" s="5"/>
      <c r="G85" s="5"/>
      <c r="H85" s="579" t="s">
        <v>22</v>
      </c>
      <c r="I85" s="580"/>
      <c r="J85" s="580"/>
      <c r="K85" s="580"/>
      <c r="L85" s="580"/>
      <c r="M85" s="580"/>
      <c r="N85" s="580"/>
      <c r="O85" s="580"/>
      <c r="P85" s="619"/>
      <c r="Q85" s="715">
        <f>SUMIFS(Input[T. - Gross E&amp;G],Input[Institution Name],H85)
+SUMIFS(Input[T. - Gross Desg],Input[Institution Name],H85)</f>
        <v>9459429</v>
      </c>
      <c r="R85" s="716"/>
      <c r="S85" s="717"/>
      <c r="T85" s="719">
        <f>SUMIFS(Input[T. W. - Stat (R AFR) E&amp;G],Input[Institution Name],H85)
+SUMIFS(Input[T. W. - Stat (R AFR) Desg],Input[Institution Name],H85)</f>
        <v>-160108</v>
      </c>
      <c r="U85" s="720"/>
      <c r="V85" s="720"/>
      <c r="W85" s="720">
        <f>SUMIFS(Input[T. W. - Inst. (R AFR) E&amp;G],Input[Institution Name],H85)
+SUMIFS(Input[T. W. - Inst. (R AFR) Desg],Input[Institution Name],H85)</f>
        <v>0</v>
      </c>
      <c r="X85" s="720"/>
      <c r="Y85" s="721"/>
      <c r="Z85" s="719">
        <f>SUMIFS(Input[T. Exp. - Stat (R AFR) E&amp;G],Input[Institution Name],H85)
+SUMIFS(Input[T. Exp. - Stat (R AFR) Desg],Input[Institution Name],H85)</f>
        <v>-539683</v>
      </c>
      <c r="AA85" s="720"/>
      <c r="AB85" s="720"/>
      <c r="AC85" s="720">
        <f>SUMIFS(Input[T. Exp. - Inst. (R AFR) E&amp;G],Input[Institution Name],H85)
+SUMIFS(Input[T. Exp. - Inst. (R AFR) Desg],Input[Institution Name],H85)</f>
        <v>0</v>
      </c>
      <c r="AD85" s="720"/>
      <c r="AE85" s="721"/>
      <c r="AF85" s="719">
        <f>SUMIFS(Input[T. Schlr E&amp;G],Input[Institution Name],H85)
+SUMIFS(Input[T. Schlr Desg],Input[Institution Name],H85)
+SUMIFS(Input[T. Schlr Aux],Input[Institution Name],H85)</f>
        <v>-4747264</v>
      </c>
      <c r="AG85" s="720"/>
      <c r="AH85" s="721"/>
      <c r="AI85" s="719">
        <f t="shared" si="11"/>
        <v>4012374</v>
      </c>
      <c r="AJ85" s="720"/>
      <c r="AK85" s="721"/>
      <c r="AL85" s="143"/>
      <c r="AM85" s="715">
        <f>SUMIFS(Input[Fees - Gross E&amp;G],Input[Institution Name],H85)
+SUMIFS(Input[Fees - Gross Desg],Input[Institution Name],H85)
+SUMIFS(Input[Fees - Gross Aux],Input[Institution Name],H85)
+SUMIFS(Input[Fees - Gross R Exp],Input[Institution Name],H85)
+SUMIFS(Input[Fees - Gross Loan],Input[Institution Name],H85)</f>
        <v>5335596</v>
      </c>
      <c r="AN85" s="716"/>
      <c r="AO85" s="717"/>
      <c r="AP85" s="714">
        <f>SUMIFS(Input[F. W. - Stat (R AFR) E&amp;G],Input[Institution Name],H85)
+SUMIFS(Input[F. W. - Stat (R AFR) Desg],Input[Institution Name],H85)
+SUMIFS(Input[F. W. - Stat (R AFR) Aux],Input[Institution Name],H85)</f>
        <v>-63411</v>
      </c>
      <c r="AQ85" s="712"/>
      <c r="AR85" s="712"/>
      <c r="AS85" s="712">
        <f>SUMIFS(Input[F. W. - Inst. (R AFR) E&amp;G],Input[Institution Name],H84)
+SUMIFS(Input[F. W. - Inst. (R AFR) Desg],Input[Institution Name],H84)
+SUMIFS(Input[F. W. - Inst. (R AFR) Aux],Input[Institution Name],H84)</f>
        <v>0</v>
      </c>
      <c r="AT85" s="712"/>
      <c r="AU85" s="713"/>
      <c r="AV85" s="714">
        <f>SUMIFS(Input[F. Exp. - Stat (R AFR) E&amp;G],Input[Institution Name],H85)
+SUMIFS(Input[F. Exp. - Stat (R AFR) Desg],Input[Institution Name],H85)
+SUMIFS(Input[F. Exp. - Stat (R AFR) Aux],Input[Institution Name],H85)</f>
        <v>-416273</v>
      </c>
      <c r="AW85" s="712"/>
      <c r="AX85" s="712"/>
      <c r="AY85" s="712">
        <f>SUMIFS(Input[F. Exp. - Inst. (R AFR) E&amp;G],Input[Institution Name],H85)
+SUMIFS(Input[F. Exp. - Inst. (R AFR) Desg],Input[Institution Name],H85)
+SUMIFS(Input[F. Exp. - Inst. (R AFR) Aux],Input[Institution Name],H85)</f>
        <v>0</v>
      </c>
      <c r="AZ85" s="712"/>
      <c r="BA85" s="713"/>
      <c r="BB85" s="714">
        <f>SUMIFS(Input[Fee Schlr E&amp;G],Input[Institution Name],H85)
+SUMIFS(Input[Fee Schlr Desg],Input[Institution Name],H85)
+SUMIFS(Input[Fee Schlr Aux],Input[Institution Name],H85)</f>
        <v>-2667648</v>
      </c>
      <c r="BC85" s="712"/>
      <c r="BD85" s="713"/>
      <c r="BE85" s="715">
        <f>SUM(AM85:BD85)</f>
        <v>2188264</v>
      </c>
      <c r="BF85" s="716"/>
      <c r="BG85" s="717"/>
      <c r="BH85" s="143"/>
      <c r="BI85" s="715">
        <f>AI85+BE85</f>
        <v>6200638</v>
      </c>
      <c r="BJ85" s="716"/>
      <c r="BK85" s="717"/>
      <c r="BL85" s="5"/>
      <c r="BM85" s="5"/>
      <c r="BN85" s="5"/>
    </row>
    <row r="86" spans="1:66" s="43" customFormat="1" ht="30" customHeight="1" thickTop="1" x14ac:dyDescent="0.3">
      <c r="A86" s="41"/>
      <c r="B86" s="41"/>
      <c r="C86" s="41"/>
      <c r="D86" s="41"/>
      <c r="E86" s="41"/>
      <c r="F86" s="41"/>
      <c r="G86" s="41"/>
      <c r="H86" s="752"/>
      <c r="I86" s="753"/>
      <c r="J86" s="753"/>
      <c r="K86" s="753"/>
      <c r="L86" s="753"/>
      <c r="M86" s="753"/>
      <c r="N86" s="753"/>
      <c r="O86" s="753"/>
      <c r="P86" s="754"/>
      <c r="Q86" s="749">
        <f>SUM(Q50:S85)</f>
        <v>5739177103</v>
      </c>
      <c r="R86" s="750"/>
      <c r="S86" s="751"/>
      <c r="T86" s="749">
        <f>SUM(T50:V85)</f>
        <v>-14846480</v>
      </c>
      <c r="U86" s="750"/>
      <c r="V86" s="750"/>
      <c r="W86" s="750">
        <f>SUM(W50:Y85)</f>
        <v>-4743842</v>
      </c>
      <c r="X86" s="750"/>
      <c r="Y86" s="751"/>
      <c r="Z86" s="749">
        <f>SUM(Z50:AB85)</f>
        <v>-229557846</v>
      </c>
      <c r="AA86" s="750"/>
      <c r="AB86" s="750"/>
      <c r="AC86" s="750">
        <f>SUM(AC50:AE85)</f>
        <v>-6143943</v>
      </c>
      <c r="AD86" s="750"/>
      <c r="AE86" s="751"/>
      <c r="AF86" s="749">
        <f>SUM(AF50:AH85)</f>
        <v>-2101999464</v>
      </c>
      <c r="AG86" s="750"/>
      <c r="AH86" s="751"/>
      <c r="AI86" s="749">
        <f>SUM(AI50:AK85)</f>
        <v>3381885528</v>
      </c>
      <c r="AJ86" s="750"/>
      <c r="AK86" s="751"/>
      <c r="AL86" s="42"/>
      <c r="AM86" s="749">
        <f>SUM(AM50:AO85)</f>
        <v>2413013524</v>
      </c>
      <c r="AN86" s="750"/>
      <c r="AO86" s="751"/>
      <c r="AP86" s="749">
        <f>SUM(AP50:AR85)</f>
        <v>-63411</v>
      </c>
      <c r="AQ86" s="750"/>
      <c r="AR86" s="750"/>
      <c r="AS86" s="750">
        <f>SUM(AS50:AU85)</f>
        <v>0</v>
      </c>
      <c r="AT86" s="750"/>
      <c r="AU86" s="751"/>
      <c r="AV86" s="749">
        <f>SUM(AV50:AX85)</f>
        <v>-84643778</v>
      </c>
      <c r="AW86" s="750"/>
      <c r="AX86" s="750"/>
      <c r="AY86" s="750">
        <f>SUM(AY50:BA85)</f>
        <v>-8520524</v>
      </c>
      <c r="AZ86" s="750"/>
      <c r="BA86" s="751"/>
      <c r="BB86" s="749">
        <f>SUM(BB50:BD85)</f>
        <v>-810619533</v>
      </c>
      <c r="BC86" s="750"/>
      <c r="BD86" s="751"/>
      <c r="BE86" s="749">
        <f>SUM(BE50:BG85)</f>
        <v>1509166278</v>
      </c>
      <c r="BF86" s="750"/>
      <c r="BG86" s="751"/>
      <c r="BH86" s="42"/>
      <c r="BI86" s="590">
        <f>SUM(BI50:BK85)</f>
        <v>4891051806</v>
      </c>
      <c r="BJ86" s="591"/>
      <c r="BK86" s="594"/>
      <c r="BL86" s="41"/>
      <c r="BM86" s="41"/>
      <c r="BN86" s="41"/>
    </row>
    <row r="87" spans="1:66" ht="30" customHeight="1" x14ac:dyDescent="0.3">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row>
    <row r="88" spans="1:66" ht="30" customHeight="1" x14ac:dyDescent="0.3">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row>
  </sheetData>
  <sheetProtection algorithmName="SHA-512" hashValue="ZGtqQepdxF3TBbeXOCNrp+oZLcKc1aZRhpMpjJp7CKy0Va5sCfQry0Pei6DaKkPXG81ENL2WGgqKjhqwW8NJXA==" saltValue="fVwroypl63+nk8t1NahorQ==" spinCount="100000" sheet="1" objects="1" scenarios="1" formatCells="0" formatColumns="0" formatRows="0"/>
  <mergeCells count="1076">
    <mergeCell ref="H32:P32"/>
    <mergeCell ref="H49:P49"/>
    <mergeCell ref="Q10:S10"/>
    <mergeCell ref="W10:Y10"/>
    <mergeCell ref="T10:V10"/>
    <mergeCell ref="Q12:S12"/>
    <mergeCell ref="T12:V12"/>
    <mergeCell ref="W12:Y12"/>
    <mergeCell ref="Q15:S15"/>
    <mergeCell ref="Q8:AK8"/>
    <mergeCell ref="H11:P11"/>
    <mergeCell ref="Q11:S11"/>
    <mergeCell ref="T11:V11"/>
    <mergeCell ref="W11:Y11"/>
    <mergeCell ref="Z11:AB11"/>
    <mergeCell ref="AC11:AE11"/>
    <mergeCell ref="AF11:AH11"/>
    <mergeCell ref="AI11:AK11"/>
    <mergeCell ref="Z10:AB10"/>
    <mergeCell ref="AC10:AE10"/>
    <mergeCell ref="AF10:AH10"/>
    <mergeCell ref="AI10:AK10"/>
    <mergeCell ref="Q9:S9"/>
    <mergeCell ref="T9:Y9"/>
    <mergeCell ref="Z9:AE9"/>
    <mergeCell ref="AF9:AK9"/>
    <mergeCell ref="H10:P10"/>
    <mergeCell ref="T15:V15"/>
    <mergeCell ref="W15:Y15"/>
    <mergeCell ref="Z15:AB15"/>
    <mergeCell ref="AC15:AE15"/>
    <mergeCell ref="AF15:AH15"/>
    <mergeCell ref="AI15:AK15"/>
    <mergeCell ref="AI13:AK13"/>
    <mergeCell ref="Q14:S14"/>
    <mergeCell ref="T14:V14"/>
    <mergeCell ref="W14:Y14"/>
    <mergeCell ref="Z14:AB14"/>
    <mergeCell ref="AC14:AE14"/>
    <mergeCell ref="AF14:AH14"/>
    <mergeCell ref="AI14:AK14"/>
    <mergeCell ref="Z12:AB12"/>
    <mergeCell ref="AC12:AE12"/>
    <mergeCell ref="AF12:AH12"/>
    <mergeCell ref="AI12:AK12"/>
    <mergeCell ref="Q13:S13"/>
    <mergeCell ref="T13:V13"/>
    <mergeCell ref="W13:Y13"/>
    <mergeCell ref="Z13:AB13"/>
    <mergeCell ref="AC13:AE13"/>
    <mergeCell ref="AF13:AH13"/>
    <mergeCell ref="AI18:AK18"/>
    <mergeCell ref="Q19:S19"/>
    <mergeCell ref="T19:V19"/>
    <mergeCell ref="W19:Y19"/>
    <mergeCell ref="Z19:AB19"/>
    <mergeCell ref="AC19:AE19"/>
    <mergeCell ref="AF19:AH19"/>
    <mergeCell ref="AI19:AK19"/>
    <mergeCell ref="Q18:S18"/>
    <mergeCell ref="T18:V18"/>
    <mergeCell ref="W18:Y18"/>
    <mergeCell ref="Z18:AB18"/>
    <mergeCell ref="AC18:AE18"/>
    <mergeCell ref="AF18:AH18"/>
    <mergeCell ref="AI16:AK16"/>
    <mergeCell ref="Q17:S17"/>
    <mergeCell ref="T17:V17"/>
    <mergeCell ref="W17:Y17"/>
    <mergeCell ref="Z17:AB17"/>
    <mergeCell ref="AC17:AE17"/>
    <mergeCell ref="AF17:AH17"/>
    <mergeCell ref="AI17:AK17"/>
    <mergeCell ref="Q16:S16"/>
    <mergeCell ref="T16:V16"/>
    <mergeCell ref="W16:Y16"/>
    <mergeCell ref="Z16:AB16"/>
    <mergeCell ref="AC16:AE16"/>
    <mergeCell ref="AF16:AH16"/>
    <mergeCell ref="AI22:AK22"/>
    <mergeCell ref="Q23:S23"/>
    <mergeCell ref="T23:V23"/>
    <mergeCell ref="W23:Y23"/>
    <mergeCell ref="Z23:AB23"/>
    <mergeCell ref="AC23:AE23"/>
    <mergeCell ref="AF23:AH23"/>
    <mergeCell ref="AI23:AK23"/>
    <mergeCell ref="Q22:S22"/>
    <mergeCell ref="T22:V22"/>
    <mergeCell ref="W22:Y22"/>
    <mergeCell ref="Z22:AB22"/>
    <mergeCell ref="AC22:AE22"/>
    <mergeCell ref="AF22:AH22"/>
    <mergeCell ref="AI20:AK20"/>
    <mergeCell ref="Q21:S21"/>
    <mergeCell ref="T21:V21"/>
    <mergeCell ref="W21:Y21"/>
    <mergeCell ref="Z21:AB21"/>
    <mergeCell ref="AC21:AE21"/>
    <mergeCell ref="AF21:AH21"/>
    <mergeCell ref="AI21:AK21"/>
    <mergeCell ref="Q20:S20"/>
    <mergeCell ref="T20:V20"/>
    <mergeCell ref="W20:Y20"/>
    <mergeCell ref="Z20:AB20"/>
    <mergeCell ref="AC20:AE20"/>
    <mergeCell ref="AF20:AH20"/>
    <mergeCell ref="AP10:AR10"/>
    <mergeCell ref="AS10:AU10"/>
    <mergeCell ref="AV10:AX10"/>
    <mergeCell ref="AY10:BA10"/>
    <mergeCell ref="BB10:BD10"/>
    <mergeCell ref="BE10:BG10"/>
    <mergeCell ref="H21:P21"/>
    <mergeCell ref="H22:P22"/>
    <mergeCell ref="H23:P23"/>
    <mergeCell ref="H24:P24"/>
    <mergeCell ref="AM8:BG8"/>
    <mergeCell ref="AM9:AO9"/>
    <mergeCell ref="AP9:AU9"/>
    <mergeCell ref="AV9:BA9"/>
    <mergeCell ref="BB9:BG9"/>
    <mergeCell ref="AM10:AO10"/>
    <mergeCell ref="AI24:AK24"/>
    <mergeCell ref="H12:P12"/>
    <mergeCell ref="H13:P13"/>
    <mergeCell ref="H14:P14"/>
    <mergeCell ref="H15:P15"/>
    <mergeCell ref="H16:P16"/>
    <mergeCell ref="H17:P17"/>
    <mergeCell ref="H18:P18"/>
    <mergeCell ref="H19:P19"/>
    <mergeCell ref="H20:P20"/>
    <mergeCell ref="Q24:S24"/>
    <mergeCell ref="T24:V24"/>
    <mergeCell ref="W24:Y24"/>
    <mergeCell ref="Z24:AB24"/>
    <mergeCell ref="AC24:AE24"/>
    <mergeCell ref="AF24:AH24"/>
    <mergeCell ref="BE13:BG13"/>
    <mergeCell ref="AM14:AO14"/>
    <mergeCell ref="AP14:AR14"/>
    <mergeCell ref="AS14:AU14"/>
    <mergeCell ref="AV14:AX14"/>
    <mergeCell ref="AY14:BA14"/>
    <mergeCell ref="BB14:BD14"/>
    <mergeCell ref="BE14:BG14"/>
    <mergeCell ref="AM13:AO13"/>
    <mergeCell ref="AP13:AR13"/>
    <mergeCell ref="AS13:AU13"/>
    <mergeCell ref="AV13:AX13"/>
    <mergeCell ref="AY13:BA13"/>
    <mergeCell ref="BB13:BD13"/>
    <mergeCell ref="BE11:BG11"/>
    <mergeCell ref="AM12:AO12"/>
    <mergeCell ref="AP12:AR12"/>
    <mergeCell ref="AS12:AU12"/>
    <mergeCell ref="AV12:AX12"/>
    <mergeCell ref="AY12:BA12"/>
    <mergeCell ref="BB12:BD12"/>
    <mergeCell ref="BE12:BG12"/>
    <mergeCell ref="AM11:AO11"/>
    <mergeCell ref="AP11:AR11"/>
    <mergeCell ref="AS11:AU11"/>
    <mergeCell ref="AV11:AX11"/>
    <mergeCell ref="AY11:BA11"/>
    <mergeCell ref="BB11:BD11"/>
    <mergeCell ref="BE17:BG17"/>
    <mergeCell ref="AM18:AO18"/>
    <mergeCell ref="AP18:AR18"/>
    <mergeCell ref="AS18:AU18"/>
    <mergeCell ref="AV18:AX18"/>
    <mergeCell ref="AY18:BA18"/>
    <mergeCell ref="BB18:BD18"/>
    <mergeCell ref="BE18:BG18"/>
    <mergeCell ref="AM17:AO17"/>
    <mergeCell ref="AP17:AR17"/>
    <mergeCell ref="AS17:AU17"/>
    <mergeCell ref="AV17:AX17"/>
    <mergeCell ref="AY17:BA17"/>
    <mergeCell ref="BB17:BD17"/>
    <mergeCell ref="BE15:BG15"/>
    <mergeCell ref="AM16:AO16"/>
    <mergeCell ref="AP16:AR16"/>
    <mergeCell ref="AS16:AU16"/>
    <mergeCell ref="AV16:AX16"/>
    <mergeCell ref="AY16:BA16"/>
    <mergeCell ref="BB16:BD16"/>
    <mergeCell ref="BE16:BG16"/>
    <mergeCell ref="AM15:AO15"/>
    <mergeCell ref="AP15:AR15"/>
    <mergeCell ref="AS15:AU15"/>
    <mergeCell ref="AV15:AX15"/>
    <mergeCell ref="AY15:BA15"/>
    <mergeCell ref="BB15:BD15"/>
    <mergeCell ref="AP22:AR22"/>
    <mergeCell ref="AS22:AU22"/>
    <mergeCell ref="AV22:AX22"/>
    <mergeCell ref="AY22:BA22"/>
    <mergeCell ref="BB22:BD22"/>
    <mergeCell ref="BE22:BG22"/>
    <mergeCell ref="AM21:AO21"/>
    <mergeCell ref="AP21:AR21"/>
    <mergeCell ref="AS21:AU21"/>
    <mergeCell ref="AV21:AX21"/>
    <mergeCell ref="AY21:BA21"/>
    <mergeCell ref="BB21:BD21"/>
    <mergeCell ref="BE19:BG19"/>
    <mergeCell ref="AM20:AO20"/>
    <mergeCell ref="AP20:AR20"/>
    <mergeCell ref="AS20:AU20"/>
    <mergeCell ref="AV20:AX20"/>
    <mergeCell ref="AY20:BA20"/>
    <mergeCell ref="BB20:BD20"/>
    <mergeCell ref="BE20:BG20"/>
    <mergeCell ref="AM19:AO19"/>
    <mergeCell ref="AP19:AR19"/>
    <mergeCell ref="AS19:AU19"/>
    <mergeCell ref="AV19:AX19"/>
    <mergeCell ref="AY19:BA19"/>
    <mergeCell ref="BB19:BD19"/>
    <mergeCell ref="BI20:BK20"/>
    <mergeCell ref="BI21:BK21"/>
    <mergeCell ref="BI22:BK22"/>
    <mergeCell ref="BI23:BK23"/>
    <mergeCell ref="BI24:BK24"/>
    <mergeCell ref="BI10:BK10"/>
    <mergeCell ref="BI11:BK11"/>
    <mergeCell ref="BI12:BK12"/>
    <mergeCell ref="BI13:BK13"/>
    <mergeCell ref="BI14:BK14"/>
    <mergeCell ref="BI15:BK15"/>
    <mergeCell ref="BI16:BK16"/>
    <mergeCell ref="BI17:BK17"/>
    <mergeCell ref="BI18:BK18"/>
    <mergeCell ref="BI19:BK19"/>
    <mergeCell ref="H6:BK6"/>
    <mergeCell ref="BE23:BG23"/>
    <mergeCell ref="AM24:AO24"/>
    <mergeCell ref="AP24:AR24"/>
    <mergeCell ref="AS24:AU24"/>
    <mergeCell ref="AV24:AX24"/>
    <mergeCell ref="AY24:BA24"/>
    <mergeCell ref="BB24:BD24"/>
    <mergeCell ref="BE24:BG24"/>
    <mergeCell ref="AM23:AO23"/>
    <mergeCell ref="AP23:AR23"/>
    <mergeCell ref="AS23:AU23"/>
    <mergeCell ref="AV23:AX23"/>
    <mergeCell ref="AY23:BA23"/>
    <mergeCell ref="BB23:BD23"/>
    <mergeCell ref="BE21:BG21"/>
    <mergeCell ref="AM22:AO22"/>
    <mergeCell ref="AY25:BA25"/>
    <mergeCell ref="BB25:BD25"/>
    <mergeCell ref="BE25:BG25"/>
    <mergeCell ref="BI25:BK25"/>
    <mergeCell ref="Q30:AK30"/>
    <mergeCell ref="AM30:BG30"/>
    <mergeCell ref="AF25:AH25"/>
    <mergeCell ref="AI25:AK25"/>
    <mergeCell ref="AM25:AO25"/>
    <mergeCell ref="AP25:AR25"/>
    <mergeCell ref="AS25:AU25"/>
    <mergeCell ref="AV25:AX25"/>
    <mergeCell ref="H25:P25"/>
    <mergeCell ref="Q25:S25"/>
    <mergeCell ref="T25:V25"/>
    <mergeCell ref="W25:Y25"/>
    <mergeCell ref="Z25:AB25"/>
    <mergeCell ref="AC25:AE25"/>
    <mergeCell ref="BI32:BK32"/>
    <mergeCell ref="H33:P33"/>
    <mergeCell ref="Q33:S33"/>
    <mergeCell ref="T33:V33"/>
    <mergeCell ref="W33:Y33"/>
    <mergeCell ref="Z33:AB33"/>
    <mergeCell ref="AC33:AE33"/>
    <mergeCell ref="AF33:AH33"/>
    <mergeCell ref="AI33:AK33"/>
    <mergeCell ref="AM33:AO33"/>
    <mergeCell ref="AP32:AR32"/>
    <mergeCell ref="AS32:AU32"/>
    <mergeCell ref="AV32:AX32"/>
    <mergeCell ref="AY32:BA32"/>
    <mergeCell ref="BB32:BD32"/>
    <mergeCell ref="BE32:BG32"/>
    <mergeCell ref="AV31:BA31"/>
    <mergeCell ref="BB31:BG31"/>
    <mergeCell ref="Q32:S32"/>
    <mergeCell ref="T32:V32"/>
    <mergeCell ref="W32:Y32"/>
    <mergeCell ref="Z32:AB32"/>
    <mergeCell ref="AC32:AE32"/>
    <mergeCell ref="AF32:AH32"/>
    <mergeCell ref="AI32:AK32"/>
    <mergeCell ref="AM32:AO32"/>
    <mergeCell ref="Q31:S31"/>
    <mergeCell ref="T31:Y31"/>
    <mergeCell ref="Z31:AE31"/>
    <mergeCell ref="AF31:AK31"/>
    <mergeCell ref="AM31:AO31"/>
    <mergeCell ref="AP31:AU31"/>
    <mergeCell ref="BI34:BK34"/>
    <mergeCell ref="H35:P35"/>
    <mergeCell ref="Q35:S35"/>
    <mergeCell ref="T35:V35"/>
    <mergeCell ref="W35:Y35"/>
    <mergeCell ref="Z35:AB35"/>
    <mergeCell ref="AC35:AE35"/>
    <mergeCell ref="AF35:AH35"/>
    <mergeCell ref="AI35:AK35"/>
    <mergeCell ref="AM35:AO35"/>
    <mergeCell ref="AP34:AR34"/>
    <mergeCell ref="AS34:AU34"/>
    <mergeCell ref="AV34:AX34"/>
    <mergeCell ref="AY34:BA34"/>
    <mergeCell ref="BB34:BD34"/>
    <mergeCell ref="BE34:BG34"/>
    <mergeCell ref="BI33:BK33"/>
    <mergeCell ref="H34:P34"/>
    <mergeCell ref="Q34:S34"/>
    <mergeCell ref="T34:V34"/>
    <mergeCell ref="W34:Y34"/>
    <mergeCell ref="Z34:AB34"/>
    <mergeCell ref="AC34:AE34"/>
    <mergeCell ref="AF34:AH34"/>
    <mergeCell ref="AI34:AK34"/>
    <mergeCell ref="AM34:AO34"/>
    <mergeCell ref="AP33:AR33"/>
    <mergeCell ref="AS33:AU33"/>
    <mergeCell ref="AV33:AX33"/>
    <mergeCell ref="AY33:BA33"/>
    <mergeCell ref="BB33:BD33"/>
    <mergeCell ref="BE33:BG33"/>
    <mergeCell ref="BI36:BK36"/>
    <mergeCell ref="H37:P37"/>
    <mergeCell ref="Q37:S37"/>
    <mergeCell ref="T37:V37"/>
    <mergeCell ref="W37:Y37"/>
    <mergeCell ref="Z37:AB37"/>
    <mergeCell ref="AC37:AE37"/>
    <mergeCell ref="AF37:AH37"/>
    <mergeCell ref="AI37:AK37"/>
    <mergeCell ref="AM37:AO37"/>
    <mergeCell ref="AP36:AR36"/>
    <mergeCell ref="AS36:AU36"/>
    <mergeCell ref="AV36:AX36"/>
    <mergeCell ref="AY36:BA36"/>
    <mergeCell ref="BB36:BD36"/>
    <mergeCell ref="BE36:BG36"/>
    <mergeCell ref="BI35:BK35"/>
    <mergeCell ref="H36:P36"/>
    <mergeCell ref="Q36:S36"/>
    <mergeCell ref="T36:V36"/>
    <mergeCell ref="W36:Y36"/>
    <mergeCell ref="Z36:AB36"/>
    <mergeCell ref="AC36:AE36"/>
    <mergeCell ref="AF36:AH36"/>
    <mergeCell ref="AI36:AK36"/>
    <mergeCell ref="AM36:AO36"/>
    <mergeCell ref="AP35:AR35"/>
    <mergeCell ref="AS35:AU35"/>
    <mergeCell ref="AV35:AX35"/>
    <mergeCell ref="AY35:BA35"/>
    <mergeCell ref="BB35:BD35"/>
    <mergeCell ref="BE35:BG35"/>
    <mergeCell ref="BI38:BK38"/>
    <mergeCell ref="H39:P39"/>
    <mergeCell ref="Q39:S39"/>
    <mergeCell ref="T39:V39"/>
    <mergeCell ref="W39:Y39"/>
    <mergeCell ref="Z39:AB39"/>
    <mergeCell ref="AC39:AE39"/>
    <mergeCell ref="AF39:AH39"/>
    <mergeCell ref="AI39:AK39"/>
    <mergeCell ref="AM39:AO39"/>
    <mergeCell ref="AP38:AR38"/>
    <mergeCell ref="AS38:AU38"/>
    <mergeCell ref="AV38:AX38"/>
    <mergeCell ref="AY38:BA38"/>
    <mergeCell ref="BB38:BD38"/>
    <mergeCell ref="BE38:BG38"/>
    <mergeCell ref="BI37:BK37"/>
    <mergeCell ref="H38:P38"/>
    <mergeCell ref="Q38:S38"/>
    <mergeCell ref="T38:V38"/>
    <mergeCell ref="W38:Y38"/>
    <mergeCell ref="Z38:AB38"/>
    <mergeCell ref="AC38:AE38"/>
    <mergeCell ref="AF38:AH38"/>
    <mergeCell ref="AI38:AK38"/>
    <mergeCell ref="AM38:AO38"/>
    <mergeCell ref="AP37:AR37"/>
    <mergeCell ref="AS37:AU37"/>
    <mergeCell ref="AV37:AX37"/>
    <mergeCell ref="AY37:BA37"/>
    <mergeCell ref="BB37:BD37"/>
    <mergeCell ref="BE37:BG37"/>
    <mergeCell ref="BI40:BK40"/>
    <mergeCell ref="H41:P41"/>
    <mergeCell ref="Q41:S41"/>
    <mergeCell ref="T41:V41"/>
    <mergeCell ref="W41:Y41"/>
    <mergeCell ref="Z41:AB41"/>
    <mergeCell ref="AC41:AE41"/>
    <mergeCell ref="AF41:AH41"/>
    <mergeCell ref="AI41:AK41"/>
    <mergeCell ref="AM41:AO41"/>
    <mergeCell ref="AP40:AR40"/>
    <mergeCell ref="AS40:AU40"/>
    <mergeCell ref="AV40:AX40"/>
    <mergeCell ref="AY40:BA40"/>
    <mergeCell ref="BB40:BD40"/>
    <mergeCell ref="BE40:BG40"/>
    <mergeCell ref="BI39:BK39"/>
    <mergeCell ref="H40:P40"/>
    <mergeCell ref="Q40:S40"/>
    <mergeCell ref="T40:V40"/>
    <mergeCell ref="W40:Y40"/>
    <mergeCell ref="Z40:AB40"/>
    <mergeCell ref="AC40:AE40"/>
    <mergeCell ref="AF40:AH40"/>
    <mergeCell ref="AI40:AK40"/>
    <mergeCell ref="AM40:AO40"/>
    <mergeCell ref="AP39:AR39"/>
    <mergeCell ref="AS39:AU39"/>
    <mergeCell ref="AV39:AX39"/>
    <mergeCell ref="AY39:BA39"/>
    <mergeCell ref="BB39:BD39"/>
    <mergeCell ref="BE39:BG39"/>
    <mergeCell ref="BI42:BK42"/>
    <mergeCell ref="H86:P86"/>
    <mergeCell ref="Q86:S86"/>
    <mergeCell ref="T86:V86"/>
    <mergeCell ref="W86:Y86"/>
    <mergeCell ref="Z86:AB86"/>
    <mergeCell ref="AC86:AE86"/>
    <mergeCell ref="AF86:AH86"/>
    <mergeCell ref="AI86:AK86"/>
    <mergeCell ref="AM86:AO86"/>
    <mergeCell ref="AP42:AR42"/>
    <mergeCell ref="AS42:AU42"/>
    <mergeCell ref="AV42:AX42"/>
    <mergeCell ref="AY42:BA42"/>
    <mergeCell ref="BB42:BD42"/>
    <mergeCell ref="BE42:BG42"/>
    <mergeCell ref="BI41:BK41"/>
    <mergeCell ref="H42:P42"/>
    <mergeCell ref="Q42:S42"/>
    <mergeCell ref="T42:V42"/>
    <mergeCell ref="W42:Y42"/>
    <mergeCell ref="Z42:AB42"/>
    <mergeCell ref="AC42:AE42"/>
    <mergeCell ref="AF42:AH42"/>
    <mergeCell ref="AI42:AK42"/>
    <mergeCell ref="AM42:AO42"/>
    <mergeCell ref="AP41:AR41"/>
    <mergeCell ref="AS41:AU41"/>
    <mergeCell ref="AV41:AX41"/>
    <mergeCell ref="AY41:BA41"/>
    <mergeCell ref="BB41:BD41"/>
    <mergeCell ref="BE41:BG41"/>
    <mergeCell ref="AV49:AX49"/>
    <mergeCell ref="AY49:BA49"/>
    <mergeCell ref="BB49:BD49"/>
    <mergeCell ref="BE49:BG49"/>
    <mergeCell ref="BI49:BK49"/>
    <mergeCell ref="BI86:BK86"/>
    <mergeCell ref="Q49:S49"/>
    <mergeCell ref="T49:V49"/>
    <mergeCell ref="W49:Y49"/>
    <mergeCell ref="Z49:AB49"/>
    <mergeCell ref="AC49:AE49"/>
    <mergeCell ref="AF49:AH49"/>
    <mergeCell ref="AI49:AK49"/>
    <mergeCell ref="AM49:AO49"/>
    <mergeCell ref="AP49:AR49"/>
    <mergeCell ref="AP86:AR86"/>
    <mergeCell ref="AS86:AU86"/>
    <mergeCell ref="AV86:AX86"/>
    <mergeCell ref="AY86:BA86"/>
    <mergeCell ref="BB86:BD86"/>
    <mergeCell ref="BE86:BG86"/>
    <mergeCell ref="BI51:BK51"/>
    <mergeCell ref="Q52:S52"/>
    <mergeCell ref="T52:V52"/>
    <mergeCell ref="W52:Y52"/>
    <mergeCell ref="Z52:AB52"/>
    <mergeCell ref="AC52:AE52"/>
    <mergeCell ref="AF52:AH52"/>
    <mergeCell ref="AI52:AK52"/>
    <mergeCell ref="AM52:AO52"/>
    <mergeCell ref="AM51:AO51"/>
    <mergeCell ref="AP51:AR51"/>
    <mergeCell ref="AS51:AU51"/>
    <mergeCell ref="AV51:AX51"/>
    <mergeCell ref="AY51:BA51"/>
    <mergeCell ref="BB51:BD51"/>
    <mergeCell ref="BB50:BD50"/>
    <mergeCell ref="BE50:BG50"/>
    <mergeCell ref="BI50:BK50"/>
    <mergeCell ref="Q51:S51"/>
    <mergeCell ref="T51:V51"/>
    <mergeCell ref="W51:Y51"/>
    <mergeCell ref="Z51:AB51"/>
    <mergeCell ref="AC51:AE51"/>
    <mergeCell ref="AF51:AH51"/>
    <mergeCell ref="AI51:AK51"/>
    <mergeCell ref="AI50:AK50"/>
    <mergeCell ref="AM50:AO50"/>
    <mergeCell ref="AP50:AR50"/>
    <mergeCell ref="AS50:AU50"/>
    <mergeCell ref="AV50:AX50"/>
    <mergeCell ref="AY50:BA50"/>
    <mergeCell ref="Q50:S50"/>
    <mergeCell ref="BI53:BK53"/>
    <mergeCell ref="BI52:BK52"/>
    <mergeCell ref="Q53:S53"/>
    <mergeCell ref="T53:V53"/>
    <mergeCell ref="W53:Y53"/>
    <mergeCell ref="Z53:AB53"/>
    <mergeCell ref="AC53:AE53"/>
    <mergeCell ref="AF53:AH53"/>
    <mergeCell ref="AI53:AK53"/>
    <mergeCell ref="AM53:AO53"/>
    <mergeCell ref="AP53:AR53"/>
    <mergeCell ref="AP52:AR52"/>
    <mergeCell ref="AS52:AU52"/>
    <mergeCell ref="AV52:AX52"/>
    <mergeCell ref="AY52:BA52"/>
    <mergeCell ref="BB52:BD52"/>
    <mergeCell ref="BE52:BG52"/>
    <mergeCell ref="AM48:AO48"/>
    <mergeCell ref="AP48:AU48"/>
    <mergeCell ref="AV48:BA48"/>
    <mergeCell ref="BB48:BG48"/>
    <mergeCell ref="H54:P54"/>
    <mergeCell ref="Q54:S54"/>
    <mergeCell ref="T54:V54"/>
    <mergeCell ref="W54:Y54"/>
    <mergeCell ref="Z54:AB54"/>
    <mergeCell ref="AC54:AE54"/>
    <mergeCell ref="H50:P50"/>
    <mergeCell ref="H51:P51"/>
    <mergeCell ref="H52:P52"/>
    <mergeCell ref="H53:P53"/>
    <mergeCell ref="Q47:AK47"/>
    <mergeCell ref="AM47:BG47"/>
    <mergeCell ref="Q48:S48"/>
    <mergeCell ref="T48:Y48"/>
    <mergeCell ref="Z48:AE48"/>
    <mergeCell ref="AF48:AK48"/>
    <mergeCell ref="AS53:AU53"/>
    <mergeCell ref="AV53:AX53"/>
    <mergeCell ref="AY53:BA53"/>
    <mergeCell ref="BB53:BD53"/>
    <mergeCell ref="BE53:BG53"/>
    <mergeCell ref="BE51:BG51"/>
    <mergeCell ref="T50:V50"/>
    <mergeCell ref="W50:Y50"/>
    <mergeCell ref="Z50:AB50"/>
    <mergeCell ref="AC50:AE50"/>
    <mergeCell ref="AF50:AH50"/>
    <mergeCell ref="AS49:AU49"/>
    <mergeCell ref="AY55:BA55"/>
    <mergeCell ref="BB55:BD55"/>
    <mergeCell ref="BE55:BG55"/>
    <mergeCell ref="BI55:BK55"/>
    <mergeCell ref="H56:P56"/>
    <mergeCell ref="Q56:S56"/>
    <mergeCell ref="T56:V56"/>
    <mergeCell ref="W56:Y56"/>
    <mergeCell ref="Z56:AB56"/>
    <mergeCell ref="AC56:AE56"/>
    <mergeCell ref="AF55:AH55"/>
    <mergeCell ref="AI55:AK55"/>
    <mergeCell ref="AM55:AO55"/>
    <mergeCell ref="AP55:AR55"/>
    <mergeCell ref="AS55:AU55"/>
    <mergeCell ref="AV55:AX55"/>
    <mergeCell ref="AY54:BA54"/>
    <mergeCell ref="BB54:BD54"/>
    <mergeCell ref="BE54:BG54"/>
    <mergeCell ref="BI54:BK54"/>
    <mergeCell ref="H55:P55"/>
    <mergeCell ref="Q55:S55"/>
    <mergeCell ref="T55:V55"/>
    <mergeCell ref="W55:Y55"/>
    <mergeCell ref="Z55:AB55"/>
    <mergeCell ref="AC55:AE55"/>
    <mergeCell ref="AF54:AH54"/>
    <mergeCell ref="AI54:AK54"/>
    <mergeCell ref="AM54:AO54"/>
    <mergeCell ref="AP54:AR54"/>
    <mergeCell ref="AS54:AU54"/>
    <mergeCell ref="AV54:AX54"/>
    <mergeCell ref="AY57:BA57"/>
    <mergeCell ref="BB57:BD57"/>
    <mergeCell ref="BE57:BG57"/>
    <mergeCell ref="BI57:BK57"/>
    <mergeCell ref="H58:P58"/>
    <mergeCell ref="Q58:S58"/>
    <mergeCell ref="T58:V58"/>
    <mergeCell ref="W58:Y58"/>
    <mergeCell ref="Z58:AB58"/>
    <mergeCell ref="AC58:AE58"/>
    <mergeCell ref="AF57:AH57"/>
    <mergeCell ref="AI57:AK57"/>
    <mergeCell ref="AM57:AO57"/>
    <mergeCell ref="AP57:AR57"/>
    <mergeCell ref="AS57:AU57"/>
    <mergeCell ref="AV57:AX57"/>
    <mergeCell ref="AY56:BA56"/>
    <mergeCell ref="BB56:BD56"/>
    <mergeCell ref="BE56:BG56"/>
    <mergeCell ref="BI56:BK56"/>
    <mergeCell ref="H57:P57"/>
    <mergeCell ref="Q57:S57"/>
    <mergeCell ref="T57:V57"/>
    <mergeCell ref="W57:Y57"/>
    <mergeCell ref="Z57:AB57"/>
    <mergeCell ref="AC57:AE57"/>
    <mergeCell ref="AF56:AH56"/>
    <mergeCell ref="AI56:AK56"/>
    <mergeCell ref="AM56:AO56"/>
    <mergeCell ref="AP56:AR56"/>
    <mergeCell ref="AS56:AU56"/>
    <mergeCell ref="AV56:AX56"/>
    <mergeCell ref="AY59:BA59"/>
    <mergeCell ref="BB59:BD59"/>
    <mergeCell ref="BE59:BG59"/>
    <mergeCell ref="BI59:BK59"/>
    <mergeCell ref="H60:P60"/>
    <mergeCell ref="Q60:S60"/>
    <mergeCell ref="T60:V60"/>
    <mergeCell ref="W60:Y60"/>
    <mergeCell ref="Z60:AB60"/>
    <mergeCell ref="AC60:AE60"/>
    <mergeCell ref="AF59:AH59"/>
    <mergeCell ref="AI59:AK59"/>
    <mergeCell ref="AM59:AO59"/>
    <mergeCell ref="AP59:AR59"/>
    <mergeCell ref="AS59:AU59"/>
    <mergeCell ref="AV59:AX59"/>
    <mergeCell ref="AY58:BA58"/>
    <mergeCell ref="BB58:BD58"/>
    <mergeCell ref="BE58:BG58"/>
    <mergeCell ref="BI58:BK58"/>
    <mergeCell ref="H59:P59"/>
    <mergeCell ref="Q59:S59"/>
    <mergeCell ref="T59:V59"/>
    <mergeCell ref="W59:Y59"/>
    <mergeCell ref="Z59:AB59"/>
    <mergeCell ref="AC59:AE59"/>
    <mergeCell ref="AF58:AH58"/>
    <mergeCell ref="AI58:AK58"/>
    <mergeCell ref="AM58:AO58"/>
    <mergeCell ref="AP58:AR58"/>
    <mergeCell ref="AS58:AU58"/>
    <mergeCell ref="AV58:AX58"/>
    <mergeCell ref="AY61:BA61"/>
    <mergeCell ref="BB61:BD61"/>
    <mergeCell ref="BE61:BG61"/>
    <mergeCell ref="BI61:BK61"/>
    <mergeCell ref="H62:P62"/>
    <mergeCell ref="Q62:S62"/>
    <mergeCell ref="T62:V62"/>
    <mergeCell ref="W62:Y62"/>
    <mergeCell ref="Z62:AB62"/>
    <mergeCell ref="AC62:AE62"/>
    <mergeCell ref="AF61:AH61"/>
    <mergeCell ref="AI61:AK61"/>
    <mergeCell ref="AM61:AO61"/>
    <mergeCell ref="AP61:AR61"/>
    <mergeCell ref="AS61:AU61"/>
    <mergeCell ref="AV61:AX61"/>
    <mergeCell ref="AY60:BA60"/>
    <mergeCell ref="BB60:BD60"/>
    <mergeCell ref="BE60:BG60"/>
    <mergeCell ref="BI60:BK60"/>
    <mergeCell ref="H61:P61"/>
    <mergeCell ref="Q61:S61"/>
    <mergeCell ref="T61:V61"/>
    <mergeCell ref="W61:Y61"/>
    <mergeCell ref="Z61:AB61"/>
    <mergeCell ref="AC61:AE61"/>
    <mergeCell ref="AF60:AH60"/>
    <mergeCell ref="AI60:AK60"/>
    <mergeCell ref="AM60:AO60"/>
    <mergeCell ref="AP60:AR60"/>
    <mergeCell ref="AS60:AU60"/>
    <mergeCell ref="AV60:AX60"/>
    <mergeCell ref="AY63:BA63"/>
    <mergeCell ref="BB63:BD63"/>
    <mergeCell ref="BE63:BG63"/>
    <mergeCell ref="BI63:BK63"/>
    <mergeCell ref="H64:P64"/>
    <mergeCell ref="Q64:S64"/>
    <mergeCell ref="T64:V64"/>
    <mergeCell ref="W64:Y64"/>
    <mergeCell ref="Z64:AB64"/>
    <mergeCell ref="AC64:AE64"/>
    <mergeCell ref="AF63:AH63"/>
    <mergeCell ref="AI63:AK63"/>
    <mergeCell ref="AM63:AO63"/>
    <mergeCell ref="AP63:AR63"/>
    <mergeCell ref="AS63:AU63"/>
    <mergeCell ref="AV63:AX63"/>
    <mergeCell ref="AY62:BA62"/>
    <mergeCell ref="BB62:BD62"/>
    <mergeCell ref="BE62:BG62"/>
    <mergeCell ref="BI62:BK62"/>
    <mergeCell ref="H63:P63"/>
    <mergeCell ref="Q63:S63"/>
    <mergeCell ref="T63:V63"/>
    <mergeCell ref="W63:Y63"/>
    <mergeCell ref="Z63:AB63"/>
    <mergeCell ref="AC63:AE63"/>
    <mergeCell ref="AF62:AH62"/>
    <mergeCell ref="AI62:AK62"/>
    <mergeCell ref="AM62:AO62"/>
    <mergeCell ref="AP62:AR62"/>
    <mergeCell ref="AS62:AU62"/>
    <mergeCell ref="AV62:AX62"/>
    <mergeCell ref="AY65:BA65"/>
    <mergeCell ref="BB65:BD65"/>
    <mergeCell ref="BE65:BG65"/>
    <mergeCell ref="BI65:BK65"/>
    <mergeCell ref="H66:P66"/>
    <mergeCell ref="Q66:S66"/>
    <mergeCell ref="T66:V66"/>
    <mergeCell ref="W66:Y66"/>
    <mergeCell ref="Z66:AB66"/>
    <mergeCell ref="AC66:AE66"/>
    <mergeCell ref="AF65:AH65"/>
    <mergeCell ref="AI65:AK65"/>
    <mergeCell ref="AM65:AO65"/>
    <mergeCell ref="AP65:AR65"/>
    <mergeCell ref="AS65:AU65"/>
    <mergeCell ref="AV65:AX65"/>
    <mergeCell ref="AY64:BA64"/>
    <mergeCell ref="BB64:BD64"/>
    <mergeCell ref="BE64:BG64"/>
    <mergeCell ref="BI64:BK64"/>
    <mergeCell ref="H65:P65"/>
    <mergeCell ref="Q65:S65"/>
    <mergeCell ref="T65:V65"/>
    <mergeCell ref="W65:Y65"/>
    <mergeCell ref="Z65:AB65"/>
    <mergeCell ref="AC65:AE65"/>
    <mergeCell ref="AF64:AH64"/>
    <mergeCell ref="AI64:AK64"/>
    <mergeCell ref="AM64:AO64"/>
    <mergeCell ref="AP64:AR64"/>
    <mergeCell ref="AS64:AU64"/>
    <mergeCell ref="AV64:AX64"/>
    <mergeCell ref="AY67:BA67"/>
    <mergeCell ref="BB67:BD67"/>
    <mergeCell ref="BE67:BG67"/>
    <mergeCell ref="BI67:BK67"/>
    <mergeCell ref="H68:P68"/>
    <mergeCell ref="Q68:S68"/>
    <mergeCell ref="T68:V68"/>
    <mergeCell ref="W68:Y68"/>
    <mergeCell ref="Z68:AB68"/>
    <mergeCell ref="AC68:AE68"/>
    <mergeCell ref="AF67:AH67"/>
    <mergeCell ref="AI67:AK67"/>
    <mergeCell ref="AM67:AO67"/>
    <mergeCell ref="AP67:AR67"/>
    <mergeCell ref="AS67:AU67"/>
    <mergeCell ref="AV67:AX67"/>
    <mergeCell ref="AY66:BA66"/>
    <mergeCell ref="BB66:BD66"/>
    <mergeCell ref="BE66:BG66"/>
    <mergeCell ref="BI66:BK66"/>
    <mergeCell ref="H67:P67"/>
    <mergeCell ref="Q67:S67"/>
    <mergeCell ref="T67:V67"/>
    <mergeCell ref="W67:Y67"/>
    <mergeCell ref="Z67:AB67"/>
    <mergeCell ref="AC67:AE67"/>
    <mergeCell ref="AF66:AH66"/>
    <mergeCell ref="AI66:AK66"/>
    <mergeCell ref="AM66:AO66"/>
    <mergeCell ref="AP66:AR66"/>
    <mergeCell ref="AS66:AU66"/>
    <mergeCell ref="AV66:AX66"/>
    <mergeCell ref="AY69:BA69"/>
    <mergeCell ref="BB69:BD69"/>
    <mergeCell ref="BE69:BG69"/>
    <mergeCell ref="BI69:BK69"/>
    <mergeCell ref="H70:P70"/>
    <mergeCell ref="Q70:S70"/>
    <mergeCell ref="T70:V70"/>
    <mergeCell ref="W70:Y70"/>
    <mergeCell ref="Z70:AB70"/>
    <mergeCell ref="AC70:AE70"/>
    <mergeCell ref="AF69:AH69"/>
    <mergeCell ref="AI69:AK69"/>
    <mergeCell ref="AM69:AO69"/>
    <mergeCell ref="AP69:AR69"/>
    <mergeCell ref="AS69:AU69"/>
    <mergeCell ref="AV69:AX69"/>
    <mergeCell ref="AY68:BA68"/>
    <mergeCell ref="BB68:BD68"/>
    <mergeCell ref="BE68:BG68"/>
    <mergeCell ref="BI68:BK68"/>
    <mergeCell ref="H69:P69"/>
    <mergeCell ref="Q69:S69"/>
    <mergeCell ref="T69:V69"/>
    <mergeCell ref="W69:Y69"/>
    <mergeCell ref="Z69:AB69"/>
    <mergeCell ref="AC69:AE69"/>
    <mergeCell ref="AF68:AH68"/>
    <mergeCell ref="AI68:AK68"/>
    <mergeCell ref="AM68:AO68"/>
    <mergeCell ref="AP68:AR68"/>
    <mergeCell ref="AS68:AU68"/>
    <mergeCell ref="AV68:AX68"/>
    <mergeCell ref="AY71:BA71"/>
    <mergeCell ref="BB71:BD71"/>
    <mergeCell ref="BE71:BG71"/>
    <mergeCell ref="BI71:BK71"/>
    <mergeCell ref="H72:P72"/>
    <mergeCell ref="Q72:S72"/>
    <mergeCell ref="T72:V72"/>
    <mergeCell ref="W72:Y72"/>
    <mergeCell ref="Z72:AB72"/>
    <mergeCell ref="AC72:AE72"/>
    <mergeCell ref="AF71:AH71"/>
    <mergeCell ref="AI71:AK71"/>
    <mergeCell ref="AM71:AO71"/>
    <mergeCell ref="AP71:AR71"/>
    <mergeCell ref="AS71:AU71"/>
    <mergeCell ref="AV71:AX71"/>
    <mergeCell ref="AY70:BA70"/>
    <mergeCell ref="BB70:BD70"/>
    <mergeCell ref="BE70:BG70"/>
    <mergeCell ref="BI70:BK70"/>
    <mergeCell ref="H71:P71"/>
    <mergeCell ref="Q71:S71"/>
    <mergeCell ref="T71:V71"/>
    <mergeCell ref="W71:Y71"/>
    <mergeCell ref="Z71:AB71"/>
    <mergeCell ref="AC71:AE71"/>
    <mergeCell ref="AF70:AH70"/>
    <mergeCell ref="AI70:AK70"/>
    <mergeCell ref="AM70:AO70"/>
    <mergeCell ref="AP70:AR70"/>
    <mergeCell ref="AS70:AU70"/>
    <mergeCell ref="AV70:AX70"/>
    <mergeCell ref="AY73:BA73"/>
    <mergeCell ref="BB73:BD73"/>
    <mergeCell ref="BE73:BG73"/>
    <mergeCell ref="BI73:BK73"/>
    <mergeCell ref="H74:P74"/>
    <mergeCell ref="Q74:S74"/>
    <mergeCell ref="T74:V74"/>
    <mergeCell ref="W74:Y74"/>
    <mergeCell ref="Z74:AB74"/>
    <mergeCell ref="AC74:AE74"/>
    <mergeCell ref="AF73:AH73"/>
    <mergeCell ref="AI73:AK73"/>
    <mergeCell ref="AM73:AO73"/>
    <mergeCell ref="AP73:AR73"/>
    <mergeCell ref="AS73:AU73"/>
    <mergeCell ref="AV73:AX73"/>
    <mergeCell ref="AY72:BA72"/>
    <mergeCell ref="BB72:BD72"/>
    <mergeCell ref="BE72:BG72"/>
    <mergeCell ref="BI72:BK72"/>
    <mergeCell ref="H73:P73"/>
    <mergeCell ref="Q73:S73"/>
    <mergeCell ref="T73:V73"/>
    <mergeCell ref="W73:Y73"/>
    <mergeCell ref="Z73:AB73"/>
    <mergeCell ref="AC73:AE73"/>
    <mergeCell ref="AF72:AH72"/>
    <mergeCell ref="AI72:AK72"/>
    <mergeCell ref="AM72:AO72"/>
    <mergeCell ref="AP72:AR72"/>
    <mergeCell ref="AS72:AU72"/>
    <mergeCell ref="AV72:AX72"/>
    <mergeCell ref="AY75:BA75"/>
    <mergeCell ref="BB75:BD75"/>
    <mergeCell ref="BE75:BG75"/>
    <mergeCell ref="BI75:BK75"/>
    <mergeCell ref="H76:P76"/>
    <mergeCell ref="Q76:S76"/>
    <mergeCell ref="T76:V76"/>
    <mergeCell ref="W76:Y76"/>
    <mergeCell ref="Z76:AB76"/>
    <mergeCell ref="AC76:AE76"/>
    <mergeCell ref="AF75:AH75"/>
    <mergeCell ref="AI75:AK75"/>
    <mergeCell ref="AM75:AO75"/>
    <mergeCell ref="AP75:AR75"/>
    <mergeCell ref="AS75:AU75"/>
    <mergeCell ref="AV75:AX75"/>
    <mergeCell ref="AY74:BA74"/>
    <mergeCell ref="BB74:BD74"/>
    <mergeCell ref="BE74:BG74"/>
    <mergeCell ref="BI74:BK74"/>
    <mergeCell ref="H75:P75"/>
    <mergeCell ref="Q75:S75"/>
    <mergeCell ref="T75:V75"/>
    <mergeCell ref="W75:Y75"/>
    <mergeCell ref="Z75:AB75"/>
    <mergeCell ref="AC75:AE75"/>
    <mergeCell ref="AF74:AH74"/>
    <mergeCell ref="AI74:AK74"/>
    <mergeCell ref="AM74:AO74"/>
    <mergeCell ref="AP74:AR74"/>
    <mergeCell ref="AS74:AU74"/>
    <mergeCell ref="AV74:AX74"/>
    <mergeCell ref="AY77:BA77"/>
    <mergeCell ref="BB77:BD77"/>
    <mergeCell ref="BE77:BG77"/>
    <mergeCell ref="BI77:BK77"/>
    <mergeCell ref="H78:P78"/>
    <mergeCell ref="Q78:S78"/>
    <mergeCell ref="T78:V78"/>
    <mergeCell ref="W78:Y78"/>
    <mergeCell ref="Z78:AB78"/>
    <mergeCell ref="AC78:AE78"/>
    <mergeCell ref="AF77:AH77"/>
    <mergeCell ref="AI77:AK77"/>
    <mergeCell ref="AM77:AO77"/>
    <mergeCell ref="AP77:AR77"/>
    <mergeCell ref="AS77:AU77"/>
    <mergeCell ref="AV77:AX77"/>
    <mergeCell ref="AY76:BA76"/>
    <mergeCell ref="BB76:BD76"/>
    <mergeCell ref="BE76:BG76"/>
    <mergeCell ref="BI76:BK76"/>
    <mergeCell ref="H77:P77"/>
    <mergeCell ref="Q77:S77"/>
    <mergeCell ref="T77:V77"/>
    <mergeCell ref="W77:Y77"/>
    <mergeCell ref="Z77:AB77"/>
    <mergeCell ref="AC77:AE77"/>
    <mergeCell ref="AF76:AH76"/>
    <mergeCell ref="AI76:AK76"/>
    <mergeCell ref="AM76:AO76"/>
    <mergeCell ref="AP76:AR76"/>
    <mergeCell ref="AS76:AU76"/>
    <mergeCell ref="AV76:AX76"/>
    <mergeCell ref="AY79:BA79"/>
    <mergeCell ref="BB79:BD79"/>
    <mergeCell ref="BE79:BG79"/>
    <mergeCell ref="BI79:BK79"/>
    <mergeCell ref="H80:P80"/>
    <mergeCell ref="Q80:S80"/>
    <mergeCell ref="T80:V80"/>
    <mergeCell ref="W80:Y80"/>
    <mergeCell ref="Z80:AB80"/>
    <mergeCell ref="AC80:AE80"/>
    <mergeCell ref="AF79:AH79"/>
    <mergeCell ref="AI79:AK79"/>
    <mergeCell ref="AM79:AO79"/>
    <mergeCell ref="AP79:AR79"/>
    <mergeCell ref="AS79:AU79"/>
    <mergeCell ref="AV79:AX79"/>
    <mergeCell ref="AY78:BA78"/>
    <mergeCell ref="BB78:BD78"/>
    <mergeCell ref="BE78:BG78"/>
    <mergeCell ref="BI78:BK78"/>
    <mergeCell ref="H79:P79"/>
    <mergeCell ref="Q79:S79"/>
    <mergeCell ref="T79:V79"/>
    <mergeCell ref="W79:Y79"/>
    <mergeCell ref="Z79:AB79"/>
    <mergeCell ref="AC79:AE79"/>
    <mergeCell ref="AF78:AH78"/>
    <mergeCell ref="AI78:AK78"/>
    <mergeCell ref="AM78:AO78"/>
    <mergeCell ref="AP78:AR78"/>
    <mergeCell ref="AS78:AU78"/>
    <mergeCell ref="AV78:AX78"/>
    <mergeCell ref="AY81:BA81"/>
    <mergeCell ref="BB81:BD81"/>
    <mergeCell ref="BE81:BG81"/>
    <mergeCell ref="BI81:BK81"/>
    <mergeCell ref="H82:P82"/>
    <mergeCell ref="Q82:S82"/>
    <mergeCell ref="T82:V82"/>
    <mergeCell ref="W82:Y82"/>
    <mergeCell ref="Z82:AB82"/>
    <mergeCell ref="AC82:AE82"/>
    <mergeCell ref="AF81:AH81"/>
    <mergeCell ref="AI81:AK81"/>
    <mergeCell ref="AM81:AO81"/>
    <mergeCell ref="AP81:AR81"/>
    <mergeCell ref="AS81:AU81"/>
    <mergeCell ref="AV81:AX81"/>
    <mergeCell ref="AY80:BA80"/>
    <mergeCell ref="BB80:BD80"/>
    <mergeCell ref="BE80:BG80"/>
    <mergeCell ref="BI80:BK80"/>
    <mergeCell ref="H81:P81"/>
    <mergeCell ref="Q81:S81"/>
    <mergeCell ref="T81:V81"/>
    <mergeCell ref="W81:Y81"/>
    <mergeCell ref="Z81:AB81"/>
    <mergeCell ref="AC81:AE81"/>
    <mergeCell ref="AF80:AH80"/>
    <mergeCell ref="AI80:AK80"/>
    <mergeCell ref="AM80:AO80"/>
    <mergeCell ref="AP80:AR80"/>
    <mergeCell ref="AS80:AU80"/>
    <mergeCell ref="AV80:AX80"/>
    <mergeCell ref="BB83:BD83"/>
    <mergeCell ref="BE83:BG83"/>
    <mergeCell ref="BI83:BK83"/>
    <mergeCell ref="H84:P84"/>
    <mergeCell ref="Q84:S84"/>
    <mergeCell ref="T84:V84"/>
    <mergeCell ref="W84:Y84"/>
    <mergeCell ref="Z84:AB84"/>
    <mergeCell ref="AC84:AE84"/>
    <mergeCell ref="AF83:AH83"/>
    <mergeCell ref="AI83:AK83"/>
    <mergeCell ref="AM83:AO83"/>
    <mergeCell ref="AP83:AR83"/>
    <mergeCell ref="AS83:AU83"/>
    <mergeCell ref="AV83:AX83"/>
    <mergeCell ref="AY82:BA82"/>
    <mergeCell ref="BB82:BD82"/>
    <mergeCell ref="BE82:BG82"/>
    <mergeCell ref="BI82:BK82"/>
    <mergeCell ref="H83:P83"/>
    <mergeCell ref="Q83:S83"/>
    <mergeCell ref="T83:V83"/>
    <mergeCell ref="W83:Y83"/>
    <mergeCell ref="Z83:AB83"/>
    <mergeCell ref="AC83:AE83"/>
    <mergeCell ref="AF82:AH82"/>
    <mergeCell ref="AI82:AK82"/>
    <mergeCell ref="AM82:AO82"/>
    <mergeCell ref="AP82:AR82"/>
    <mergeCell ref="AS82:AU82"/>
    <mergeCell ref="AV82:AX82"/>
    <mergeCell ref="H1:BK2"/>
    <mergeCell ref="H3:BK3"/>
    <mergeCell ref="H4:BK4"/>
    <mergeCell ref="AY85:BA85"/>
    <mergeCell ref="BB85:BD85"/>
    <mergeCell ref="BE85:BG85"/>
    <mergeCell ref="BI85:BK85"/>
    <mergeCell ref="H28:BK28"/>
    <mergeCell ref="H45:BK45"/>
    <mergeCell ref="AF85:AH85"/>
    <mergeCell ref="AI85:AK85"/>
    <mergeCell ref="AM85:AO85"/>
    <mergeCell ref="AP85:AR85"/>
    <mergeCell ref="AS85:AU85"/>
    <mergeCell ref="AV85:AX85"/>
    <mergeCell ref="AY84:BA84"/>
    <mergeCell ref="BB84:BD84"/>
    <mergeCell ref="BE84:BG84"/>
    <mergeCell ref="BI84:BK84"/>
    <mergeCell ref="H85:P85"/>
    <mergeCell ref="Q85:S85"/>
    <mergeCell ref="T85:V85"/>
    <mergeCell ref="W85:Y85"/>
    <mergeCell ref="Z85:AB85"/>
    <mergeCell ref="AC85:AE85"/>
    <mergeCell ref="AF84:AH84"/>
    <mergeCell ref="AI84:AK84"/>
    <mergeCell ref="AM84:AO84"/>
    <mergeCell ref="AP84:AR84"/>
    <mergeCell ref="AS84:AU84"/>
    <mergeCell ref="AV84:AX84"/>
    <mergeCell ref="AY83:BA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DAEAE-C766-49C3-8F12-133DFD2C95A3}">
  <sheetPr codeName="Sheet4">
    <tabColor theme="6"/>
  </sheetPr>
  <dimension ref="A1:AB146"/>
  <sheetViews>
    <sheetView zoomScale="82" zoomScaleNormal="82" workbookViewId="0"/>
  </sheetViews>
  <sheetFormatPr defaultRowHeight="15.6" x14ac:dyDescent="0.3"/>
  <cols>
    <col min="1" max="7" width="6.6640625" customWidth="1"/>
    <col min="8" max="8" width="64" customWidth="1"/>
    <col min="9" max="9" width="12.58203125" customWidth="1"/>
    <col min="10" max="17" width="22.58203125" customWidth="1"/>
    <col min="18" max="19" width="6.6640625" customWidth="1"/>
  </cols>
  <sheetData>
    <row r="1" spans="1:19" ht="30" customHeight="1" x14ac:dyDescent="0.3">
      <c r="A1" s="5"/>
      <c r="B1" s="5"/>
      <c r="C1" s="5"/>
      <c r="D1" s="5"/>
      <c r="E1" s="5"/>
      <c r="F1" s="5"/>
      <c r="G1" s="5"/>
      <c r="H1" s="293" t="s">
        <v>1020</v>
      </c>
      <c r="I1" s="293"/>
      <c r="J1" s="293"/>
      <c r="K1" s="293"/>
      <c r="L1" s="293"/>
      <c r="M1" s="293"/>
      <c r="N1" s="293"/>
      <c r="O1" s="293"/>
      <c r="P1" s="293"/>
      <c r="Q1" s="293"/>
      <c r="R1" s="5"/>
      <c r="S1" s="5"/>
    </row>
    <row r="2" spans="1:19" ht="30" customHeight="1" x14ac:dyDescent="0.3">
      <c r="A2" s="5"/>
      <c r="B2" s="5"/>
      <c r="C2" s="5"/>
      <c r="D2" s="5"/>
      <c r="E2" s="5"/>
      <c r="F2" s="5"/>
      <c r="G2" s="5"/>
      <c r="H2" s="293"/>
      <c r="I2" s="293"/>
      <c r="J2" s="293"/>
      <c r="K2" s="293"/>
      <c r="L2" s="293"/>
      <c r="M2" s="293"/>
      <c r="N2" s="293"/>
      <c r="O2" s="293"/>
      <c r="P2" s="293"/>
      <c r="Q2" s="293"/>
      <c r="R2" s="5"/>
      <c r="S2" s="5"/>
    </row>
    <row r="3" spans="1:19" ht="30" customHeight="1" x14ac:dyDescent="0.3">
      <c r="A3" s="5"/>
      <c r="B3" s="5"/>
      <c r="C3" s="5"/>
      <c r="D3" s="5"/>
      <c r="E3" s="5"/>
      <c r="F3" s="5"/>
      <c r="G3" s="5"/>
      <c r="H3" s="776" t="s">
        <v>1019</v>
      </c>
      <c r="I3" s="776"/>
      <c r="J3" s="776"/>
      <c r="K3" s="776"/>
      <c r="L3" s="776"/>
      <c r="M3" s="776"/>
      <c r="N3" s="776"/>
      <c r="O3" s="776"/>
      <c r="P3" s="776"/>
      <c r="Q3" s="776"/>
      <c r="R3" s="5"/>
      <c r="S3" s="5"/>
    </row>
    <row r="4" spans="1:19" ht="30" customHeight="1" x14ac:dyDescent="0.3">
      <c r="A4" s="5"/>
      <c r="B4" s="5"/>
      <c r="C4" s="5"/>
      <c r="D4" s="5"/>
      <c r="E4" s="5"/>
      <c r="F4" s="5"/>
      <c r="G4" s="5"/>
      <c r="H4" s="777" t="s">
        <v>1209</v>
      </c>
      <c r="I4" s="777"/>
      <c r="J4" s="777"/>
      <c r="K4" s="777"/>
      <c r="L4" s="777"/>
      <c r="M4" s="777"/>
      <c r="N4" s="777"/>
      <c r="O4" s="777"/>
      <c r="P4" s="777"/>
      <c r="Q4" s="777"/>
      <c r="R4" s="5"/>
      <c r="S4" s="5"/>
    </row>
    <row r="5" spans="1:19" ht="30" customHeight="1" x14ac:dyDescent="0.3">
      <c r="A5" s="5"/>
      <c r="B5" s="5"/>
      <c r="C5" s="5"/>
      <c r="D5" s="5"/>
      <c r="E5" s="5"/>
      <c r="F5" s="5"/>
      <c r="G5" s="5"/>
      <c r="H5" s="778"/>
      <c r="I5" s="778"/>
      <c r="J5" s="778"/>
      <c r="K5" s="778"/>
      <c r="L5" s="778"/>
      <c r="M5" s="778"/>
      <c r="N5" s="778"/>
      <c r="O5" s="778"/>
      <c r="P5" s="778"/>
      <c r="Q5" s="778"/>
      <c r="R5" s="5"/>
      <c r="S5" s="5"/>
    </row>
    <row r="6" spans="1:19" ht="30" customHeight="1" x14ac:dyDescent="0.3">
      <c r="A6" s="5"/>
      <c r="B6" s="5"/>
      <c r="C6" s="5"/>
      <c r="D6" s="5"/>
      <c r="E6" s="5"/>
      <c r="F6" s="5"/>
      <c r="G6" s="5"/>
      <c r="H6" s="771" t="s">
        <v>116</v>
      </c>
      <c r="I6" s="772"/>
      <c r="J6" s="772"/>
      <c r="K6" s="772"/>
      <c r="L6" s="772"/>
      <c r="M6" s="772"/>
      <c r="N6" s="772"/>
      <c r="O6" s="772"/>
      <c r="P6" s="772"/>
      <c r="Q6" s="773"/>
      <c r="R6" s="5"/>
      <c r="S6" s="5"/>
    </row>
    <row r="7" spans="1:19" ht="54" customHeight="1" thickBot="1" x14ac:dyDescent="0.35">
      <c r="A7" s="5"/>
      <c r="B7" s="5"/>
      <c r="C7" s="5"/>
      <c r="D7" s="5"/>
      <c r="E7" s="5"/>
      <c r="F7" s="5"/>
      <c r="G7" s="5"/>
      <c r="H7" s="121" t="s">
        <v>1021</v>
      </c>
      <c r="I7" s="122" t="s">
        <v>59</v>
      </c>
      <c r="J7" s="123" t="s">
        <v>1022</v>
      </c>
      <c r="K7" s="123" t="s">
        <v>1023</v>
      </c>
      <c r="L7" s="123" t="s">
        <v>159</v>
      </c>
      <c r="M7" s="123" t="s">
        <v>67</v>
      </c>
      <c r="N7" s="124" t="s">
        <v>1024</v>
      </c>
      <c r="O7" s="124" t="s">
        <v>1025</v>
      </c>
      <c r="P7" s="124" t="s">
        <v>1026</v>
      </c>
      <c r="Q7" s="124" t="s">
        <v>1027</v>
      </c>
      <c r="R7" s="5"/>
      <c r="S7" s="5"/>
    </row>
    <row r="8" spans="1:19" ht="30" customHeight="1" x14ac:dyDescent="0.3">
      <c r="A8" s="5"/>
      <c r="B8" s="5"/>
      <c r="C8" s="5"/>
      <c r="D8" s="5"/>
      <c r="E8" s="5"/>
      <c r="F8" s="5"/>
      <c r="G8" s="5"/>
      <c r="H8" s="16" t="s">
        <v>28</v>
      </c>
      <c r="I8" s="12">
        <v>30</v>
      </c>
      <c r="J8" s="13">
        <f t="shared" ref="J8:P8" si="0">SUM(J9,J10,J11,J12)</f>
        <v>0</v>
      </c>
      <c r="K8" s="13">
        <f t="shared" si="0"/>
        <v>18857</v>
      </c>
      <c r="L8" s="13">
        <f t="shared" si="0"/>
        <v>14917</v>
      </c>
      <c r="M8" s="13">
        <f t="shared" si="0"/>
        <v>33774</v>
      </c>
      <c r="N8" s="13">
        <f t="shared" si="0"/>
        <v>937</v>
      </c>
      <c r="O8" s="13">
        <f t="shared" si="0"/>
        <v>2551</v>
      </c>
      <c r="P8" s="13">
        <f t="shared" si="0"/>
        <v>2551</v>
      </c>
      <c r="Q8" s="14">
        <v>761.67</v>
      </c>
      <c r="R8" s="5"/>
      <c r="S8" s="5"/>
    </row>
    <row r="9" spans="1:19" ht="30" customHeight="1" x14ac:dyDescent="0.3">
      <c r="A9" s="5"/>
      <c r="B9" s="5"/>
      <c r="C9" s="5"/>
      <c r="D9" s="5"/>
      <c r="E9" s="5"/>
      <c r="F9" s="5"/>
      <c r="G9" s="5"/>
      <c r="H9" s="114" t="s">
        <v>1048</v>
      </c>
      <c r="I9" s="115">
        <v>101</v>
      </c>
      <c r="J9" s="19">
        <v>0</v>
      </c>
      <c r="K9" s="19">
        <v>4742</v>
      </c>
      <c r="L9" s="19">
        <v>14488</v>
      </c>
      <c r="M9" s="19">
        <f>SUM(FTSEHRI[[#This Row],[Undergraduate]],FTSEHRI[[#This Row],[Master''s¹]],FTSEHRI[[#This Row],[Doctoral]])</f>
        <v>19230</v>
      </c>
      <c r="N9" s="19">
        <v>0</v>
      </c>
      <c r="O9" s="19">
        <f>ROUND(SUM(FTSEHRI[[#This Row],[Undergraduate]]/30,FTSEHRI[[#This Row],[Master''s¹]]/24,FTSEHRI[[#This Row],[Doctoral]]/18,FTSEHRI[[#This Row],[Prof &amp; Special-Prof Headcount]]),0)</f>
        <v>1002</v>
      </c>
      <c r="P9" s="19">
        <v>1002</v>
      </c>
      <c r="Q9" s="116"/>
      <c r="R9" s="5"/>
      <c r="S9" s="5"/>
    </row>
    <row r="10" spans="1:19" ht="30" customHeight="1" x14ac:dyDescent="0.3">
      <c r="A10" s="5"/>
      <c r="B10" s="5"/>
      <c r="C10" s="5"/>
      <c r="D10" s="5"/>
      <c r="E10" s="5"/>
      <c r="F10" s="5"/>
      <c r="G10" s="5"/>
      <c r="H10" s="117" t="s">
        <v>1049</v>
      </c>
      <c r="I10" s="118">
        <v>892</v>
      </c>
      <c r="J10" s="119">
        <v>0</v>
      </c>
      <c r="K10" s="119">
        <v>2120</v>
      </c>
      <c r="L10" s="119">
        <v>230</v>
      </c>
      <c r="M10" s="119">
        <f>SUM(FTSEHRI[[#This Row],[Undergraduate]],FTSEHRI[[#This Row],[Master''s¹]],FTSEHRI[[#This Row],[Doctoral]])</f>
        <v>2350</v>
      </c>
      <c r="N10" s="119">
        <v>0</v>
      </c>
      <c r="O10" s="119">
        <f>ROUND(SUM(FTSEHRI[[#This Row],[Undergraduate]]/30,FTSEHRI[[#This Row],[Master''s¹]]/24,FTSEHRI[[#This Row],[Doctoral]]/18,FTSEHRI[[#This Row],[Prof &amp; Special-Prof Headcount]]),0)</f>
        <v>101</v>
      </c>
      <c r="P10" s="119">
        <v>101</v>
      </c>
      <c r="Q10" s="120"/>
      <c r="R10" s="5"/>
      <c r="S10" s="5"/>
    </row>
    <row r="11" spans="1:19" ht="30" customHeight="1" x14ac:dyDescent="0.3">
      <c r="A11" s="5"/>
      <c r="B11" s="5"/>
      <c r="C11" s="5"/>
      <c r="D11" s="5"/>
      <c r="E11" s="5"/>
      <c r="F11" s="5"/>
      <c r="G11" s="5"/>
      <c r="H11" s="114" t="s">
        <v>1050</v>
      </c>
      <c r="I11" s="115">
        <v>3660</v>
      </c>
      <c r="J11" s="19">
        <v>0</v>
      </c>
      <c r="K11" s="19">
        <v>0</v>
      </c>
      <c r="L11" s="19">
        <v>0</v>
      </c>
      <c r="M11" s="19">
        <f>SUM(FTSEHRI[[#This Row],[Undergraduate]],FTSEHRI[[#This Row],[Master''s¹]],FTSEHRI[[#This Row],[Doctoral]])</f>
        <v>0</v>
      </c>
      <c r="N11" s="19">
        <v>937</v>
      </c>
      <c r="O11" s="19">
        <f>ROUND(SUM(FTSEHRI[[#This Row],[Undergraduate]]/30,FTSEHRI[[#This Row],[Master''s¹]]/24,FTSEHRI[[#This Row],[Doctoral]]/18,FTSEHRI[[#This Row],[Prof &amp; Special-Prof Headcount]]),0)</f>
        <v>937</v>
      </c>
      <c r="P11" s="19">
        <v>937</v>
      </c>
      <c r="Q11" s="116"/>
      <c r="R11" s="5"/>
      <c r="S11" s="5"/>
    </row>
    <row r="12" spans="1:19" ht="30" customHeight="1" x14ac:dyDescent="0.3">
      <c r="A12" s="5"/>
      <c r="B12" s="5"/>
      <c r="C12" s="5"/>
      <c r="D12" s="5"/>
      <c r="E12" s="5"/>
      <c r="F12" s="5"/>
      <c r="G12" s="5"/>
      <c r="H12" s="117" t="s">
        <v>1051</v>
      </c>
      <c r="I12" s="118">
        <v>10019</v>
      </c>
      <c r="J12" s="119">
        <v>0</v>
      </c>
      <c r="K12" s="119">
        <v>11995</v>
      </c>
      <c r="L12" s="119">
        <v>199</v>
      </c>
      <c r="M12" s="119">
        <f>SUM(FTSEHRI[[#This Row],[Undergraduate]],FTSEHRI[[#This Row],[Master''s¹]],FTSEHRI[[#This Row],[Doctoral]])</f>
        <v>12194</v>
      </c>
      <c r="N12" s="119">
        <v>0</v>
      </c>
      <c r="O12" s="119">
        <f>ROUND(SUM(FTSEHRI[[#This Row],[Undergraduate]]/30,FTSEHRI[[#This Row],[Master''s¹]]/24,FTSEHRI[[#This Row],[Doctoral]]/18,FTSEHRI[[#This Row],[Prof &amp; Special-Prof Headcount]]),0)</f>
        <v>511</v>
      </c>
      <c r="P12" s="119">
        <v>511</v>
      </c>
      <c r="Q12" s="120"/>
      <c r="R12" s="5"/>
      <c r="S12" s="5"/>
    </row>
    <row r="13" spans="1:19" ht="30" customHeight="1" x14ac:dyDescent="0.3">
      <c r="A13" s="5"/>
      <c r="B13" s="5"/>
      <c r="C13" s="5"/>
      <c r="D13" s="5"/>
      <c r="E13" s="5"/>
      <c r="F13" s="5"/>
      <c r="G13" s="5"/>
      <c r="H13" s="16" t="s">
        <v>30</v>
      </c>
      <c r="I13" s="12">
        <v>104952</v>
      </c>
      <c r="J13" s="13">
        <f t="shared" ref="J13:P13" si="1">SUM(J14,J15,J16,J17,J18)</f>
        <v>22088</v>
      </c>
      <c r="K13" s="13">
        <f t="shared" si="1"/>
        <v>41145</v>
      </c>
      <c r="L13" s="13">
        <f t="shared" si="1"/>
        <v>5412</v>
      </c>
      <c r="M13" s="13">
        <f t="shared" si="1"/>
        <v>68645</v>
      </c>
      <c r="N13" s="13">
        <f t="shared" si="1"/>
        <v>941</v>
      </c>
      <c r="O13" s="13">
        <f t="shared" si="1"/>
        <v>3693</v>
      </c>
      <c r="P13" s="13">
        <f t="shared" si="1"/>
        <v>3678</v>
      </c>
      <c r="Q13" s="14">
        <v>230.3</v>
      </c>
      <c r="R13" s="5"/>
      <c r="S13" s="5"/>
    </row>
    <row r="14" spans="1:19" ht="30" customHeight="1" x14ac:dyDescent="0.3">
      <c r="A14" s="5"/>
      <c r="B14" s="5"/>
      <c r="C14" s="5"/>
      <c r="D14" s="5"/>
      <c r="E14" s="5"/>
      <c r="F14" s="5"/>
      <c r="G14" s="5"/>
      <c r="H14" s="114" t="s">
        <v>1048</v>
      </c>
      <c r="I14" s="115">
        <v>401</v>
      </c>
      <c r="J14" s="19">
        <v>0</v>
      </c>
      <c r="K14" s="19">
        <v>997</v>
      </c>
      <c r="L14" s="19">
        <v>4361</v>
      </c>
      <c r="M14" s="19">
        <v>5358</v>
      </c>
      <c r="N14" s="19">
        <v>0</v>
      </c>
      <c r="O14" s="19">
        <f>ROUND(SUM(FTSEHRI[[#This Row],[Undergraduate]]/30,FTSEHRI[[#This Row],[Master''s¹]]/24,FTSEHRI[[#This Row],[Doctoral]]/18,FTSEHRI[[#This Row],[Prof &amp; Special-Prof Headcount]]),0)</f>
        <v>284</v>
      </c>
      <c r="P14" s="19">
        <v>278</v>
      </c>
      <c r="Q14" s="116"/>
      <c r="R14" s="5"/>
      <c r="S14" s="5"/>
    </row>
    <row r="15" spans="1:19" ht="30" customHeight="1" x14ac:dyDescent="0.3">
      <c r="A15" s="5"/>
      <c r="B15" s="5"/>
      <c r="C15" s="5"/>
      <c r="D15" s="5"/>
      <c r="E15" s="5"/>
      <c r="F15" s="5"/>
      <c r="G15" s="5"/>
      <c r="H15" s="117" t="s">
        <v>1052</v>
      </c>
      <c r="I15" s="118">
        <v>402</v>
      </c>
      <c r="J15" s="119">
        <v>20845</v>
      </c>
      <c r="K15" s="119">
        <v>7941</v>
      </c>
      <c r="L15" s="119">
        <v>484</v>
      </c>
      <c r="M15" s="119">
        <v>29270</v>
      </c>
      <c r="N15" s="119">
        <v>0</v>
      </c>
      <c r="O15" s="119">
        <f>ROUND(SUM(FTSEHRI[[#This Row],[Undergraduate]]/30,FTSEHRI[[#This Row],[Master''s¹]]/24,FTSEHRI[[#This Row],[Doctoral]]/18,FTSEHRI[[#This Row],[Prof &amp; Special-Prof Headcount]]),0)</f>
        <v>1053</v>
      </c>
      <c r="P15" s="119">
        <v>1052</v>
      </c>
      <c r="Q15" s="120"/>
      <c r="R15" s="5"/>
      <c r="S15" s="5"/>
    </row>
    <row r="16" spans="1:19" ht="30" customHeight="1" x14ac:dyDescent="0.3">
      <c r="A16" s="5"/>
      <c r="B16" s="5"/>
      <c r="C16" s="5"/>
      <c r="D16" s="5"/>
      <c r="E16" s="5"/>
      <c r="F16" s="5"/>
      <c r="G16" s="5"/>
      <c r="H16" s="114" t="s">
        <v>1051</v>
      </c>
      <c r="I16" s="115">
        <v>403</v>
      </c>
      <c r="J16" s="19">
        <v>1243</v>
      </c>
      <c r="K16" s="19">
        <v>30884</v>
      </c>
      <c r="L16" s="19">
        <v>0</v>
      </c>
      <c r="M16" s="19">
        <v>32127</v>
      </c>
      <c r="N16" s="19">
        <v>0</v>
      </c>
      <c r="O16" s="19">
        <f>ROUND(SUM(FTSEHRI[[#This Row],[Undergraduate]]/30,FTSEHRI[[#This Row],[Master''s¹]]/24,FTSEHRI[[#This Row],[Doctoral]]/18,FTSEHRI[[#This Row],[Prof &amp; Special-Prof Headcount]]),0)</f>
        <v>1328</v>
      </c>
      <c r="P16" s="19">
        <v>1321</v>
      </c>
      <c r="Q16" s="116"/>
      <c r="R16" s="5"/>
      <c r="S16" s="5"/>
    </row>
    <row r="17" spans="1:19" ht="30" customHeight="1" x14ac:dyDescent="0.3">
      <c r="A17" s="5"/>
      <c r="B17" s="5"/>
      <c r="C17" s="5"/>
      <c r="D17" s="5"/>
      <c r="E17" s="5"/>
      <c r="F17" s="5"/>
      <c r="G17" s="5"/>
      <c r="H17" s="117" t="s">
        <v>1053</v>
      </c>
      <c r="I17" s="118">
        <v>425</v>
      </c>
      <c r="J17" s="119">
        <v>0</v>
      </c>
      <c r="K17" s="119">
        <v>1323</v>
      </c>
      <c r="L17" s="119">
        <v>567</v>
      </c>
      <c r="M17" s="119">
        <f>SUM(FTSEHRI[[#This Row],[Undergraduate]],FTSEHRI[[#This Row],[Master''s¹]],FTSEHRI[[#This Row],[Doctoral]])</f>
        <v>1890</v>
      </c>
      <c r="N17" s="119">
        <v>0</v>
      </c>
      <c r="O17" s="119">
        <f>ROUND(SUM(FTSEHRI[[#This Row],[Undergraduate]]/30,FTSEHRI[[#This Row],[Master''s¹]]/24,FTSEHRI[[#This Row],[Doctoral]]/18,FTSEHRI[[#This Row],[Prof &amp; Special-Prof Headcount]]),0)</f>
        <v>87</v>
      </c>
      <c r="P17" s="119">
        <v>86</v>
      </c>
      <c r="Q17" s="120"/>
      <c r="R17" s="5"/>
      <c r="S17" s="5"/>
    </row>
    <row r="18" spans="1:19" ht="30" customHeight="1" x14ac:dyDescent="0.3">
      <c r="A18" s="5"/>
      <c r="B18" s="5"/>
      <c r="C18" s="5"/>
      <c r="D18" s="5"/>
      <c r="E18" s="5"/>
      <c r="F18" s="5"/>
      <c r="G18" s="5"/>
      <c r="H18" s="114" t="s">
        <v>1054</v>
      </c>
      <c r="I18" s="115">
        <v>4952</v>
      </c>
      <c r="J18" s="19">
        <v>0</v>
      </c>
      <c r="K18" s="19">
        <v>0</v>
      </c>
      <c r="L18" s="19">
        <v>0</v>
      </c>
      <c r="M18" s="19">
        <f>SUM(FTSEHRI[[#This Row],[Undergraduate]],FTSEHRI[[#This Row],[Master''s¹]],FTSEHRI[[#This Row],[Doctoral]])</f>
        <v>0</v>
      </c>
      <c r="N18" s="19">
        <v>941</v>
      </c>
      <c r="O18" s="19">
        <f>ROUND(SUM(FTSEHRI[[#This Row],[Undergraduate]]/30,FTSEHRI[[#This Row],[Master''s¹]]/24,FTSEHRI[[#This Row],[Doctoral]]/18,FTSEHRI[[#This Row],[Prof &amp; Special-Prof Headcount]]),0)</f>
        <v>941</v>
      </c>
      <c r="P18" s="19">
        <v>941</v>
      </c>
      <c r="Q18" s="116"/>
      <c r="R18" s="5"/>
      <c r="S18" s="5"/>
    </row>
    <row r="19" spans="1:19" ht="30" customHeight="1" x14ac:dyDescent="0.3">
      <c r="A19" s="5"/>
      <c r="B19" s="5"/>
      <c r="C19" s="5"/>
      <c r="D19" s="5"/>
      <c r="E19" s="5"/>
      <c r="F19" s="5"/>
      <c r="G19" s="5"/>
      <c r="H19" s="16" t="s">
        <v>31</v>
      </c>
      <c r="I19" s="12">
        <v>11618</v>
      </c>
      <c r="J19" s="13">
        <f>SUM(J20,J21,J22,J23,J24,J25,J26,J27,J28)</f>
        <v>18549</v>
      </c>
      <c r="K19" s="13">
        <f t="shared" ref="K19:P19" si="2">SUM(K20,K21,K22,K23,K24,K25,K26,K27,K28)</f>
        <v>37889</v>
      </c>
      <c r="L19" s="13">
        <f t="shared" si="2"/>
        <v>18558</v>
      </c>
      <c r="M19" s="13">
        <f t="shared" si="2"/>
        <v>74996</v>
      </c>
      <c r="N19" s="13">
        <f t="shared" si="2"/>
        <v>1506</v>
      </c>
      <c r="O19" s="13">
        <f t="shared" si="2"/>
        <v>4733</v>
      </c>
      <c r="P19" s="13">
        <f t="shared" si="2"/>
        <v>4684</v>
      </c>
      <c r="Q19" s="14">
        <v>330.59</v>
      </c>
      <c r="R19" s="5"/>
      <c r="S19" s="5"/>
    </row>
    <row r="20" spans="1:19" ht="30" customHeight="1" x14ac:dyDescent="0.3">
      <c r="A20" s="5"/>
      <c r="B20" s="5"/>
      <c r="C20" s="5"/>
      <c r="D20" s="5"/>
      <c r="E20" s="5"/>
      <c r="F20" s="5"/>
      <c r="G20" s="5"/>
      <c r="H20" s="114" t="s">
        <v>1052</v>
      </c>
      <c r="I20" s="115">
        <v>201</v>
      </c>
      <c r="J20" s="19">
        <v>16622</v>
      </c>
      <c r="K20" s="19">
        <v>13755</v>
      </c>
      <c r="L20" s="19">
        <v>521</v>
      </c>
      <c r="M20" s="19">
        <f>SUM(FTSEHRI[[#This Row],[Undergraduate]],FTSEHRI[[#This Row],[Master''s¹]],FTSEHRI[[#This Row],[Doctoral]])</f>
        <v>30898</v>
      </c>
      <c r="N20" s="19">
        <v>0</v>
      </c>
      <c r="O20" s="19">
        <f>ROUND(SUM(FTSEHRI[[#This Row],[Undergraduate]]/30,FTSEHRI[[#This Row],[Master''s¹]]/24,FTSEHRI[[#This Row],[Doctoral]]/18,FTSEHRI[[#This Row],[Prof &amp; Special-Prof Headcount]]),0)</f>
        <v>1156</v>
      </c>
      <c r="P20" s="19">
        <v>1154</v>
      </c>
      <c r="Q20" s="116"/>
      <c r="R20" s="5"/>
      <c r="S20" s="5"/>
    </row>
    <row r="21" spans="1:19" ht="30" customHeight="1" x14ac:dyDescent="0.3">
      <c r="A21" s="5"/>
      <c r="B21" s="5"/>
      <c r="C21" s="5"/>
      <c r="D21" s="5"/>
      <c r="E21" s="5"/>
      <c r="F21" s="5"/>
      <c r="G21" s="5"/>
      <c r="H21" s="117" t="s">
        <v>1055</v>
      </c>
      <c r="I21" s="118">
        <v>203</v>
      </c>
      <c r="J21" s="119">
        <v>0</v>
      </c>
      <c r="K21" s="119">
        <v>4514</v>
      </c>
      <c r="L21" s="119">
        <v>797</v>
      </c>
      <c r="M21" s="119">
        <f>SUM(FTSEHRI[[#This Row],[Undergraduate]],FTSEHRI[[#This Row],[Master''s¹]],FTSEHRI[[#This Row],[Doctoral]])</f>
        <v>5311</v>
      </c>
      <c r="N21" s="119">
        <v>0</v>
      </c>
      <c r="O21" s="119">
        <f>ROUND(SUM(FTSEHRI[[#This Row],[Undergraduate]]/30,FTSEHRI[[#This Row],[Master''s¹]]/24,FTSEHRI[[#This Row],[Doctoral]]/18,FTSEHRI[[#This Row],[Prof &amp; Special-Prof Headcount]]),0)</f>
        <v>232</v>
      </c>
      <c r="P21" s="119">
        <v>232</v>
      </c>
      <c r="Q21" s="120"/>
      <c r="R21" s="5"/>
      <c r="S21" s="5"/>
    </row>
    <row r="22" spans="1:19" ht="30" customHeight="1" x14ac:dyDescent="0.3">
      <c r="A22" s="5"/>
      <c r="B22" s="5"/>
      <c r="C22" s="5"/>
      <c r="D22" s="5"/>
      <c r="E22" s="5"/>
      <c r="F22" s="5"/>
      <c r="G22" s="5"/>
      <c r="H22" s="114" t="s">
        <v>1056</v>
      </c>
      <c r="I22" s="115">
        <v>410</v>
      </c>
      <c r="J22" s="19">
        <v>1927</v>
      </c>
      <c r="K22" s="19">
        <v>45</v>
      </c>
      <c r="L22" s="19">
        <v>0</v>
      </c>
      <c r="M22" s="19">
        <f>SUM(FTSEHRI[[#This Row],[Undergraduate]],FTSEHRI[[#This Row],[Master''s¹]],FTSEHRI[[#This Row],[Doctoral]])</f>
        <v>1972</v>
      </c>
      <c r="N22" s="19">
        <v>0</v>
      </c>
      <c r="O22" s="19">
        <f>ROUND(SUM(FTSEHRI[[#This Row],[Undergraduate]]/30,FTSEHRI[[#This Row],[Master''s¹]]/24,FTSEHRI[[#This Row],[Doctoral]]/18,FTSEHRI[[#This Row],[Prof &amp; Special-Prof Headcount]]),0)</f>
        <v>66</v>
      </c>
      <c r="P22" s="19">
        <v>65</v>
      </c>
      <c r="Q22" s="116"/>
      <c r="R22" s="5"/>
      <c r="S22" s="5"/>
    </row>
    <row r="23" spans="1:19" ht="30" customHeight="1" x14ac:dyDescent="0.3">
      <c r="A23" s="5"/>
      <c r="B23" s="5"/>
      <c r="C23" s="5"/>
      <c r="D23" s="5"/>
      <c r="E23" s="5"/>
      <c r="F23" s="5"/>
      <c r="G23" s="5"/>
      <c r="H23" s="117" t="s">
        <v>1057</v>
      </c>
      <c r="I23" s="118">
        <v>411</v>
      </c>
      <c r="J23" s="119">
        <v>0</v>
      </c>
      <c r="K23" s="119">
        <v>0</v>
      </c>
      <c r="L23" s="119">
        <v>0</v>
      </c>
      <c r="M23" s="119">
        <f>SUM(FTSEHRI[[#This Row],[Undergraduate]],FTSEHRI[[#This Row],[Master''s¹]],FTSEHRI[[#This Row],[Doctoral]])</f>
        <v>0</v>
      </c>
      <c r="N23" s="119">
        <v>92</v>
      </c>
      <c r="O23" s="119">
        <f>ROUND(SUM(FTSEHRI[[#This Row],[Undergraduate]]/30,FTSEHRI[[#This Row],[Master''s¹]]/24,FTSEHRI[[#This Row],[Doctoral]]/18,FTSEHRI[[#This Row],[Prof &amp; Special-Prof Headcount]]),0)</f>
        <v>92</v>
      </c>
      <c r="P23" s="119">
        <v>92</v>
      </c>
      <c r="Q23" s="120"/>
      <c r="R23" s="5"/>
      <c r="S23" s="5"/>
    </row>
    <row r="24" spans="1:19" ht="30" customHeight="1" x14ac:dyDescent="0.3">
      <c r="A24" s="5"/>
      <c r="B24" s="5"/>
      <c r="C24" s="5"/>
      <c r="D24" s="5"/>
      <c r="E24" s="5"/>
      <c r="F24" s="5"/>
      <c r="G24" s="5"/>
      <c r="H24" s="114" t="s">
        <v>1058</v>
      </c>
      <c r="I24" s="115">
        <v>4951</v>
      </c>
      <c r="J24" s="19">
        <v>0</v>
      </c>
      <c r="K24" s="19">
        <v>0</v>
      </c>
      <c r="L24" s="19">
        <v>0</v>
      </c>
      <c r="M24" s="19">
        <f>SUM(FTSEHRI[[#This Row],[Undergraduate]],FTSEHRI[[#This Row],[Master''s¹]],FTSEHRI[[#This Row],[Doctoral]])</f>
        <v>0</v>
      </c>
      <c r="N24" s="19">
        <v>424</v>
      </c>
      <c r="O24" s="19">
        <f>ROUND(SUM(FTSEHRI[[#This Row],[Undergraduate]]/30,FTSEHRI[[#This Row],[Master''s¹]]/24,FTSEHRI[[#This Row],[Doctoral]]/18,FTSEHRI[[#This Row],[Prof &amp; Special-Prof Headcount]]),0)</f>
        <v>424</v>
      </c>
      <c r="P24" s="19">
        <v>424</v>
      </c>
      <c r="Q24" s="116"/>
      <c r="R24" s="5"/>
      <c r="S24" s="5"/>
    </row>
    <row r="25" spans="1:19" ht="30" customHeight="1" x14ac:dyDescent="0.3">
      <c r="A25" s="5"/>
      <c r="B25" s="5"/>
      <c r="C25" s="5"/>
      <c r="D25" s="5"/>
      <c r="E25" s="5"/>
      <c r="F25" s="5"/>
      <c r="G25" s="5"/>
      <c r="H25" s="117" t="s">
        <v>1048</v>
      </c>
      <c r="I25" s="118">
        <v>4954</v>
      </c>
      <c r="J25" s="119">
        <v>0</v>
      </c>
      <c r="K25" s="119">
        <v>1954</v>
      </c>
      <c r="L25" s="119">
        <v>9343</v>
      </c>
      <c r="M25" s="119">
        <f>SUM(FTSEHRI[[#This Row],[Undergraduate]],FTSEHRI[[#This Row],[Master''s¹]],FTSEHRI[[#This Row],[Doctoral]])</f>
        <v>11297</v>
      </c>
      <c r="N25" s="119">
        <v>0</v>
      </c>
      <c r="O25" s="119">
        <f>ROUND(SUM(FTSEHRI[[#This Row],[Undergraduate]]/30,FTSEHRI[[#This Row],[Master''s¹]]/24,FTSEHRI[[#This Row],[Doctoral]]/18,FTSEHRI[[#This Row],[Prof &amp; Special-Prof Headcount]]),0)</f>
        <v>600</v>
      </c>
      <c r="P25" s="119">
        <v>557</v>
      </c>
      <c r="Q25" s="120"/>
      <c r="R25" s="5"/>
      <c r="S25" s="5"/>
    </row>
    <row r="26" spans="1:19" ht="30" customHeight="1" x14ac:dyDescent="0.3">
      <c r="A26" s="5"/>
      <c r="B26" s="5"/>
      <c r="C26" s="5"/>
      <c r="D26" s="5"/>
      <c r="E26" s="5"/>
      <c r="F26" s="5"/>
      <c r="G26" s="5"/>
      <c r="H26" s="114" t="s">
        <v>1053</v>
      </c>
      <c r="I26" s="115">
        <v>6956</v>
      </c>
      <c r="J26" s="19">
        <v>0</v>
      </c>
      <c r="K26" s="19">
        <v>15057</v>
      </c>
      <c r="L26" s="19">
        <v>7897</v>
      </c>
      <c r="M26" s="19">
        <f>SUM(FTSEHRI[[#This Row],[Undergraduate]],FTSEHRI[[#This Row],[Master''s¹]],FTSEHRI[[#This Row],[Doctoral]])</f>
        <v>22954</v>
      </c>
      <c r="N26" s="19">
        <v>0</v>
      </c>
      <c r="O26" s="19">
        <f>ROUND(SUM(FTSEHRI[[#This Row],[Undergraduate]]/30,FTSEHRI[[#This Row],[Master''s¹]]/24,FTSEHRI[[#This Row],[Doctoral]]/18,FTSEHRI[[#This Row],[Prof &amp; Special-Prof Headcount]]),0)</f>
        <v>1066</v>
      </c>
      <c r="P26" s="19">
        <v>1063</v>
      </c>
      <c r="Q26" s="116"/>
      <c r="R26" s="5"/>
      <c r="S26" s="5"/>
    </row>
    <row r="27" spans="1:19" ht="30" customHeight="1" x14ac:dyDescent="0.3">
      <c r="A27" s="5"/>
      <c r="B27" s="5"/>
      <c r="C27" s="5"/>
      <c r="D27" s="5"/>
      <c r="E27" s="5"/>
      <c r="F27" s="5"/>
      <c r="G27" s="5"/>
      <c r="H27" s="117" t="s">
        <v>1054</v>
      </c>
      <c r="I27" s="118">
        <v>9348</v>
      </c>
      <c r="J27" s="119">
        <v>0</v>
      </c>
      <c r="K27" s="119">
        <v>0</v>
      </c>
      <c r="L27" s="119">
        <v>0</v>
      </c>
      <c r="M27" s="119">
        <f>SUM(FTSEHRI[[#This Row],[Undergraduate]],FTSEHRI[[#This Row],[Master''s¹]],FTSEHRI[[#This Row],[Doctoral]])</f>
        <v>0</v>
      </c>
      <c r="N27" s="119">
        <v>990</v>
      </c>
      <c r="O27" s="119">
        <f>ROUND(SUM(FTSEHRI[[#This Row],[Undergraduate]]/30,FTSEHRI[[#This Row],[Master''s¹]]/24,FTSEHRI[[#This Row],[Doctoral]]/18,FTSEHRI[[#This Row],[Prof &amp; Special-Prof Headcount]]),0)</f>
        <v>990</v>
      </c>
      <c r="P27" s="119">
        <v>990</v>
      </c>
      <c r="Q27" s="120"/>
      <c r="R27" s="5"/>
      <c r="S27" s="5"/>
    </row>
    <row r="28" spans="1:19" ht="30" customHeight="1" x14ac:dyDescent="0.3">
      <c r="A28" s="5"/>
      <c r="B28" s="5"/>
      <c r="C28" s="5"/>
      <c r="D28" s="5"/>
      <c r="E28" s="5"/>
      <c r="F28" s="5"/>
      <c r="G28" s="5"/>
      <c r="H28" s="114" t="s">
        <v>1059</v>
      </c>
      <c r="I28" s="115">
        <v>109348</v>
      </c>
      <c r="J28" s="19">
        <v>0</v>
      </c>
      <c r="K28" s="19">
        <v>2564</v>
      </c>
      <c r="L28" s="19">
        <v>0</v>
      </c>
      <c r="M28" s="19">
        <f>SUM(FTSEHRI[[#This Row],[Undergraduate]],FTSEHRI[[#This Row],[Master''s¹]],FTSEHRI[[#This Row],[Doctoral]])</f>
        <v>2564</v>
      </c>
      <c r="N28" s="19">
        <v>0</v>
      </c>
      <c r="O28" s="19">
        <f>ROUND(SUM(FTSEHRI[[#This Row],[Undergraduate]]/30,FTSEHRI[[#This Row],[Master''s¹]]/24,FTSEHRI[[#This Row],[Doctoral]]/18,FTSEHRI[[#This Row],[Prof &amp; Special-Prof Headcount]]),0)</f>
        <v>107</v>
      </c>
      <c r="P28" s="19">
        <v>107</v>
      </c>
      <c r="Q28" s="116"/>
      <c r="R28" s="5"/>
      <c r="S28" s="5"/>
    </row>
    <row r="29" spans="1:19" ht="30" customHeight="1" x14ac:dyDescent="0.3">
      <c r="A29" s="5"/>
      <c r="B29" s="5"/>
      <c r="C29" s="5"/>
      <c r="D29" s="5"/>
      <c r="E29" s="5"/>
      <c r="F29" s="5"/>
      <c r="G29" s="5"/>
      <c r="H29" s="16" t="s">
        <v>32</v>
      </c>
      <c r="I29" s="12">
        <v>40</v>
      </c>
      <c r="J29" s="13">
        <f>SUM(J30,J31,J32,J33,J34,J35,J36,J37,J38)</f>
        <v>32742</v>
      </c>
      <c r="K29" s="13">
        <f t="shared" ref="K29:P29" si="3">SUM(K30,K31,K32,K33,K34,K35,K36,K37,K38)</f>
        <v>34782</v>
      </c>
      <c r="L29" s="13">
        <f t="shared" si="3"/>
        <v>5780</v>
      </c>
      <c r="M29" s="13">
        <f t="shared" si="3"/>
        <v>73304</v>
      </c>
      <c r="N29" s="13">
        <f t="shared" si="3"/>
        <v>1434</v>
      </c>
      <c r="O29" s="13">
        <f t="shared" si="3"/>
        <v>4296</v>
      </c>
      <c r="P29" s="13">
        <f t="shared" si="3"/>
        <v>4277</v>
      </c>
      <c r="Q29" s="14">
        <v>369.99</v>
      </c>
      <c r="R29" s="5"/>
      <c r="S29" s="5"/>
    </row>
    <row r="30" spans="1:19" ht="30" customHeight="1" x14ac:dyDescent="0.3">
      <c r="A30" s="5"/>
      <c r="B30" s="5"/>
      <c r="C30" s="5"/>
      <c r="D30" s="5"/>
      <c r="E30" s="5"/>
      <c r="F30" s="5"/>
      <c r="G30" s="5"/>
      <c r="H30" s="114" t="s">
        <v>1048</v>
      </c>
      <c r="I30" s="115">
        <v>301</v>
      </c>
      <c r="J30" s="19">
        <v>0</v>
      </c>
      <c r="K30" s="19">
        <v>1553</v>
      </c>
      <c r="L30" s="19">
        <v>5092</v>
      </c>
      <c r="M30" s="19">
        <f>SUM(FTSEHRI[[#This Row],[Undergraduate]],FTSEHRI[[#This Row],[Master''s¹]],FTSEHRI[[#This Row],[Doctoral]])</f>
        <v>6645</v>
      </c>
      <c r="N30" s="19">
        <v>0</v>
      </c>
      <c r="O30" s="19">
        <f>ROUND(SUM(FTSEHRI[[#This Row],[Undergraduate]]/30,FTSEHRI[[#This Row],[Master''s¹]]/24,FTSEHRI[[#This Row],[Doctoral]]/18,FTSEHRI[[#This Row],[Prof &amp; Special-Prof Headcount]]),0)</f>
        <v>348</v>
      </c>
      <c r="P30" s="19">
        <v>339</v>
      </c>
      <c r="Q30" s="116"/>
      <c r="R30" s="5"/>
      <c r="S30" s="5"/>
    </row>
    <row r="31" spans="1:19" ht="30" customHeight="1" x14ac:dyDescent="0.3">
      <c r="A31" s="5"/>
      <c r="B31" s="5"/>
      <c r="C31" s="5"/>
      <c r="D31" s="5"/>
      <c r="E31" s="5"/>
      <c r="F31" s="5"/>
      <c r="G31" s="5"/>
      <c r="H31" s="117" t="s">
        <v>1052</v>
      </c>
      <c r="I31" s="118">
        <v>302</v>
      </c>
      <c r="J31" s="119">
        <v>23425</v>
      </c>
      <c r="K31" s="119">
        <v>3892</v>
      </c>
      <c r="L31" s="119">
        <v>208</v>
      </c>
      <c r="M31" s="119">
        <f>SUM(FTSEHRI[[#This Row],[Undergraduate]],FTSEHRI[[#This Row],[Master''s¹]],FTSEHRI[[#This Row],[Doctoral]])</f>
        <v>27525</v>
      </c>
      <c r="N31" s="119">
        <v>0</v>
      </c>
      <c r="O31" s="119">
        <f>ROUND(SUM(FTSEHRI[[#This Row],[Undergraduate]]/30,FTSEHRI[[#This Row],[Master''s¹]]/24,FTSEHRI[[#This Row],[Doctoral]]/18,FTSEHRI[[#This Row],[Prof &amp; Special-Prof Headcount]]),0)</f>
        <v>955</v>
      </c>
      <c r="P31" s="119">
        <v>950</v>
      </c>
      <c r="Q31" s="120"/>
      <c r="R31" s="5"/>
      <c r="S31" s="5"/>
    </row>
    <row r="32" spans="1:19" ht="30" customHeight="1" x14ac:dyDescent="0.3">
      <c r="A32" s="5"/>
      <c r="B32" s="5"/>
      <c r="C32" s="5"/>
      <c r="D32" s="5"/>
      <c r="E32" s="5"/>
      <c r="F32" s="5"/>
      <c r="G32" s="5"/>
      <c r="H32" s="114" t="s">
        <v>1051</v>
      </c>
      <c r="I32" s="115">
        <v>303</v>
      </c>
      <c r="J32" s="19">
        <v>7668</v>
      </c>
      <c r="K32" s="19">
        <v>28109</v>
      </c>
      <c r="L32" s="19">
        <v>480</v>
      </c>
      <c r="M32" s="19">
        <f>SUM(FTSEHRI[[#This Row],[Undergraduate]],FTSEHRI[[#This Row],[Master''s¹]],FTSEHRI[[#This Row],[Doctoral]])</f>
        <v>36257</v>
      </c>
      <c r="N32" s="19">
        <v>0</v>
      </c>
      <c r="O32" s="19">
        <f>ROUND(SUM(FTSEHRI[[#This Row],[Undergraduate]]/30,FTSEHRI[[#This Row],[Master''s¹]]/24,FTSEHRI[[#This Row],[Doctoral]]/18,FTSEHRI[[#This Row],[Prof &amp; Special-Prof Headcount]]),0)</f>
        <v>1453</v>
      </c>
      <c r="P32" s="19">
        <v>1448</v>
      </c>
      <c r="Q32" s="116"/>
      <c r="R32" s="5"/>
      <c r="S32" s="5"/>
    </row>
    <row r="33" spans="1:19" ht="30" customHeight="1" x14ac:dyDescent="0.3">
      <c r="A33" s="5"/>
      <c r="B33" s="5"/>
      <c r="C33" s="5"/>
      <c r="D33" s="5"/>
      <c r="E33" s="5"/>
      <c r="F33" s="5"/>
      <c r="G33" s="5"/>
      <c r="H33" s="117" t="s">
        <v>1060</v>
      </c>
      <c r="I33" s="118">
        <v>304</v>
      </c>
      <c r="J33" s="119">
        <v>0</v>
      </c>
      <c r="K33" s="119">
        <v>24</v>
      </c>
      <c r="L33" s="119">
        <v>0</v>
      </c>
      <c r="M33" s="119">
        <f>SUM(FTSEHRI[[#This Row],[Undergraduate]],FTSEHRI[[#This Row],[Master''s¹]],FTSEHRI[[#This Row],[Doctoral]])</f>
        <v>24</v>
      </c>
      <c r="N33" s="119">
        <v>101</v>
      </c>
      <c r="O33" s="119">
        <f>ROUND(SUM(FTSEHRI[[#This Row],[Undergraduate]]/30,FTSEHRI[[#This Row],[Master''s¹]]/24,FTSEHRI[[#This Row],[Doctoral]]/18,FTSEHRI[[#This Row],[Prof &amp; Special-Prof Headcount]]),0)</f>
        <v>102</v>
      </c>
      <c r="P33" s="119">
        <v>102</v>
      </c>
      <c r="Q33" s="120"/>
      <c r="R33" s="5"/>
      <c r="S33" s="5"/>
    </row>
    <row r="34" spans="1:19" ht="30" customHeight="1" x14ac:dyDescent="0.3">
      <c r="A34" s="5"/>
      <c r="B34" s="5"/>
      <c r="C34" s="5"/>
      <c r="D34" s="5"/>
      <c r="E34" s="5"/>
      <c r="F34" s="5"/>
      <c r="G34" s="5"/>
      <c r="H34" s="114" t="s">
        <v>1059</v>
      </c>
      <c r="I34" s="115">
        <v>305</v>
      </c>
      <c r="J34" s="19">
        <v>0</v>
      </c>
      <c r="K34" s="19">
        <v>340</v>
      </c>
      <c r="L34" s="19">
        <v>0</v>
      </c>
      <c r="M34" s="19">
        <f>SUM(FTSEHRI[[#This Row],[Undergraduate]],FTSEHRI[[#This Row],[Master''s¹]],FTSEHRI[[#This Row],[Doctoral]])</f>
        <v>340</v>
      </c>
      <c r="N34" s="19">
        <v>0</v>
      </c>
      <c r="O34" s="19">
        <f>ROUND(SUM(FTSEHRI[[#This Row],[Undergraduate]]/30,FTSEHRI[[#This Row],[Master''s¹]]/24,FTSEHRI[[#This Row],[Doctoral]]/18,FTSEHRI[[#This Row],[Prof &amp; Special-Prof Headcount]]),0)</f>
        <v>14</v>
      </c>
      <c r="P34" s="19">
        <v>14</v>
      </c>
      <c r="Q34" s="116"/>
      <c r="R34" s="5"/>
      <c r="S34" s="5"/>
    </row>
    <row r="35" spans="1:19" ht="30" customHeight="1" x14ac:dyDescent="0.3">
      <c r="A35" s="5"/>
      <c r="B35" s="5"/>
      <c r="C35" s="5"/>
      <c r="D35" s="5"/>
      <c r="E35" s="5"/>
      <c r="F35" s="5"/>
      <c r="G35" s="5"/>
      <c r="H35" s="117" t="s">
        <v>1061</v>
      </c>
      <c r="I35" s="118">
        <v>311</v>
      </c>
      <c r="J35" s="119">
        <v>1649</v>
      </c>
      <c r="K35" s="119">
        <v>0</v>
      </c>
      <c r="L35" s="119">
        <v>0</v>
      </c>
      <c r="M35" s="119">
        <f>SUM(FTSEHRI[[#This Row],[Undergraduate]],FTSEHRI[[#This Row],[Master''s¹]],FTSEHRI[[#This Row],[Doctoral]])</f>
        <v>1649</v>
      </c>
      <c r="N35" s="119">
        <v>0</v>
      </c>
      <c r="O35" s="119">
        <f>ROUND(SUM(FTSEHRI[[#This Row],[Undergraduate]]/30,FTSEHRI[[#This Row],[Master''s¹]]/24,FTSEHRI[[#This Row],[Doctoral]]/18,FTSEHRI[[#This Row],[Prof &amp; Special-Prof Headcount]]),0)</f>
        <v>55</v>
      </c>
      <c r="P35" s="119">
        <v>55</v>
      </c>
      <c r="Q35" s="120"/>
      <c r="R35" s="5"/>
      <c r="S35" s="5"/>
    </row>
    <row r="36" spans="1:19" ht="30" customHeight="1" x14ac:dyDescent="0.3">
      <c r="A36" s="5"/>
      <c r="B36" s="5"/>
      <c r="C36" s="5"/>
      <c r="D36" s="5"/>
      <c r="E36" s="5"/>
      <c r="F36" s="5"/>
      <c r="G36" s="5"/>
      <c r="H36" s="114" t="s">
        <v>1121</v>
      </c>
      <c r="I36" s="115">
        <v>2425</v>
      </c>
      <c r="J36" s="19">
        <v>0</v>
      </c>
      <c r="K36" s="19">
        <v>864</v>
      </c>
      <c r="L36" s="19">
        <v>0</v>
      </c>
      <c r="M36" s="19">
        <f>SUM(FTSEHRI[[#This Row],[Undergraduate]],FTSEHRI[[#This Row],[Master''s¹]],FTSEHRI[[#This Row],[Doctoral]])</f>
        <v>864</v>
      </c>
      <c r="N36" s="19">
        <v>0</v>
      </c>
      <c r="O36" s="19">
        <f>ROUND(SUM(FTSEHRI[[#This Row],[Undergraduate]]/30,FTSEHRI[[#This Row],[Master''s¹]]/24,FTSEHRI[[#This Row],[Doctoral]]/18,FTSEHRI[[#This Row],[Prof &amp; Special-Prof Headcount]]),0)</f>
        <v>36</v>
      </c>
      <c r="P36" s="19">
        <v>36</v>
      </c>
      <c r="Q36" s="116"/>
      <c r="R36" s="5"/>
      <c r="S36" s="5"/>
    </row>
    <row r="37" spans="1:19" ht="30" customHeight="1" x14ac:dyDescent="0.3">
      <c r="A37" s="5"/>
      <c r="B37" s="5"/>
      <c r="C37" s="5"/>
      <c r="D37" s="5"/>
      <c r="E37" s="5"/>
      <c r="F37" s="5"/>
      <c r="G37" s="5"/>
      <c r="H37" s="117" t="s">
        <v>1054</v>
      </c>
      <c r="I37" s="118">
        <v>3659</v>
      </c>
      <c r="J37" s="119">
        <v>0</v>
      </c>
      <c r="K37" s="119">
        <v>0</v>
      </c>
      <c r="L37" s="119">
        <v>0</v>
      </c>
      <c r="M37" s="119">
        <f>SUM(FTSEHRI[[#This Row],[Undergraduate]],FTSEHRI[[#This Row],[Master''s¹]],FTSEHRI[[#This Row],[Doctoral]])</f>
        <v>0</v>
      </c>
      <c r="N37" s="119">
        <v>906</v>
      </c>
      <c r="O37" s="119">
        <f>ROUND(SUM(FTSEHRI[[#This Row],[Undergraduate]]/30,FTSEHRI[[#This Row],[Master''s¹]]/24,FTSEHRI[[#This Row],[Doctoral]]/18,FTSEHRI[[#This Row],[Prof &amp; Special-Prof Headcount]]),0)</f>
        <v>906</v>
      </c>
      <c r="P37" s="119">
        <v>906</v>
      </c>
      <c r="Q37" s="120"/>
      <c r="R37" s="5"/>
      <c r="S37" s="5"/>
    </row>
    <row r="38" spans="1:19" ht="30" customHeight="1" x14ac:dyDescent="0.3">
      <c r="A38" s="5"/>
      <c r="B38" s="5"/>
      <c r="C38" s="5"/>
      <c r="D38" s="5"/>
      <c r="E38" s="5"/>
      <c r="F38" s="5"/>
      <c r="G38" s="5"/>
      <c r="H38" s="114" t="s">
        <v>1058</v>
      </c>
      <c r="I38" s="115">
        <v>9799</v>
      </c>
      <c r="J38" s="19">
        <v>0</v>
      </c>
      <c r="K38" s="19">
        <v>0</v>
      </c>
      <c r="L38" s="19">
        <v>0</v>
      </c>
      <c r="M38" s="19">
        <f>SUM(FTSEHRI[[#This Row],[Undergraduate]],FTSEHRI[[#This Row],[Master''s¹]],FTSEHRI[[#This Row],[Doctoral]])</f>
        <v>0</v>
      </c>
      <c r="N38" s="19">
        <v>427</v>
      </c>
      <c r="O38" s="19">
        <f>ROUND(SUM(FTSEHRI[[#This Row],[Undergraduate]]/30,FTSEHRI[[#This Row],[Master''s¹]]/24,FTSEHRI[[#This Row],[Doctoral]]/18,FTSEHRI[[#This Row],[Prof &amp; Special-Prof Headcount]]),0)</f>
        <v>427</v>
      </c>
      <c r="P38" s="19">
        <v>427</v>
      </c>
      <c r="Q38" s="116"/>
      <c r="R38" s="5"/>
      <c r="S38" s="5"/>
    </row>
    <row r="39" spans="1:19" ht="30" customHeight="1" x14ac:dyDescent="0.3">
      <c r="A39" s="5"/>
      <c r="B39" s="5"/>
      <c r="C39" s="5"/>
      <c r="D39" s="5"/>
      <c r="E39" s="5"/>
      <c r="F39" s="5"/>
      <c r="G39" s="5"/>
      <c r="H39" s="16" t="s">
        <v>33</v>
      </c>
      <c r="I39" s="12">
        <v>25554</v>
      </c>
      <c r="J39" s="13">
        <v>10939</v>
      </c>
      <c r="K39" s="13">
        <v>778</v>
      </c>
      <c r="L39" s="13">
        <v>0</v>
      </c>
      <c r="M39" s="13">
        <f>SUM(FTSEHRI[[#This Row],[Undergraduate]],FTSEHRI[[#This Row],[Master''s¹]],FTSEHRI[[#This Row],[Doctoral]])</f>
        <v>11717</v>
      </c>
      <c r="N39" s="13">
        <v>0</v>
      </c>
      <c r="O39" s="13">
        <f>ROUND(SUM(FTSEHRI[[#This Row],[Undergraduate]]/30,FTSEHRI[[#This Row],[Master''s¹]]/24,FTSEHRI[[#This Row],[Doctoral]]/18,FTSEHRI[[#This Row],[Prof &amp; Special-Prof Headcount]]),0)</f>
        <v>397</v>
      </c>
      <c r="P39" s="13">
        <v>394</v>
      </c>
      <c r="Q39" s="85">
        <v>871.38</v>
      </c>
      <c r="R39" s="5"/>
      <c r="S39" s="5"/>
    </row>
    <row r="40" spans="1:19" ht="30" customHeight="1" x14ac:dyDescent="0.3">
      <c r="A40" s="5"/>
      <c r="B40" s="5"/>
      <c r="C40" s="5"/>
      <c r="D40" s="5"/>
      <c r="E40" s="5"/>
      <c r="F40" s="5"/>
      <c r="G40" s="5"/>
      <c r="H40" s="16" t="s">
        <v>34</v>
      </c>
      <c r="I40" s="12">
        <v>42439</v>
      </c>
      <c r="J40" s="13">
        <f>SUM(J41,J42,J43)</f>
        <v>3</v>
      </c>
      <c r="K40" s="13">
        <f t="shared" ref="K40:P40" si="4">SUM(K41,K42,K43)</f>
        <v>1882</v>
      </c>
      <c r="L40" s="13">
        <f t="shared" si="4"/>
        <v>0</v>
      </c>
      <c r="M40" s="13">
        <f t="shared" si="4"/>
        <v>1885</v>
      </c>
      <c r="N40" s="13">
        <f t="shared" si="4"/>
        <v>118</v>
      </c>
      <c r="O40" s="13">
        <f t="shared" si="4"/>
        <v>196</v>
      </c>
      <c r="P40" s="13">
        <f t="shared" si="4"/>
        <v>196</v>
      </c>
      <c r="Q40" s="14">
        <v>7</v>
      </c>
      <c r="R40" s="5"/>
      <c r="S40" s="5"/>
    </row>
    <row r="41" spans="1:19" ht="30" customHeight="1" x14ac:dyDescent="0.3">
      <c r="A41" s="5"/>
      <c r="B41" s="5"/>
      <c r="C41" s="5"/>
      <c r="D41" s="5"/>
      <c r="E41" s="5"/>
      <c r="F41" s="5"/>
      <c r="G41" s="5"/>
      <c r="H41" s="114" t="s">
        <v>1062</v>
      </c>
      <c r="I41" s="115">
        <v>429</v>
      </c>
      <c r="J41" s="19">
        <v>3</v>
      </c>
      <c r="K41" s="19">
        <v>1467</v>
      </c>
      <c r="L41" s="19">
        <v>0</v>
      </c>
      <c r="M41" s="19">
        <f>SUM(FTSEHRI[[#This Row],[Undergraduate]],FTSEHRI[[#This Row],[Master''s¹]],FTSEHRI[[#This Row],[Doctoral]])</f>
        <v>1470</v>
      </c>
      <c r="N41" s="19">
        <v>0</v>
      </c>
      <c r="O41" s="19">
        <f>ROUND(SUM(FTSEHRI[[#This Row],[Undergraduate]]/30,FTSEHRI[[#This Row],[Master''s¹]]/24,FTSEHRI[[#This Row],[Doctoral]]/18,FTSEHRI[[#This Row],[Prof &amp; Special-Prof Headcount]]),0)</f>
        <v>61</v>
      </c>
      <c r="P41" s="19">
        <v>61</v>
      </c>
      <c r="Q41" s="116"/>
      <c r="R41" s="5"/>
      <c r="S41" s="5"/>
    </row>
    <row r="42" spans="1:19" ht="30" customHeight="1" x14ac:dyDescent="0.3">
      <c r="A42" s="5"/>
      <c r="B42" s="5"/>
      <c r="C42" s="5"/>
      <c r="D42" s="5"/>
      <c r="E42" s="5"/>
      <c r="F42" s="5"/>
      <c r="G42" s="5"/>
      <c r="H42" s="117" t="s">
        <v>1063</v>
      </c>
      <c r="I42" s="118">
        <v>430</v>
      </c>
      <c r="J42" s="119">
        <v>0</v>
      </c>
      <c r="K42" s="119">
        <v>0</v>
      </c>
      <c r="L42" s="119">
        <v>0</v>
      </c>
      <c r="M42" s="119">
        <f>SUM(FTSEHRI[[#This Row],[Undergraduate]],FTSEHRI[[#This Row],[Master''s¹]],FTSEHRI[[#This Row],[Doctoral]])</f>
        <v>0</v>
      </c>
      <c r="N42" s="119">
        <v>118</v>
      </c>
      <c r="O42" s="119">
        <f>ROUND(SUM(FTSEHRI[[#This Row],[Undergraduate]]/30,FTSEHRI[[#This Row],[Master''s¹]]/24,FTSEHRI[[#This Row],[Doctoral]]/18,FTSEHRI[[#This Row],[Prof &amp; Special-Prof Headcount]]),0)</f>
        <v>118</v>
      </c>
      <c r="P42" s="119">
        <v>118</v>
      </c>
      <c r="Q42" s="120"/>
      <c r="R42" s="5"/>
      <c r="S42" s="5"/>
    </row>
    <row r="43" spans="1:19" ht="30" customHeight="1" x14ac:dyDescent="0.3">
      <c r="A43" s="5"/>
      <c r="B43" s="5"/>
      <c r="C43" s="5"/>
      <c r="D43" s="5"/>
      <c r="E43" s="5"/>
      <c r="F43" s="5"/>
      <c r="G43" s="5"/>
      <c r="H43" s="114" t="s">
        <v>1064</v>
      </c>
      <c r="I43" s="115">
        <v>431</v>
      </c>
      <c r="J43" s="19">
        <v>0</v>
      </c>
      <c r="K43" s="19">
        <v>415</v>
      </c>
      <c r="L43" s="19">
        <v>0</v>
      </c>
      <c r="M43" s="19">
        <f>SUM(FTSEHRI[[#This Row],[Undergraduate]],FTSEHRI[[#This Row],[Master''s¹]],FTSEHRI[[#This Row],[Doctoral]])</f>
        <v>415</v>
      </c>
      <c r="N43" s="19">
        <v>0</v>
      </c>
      <c r="O43" s="19">
        <f>ROUND(SUM(FTSEHRI[[#This Row],[Undergraduate]]/30,FTSEHRI[[#This Row],[Master''s¹]]/24,FTSEHRI[[#This Row],[Doctoral]]/18,FTSEHRI[[#This Row],[Prof &amp; Special-Prof Headcount]]),0)</f>
        <v>17</v>
      </c>
      <c r="P43" s="19">
        <v>17</v>
      </c>
      <c r="Q43" s="116"/>
      <c r="R43" s="5"/>
      <c r="S43" s="5"/>
    </row>
    <row r="44" spans="1:19" ht="30" customHeight="1" x14ac:dyDescent="0.3">
      <c r="A44" s="5"/>
      <c r="B44" s="5"/>
      <c r="C44" s="5"/>
      <c r="D44" s="5"/>
      <c r="E44" s="5"/>
      <c r="F44" s="5"/>
      <c r="G44" s="5"/>
      <c r="H44" s="16" t="s">
        <v>60</v>
      </c>
      <c r="I44" s="12">
        <v>89</v>
      </c>
      <c r="J44" s="13">
        <f>SUM(J45,J46,J47,J48,J49,J50,J51,J52)</f>
        <v>44835</v>
      </c>
      <c r="K44" s="13">
        <f t="shared" ref="K44:P44" si="5">SUM(K45,K46,K47,K48,K49,K50,K51,K52)</f>
        <v>29068</v>
      </c>
      <c r="L44" s="13">
        <f t="shared" si="5"/>
        <v>3755</v>
      </c>
      <c r="M44" s="13">
        <f t="shared" si="5"/>
        <v>77658</v>
      </c>
      <c r="N44" s="13">
        <f t="shared" si="5"/>
        <v>1325</v>
      </c>
      <c r="O44" s="13">
        <f t="shared" si="5"/>
        <v>4239</v>
      </c>
      <c r="P44" s="13">
        <f t="shared" si="5"/>
        <v>4236</v>
      </c>
      <c r="Q44" s="14">
        <v>264.66000000000003</v>
      </c>
      <c r="R44" s="5"/>
      <c r="S44" s="5"/>
    </row>
    <row r="45" spans="1:19" ht="30" customHeight="1" x14ac:dyDescent="0.3">
      <c r="A45" s="5"/>
      <c r="B45" s="5"/>
      <c r="C45" s="5"/>
      <c r="D45" s="5"/>
      <c r="E45" s="5"/>
      <c r="F45" s="5"/>
      <c r="G45" s="5"/>
      <c r="H45" s="114" t="s">
        <v>1065</v>
      </c>
      <c r="I45" s="115">
        <v>79</v>
      </c>
      <c r="J45" s="19">
        <v>17248</v>
      </c>
      <c r="K45" s="19">
        <v>2500</v>
      </c>
      <c r="L45" s="19">
        <v>0</v>
      </c>
      <c r="M45" s="19">
        <f>SUM(FTSEHRI[[#This Row],[Undergraduate]],FTSEHRI[[#This Row],[Master''s¹]],FTSEHRI[[#This Row],[Doctoral]])</f>
        <v>19748</v>
      </c>
      <c r="N45" s="19">
        <v>0</v>
      </c>
      <c r="O45" s="19">
        <f>ROUND(SUM(FTSEHRI[[#This Row],[Undergraduate]]/30,FTSEHRI[[#This Row],[Master''s¹]]/24,FTSEHRI[[#This Row],[Doctoral]]/18,FTSEHRI[[#This Row],[Prof &amp; Special-Prof Headcount]]),0)</f>
        <v>679</v>
      </c>
      <c r="P45" s="19">
        <v>677</v>
      </c>
      <c r="Q45" s="116"/>
      <c r="R45" s="5"/>
      <c r="S45" s="5"/>
    </row>
    <row r="46" spans="1:19" ht="30" customHeight="1" x14ac:dyDescent="0.3">
      <c r="A46" s="5"/>
      <c r="B46" s="5"/>
      <c r="C46" s="5"/>
      <c r="D46" s="5"/>
      <c r="E46" s="5"/>
      <c r="F46" s="5"/>
      <c r="G46" s="5"/>
      <c r="H46" s="117" t="s">
        <v>1066</v>
      </c>
      <c r="I46" s="118">
        <v>80</v>
      </c>
      <c r="J46" s="119">
        <v>0</v>
      </c>
      <c r="K46" s="119">
        <v>0</v>
      </c>
      <c r="L46" s="119">
        <v>0</v>
      </c>
      <c r="M46" s="119">
        <f>SUM(FTSEHRI[[#This Row],[Undergraduate]],FTSEHRI[[#This Row],[Master''s¹]],FTSEHRI[[#This Row],[Doctoral]])</f>
        <v>0</v>
      </c>
      <c r="N46" s="119">
        <v>814</v>
      </c>
      <c r="O46" s="119">
        <f>ROUND(SUM(FTSEHRI[[#This Row],[Undergraduate]]/30,FTSEHRI[[#This Row],[Master''s¹]]/24,FTSEHRI[[#This Row],[Doctoral]]/18,FTSEHRI[[#This Row],[Prof &amp; Special-Prof Headcount]]),0)</f>
        <v>814</v>
      </c>
      <c r="P46" s="119">
        <v>814</v>
      </c>
      <c r="Q46" s="120"/>
      <c r="R46" s="5"/>
      <c r="S46" s="5"/>
    </row>
    <row r="47" spans="1:19" ht="30" customHeight="1" x14ac:dyDescent="0.3">
      <c r="A47" s="5"/>
      <c r="B47" s="5"/>
      <c r="C47" s="5"/>
      <c r="D47" s="5"/>
      <c r="E47" s="5"/>
      <c r="F47" s="5"/>
      <c r="G47" s="5"/>
      <c r="H47" s="114" t="s">
        <v>1067</v>
      </c>
      <c r="I47" s="115">
        <v>87</v>
      </c>
      <c r="J47" s="19">
        <v>25424</v>
      </c>
      <c r="K47" s="19">
        <v>8024</v>
      </c>
      <c r="L47" s="19">
        <v>1173</v>
      </c>
      <c r="M47" s="19">
        <f>SUM(FTSEHRI[[#This Row],[Undergraduate]],FTSEHRI[[#This Row],[Master''s¹]],FTSEHRI[[#This Row],[Doctoral]])</f>
        <v>34621</v>
      </c>
      <c r="N47" s="19">
        <v>0</v>
      </c>
      <c r="O47" s="19">
        <f>ROUND(SUM(FTSEHRI[[#This Row],[Undergraduate]]/30,FTSEHRI[[#This Row],[Master''s¹]]/24,FTSEHRI[[#This Row],[Doctoral]]/18,FTSEHRI[[#This Row],[Prof &amp; Special-Prof Headcount]]),0)</f>
        <v>1247</v>
      </c>
      <c r="P47" s="19">
        <v>1246</v>
      </c>
      <c r="Q47" s="116"/>
      <c r="R47" s="5"/>
      <c r="S47" s="5"/>
    </row>
    <row r="48" spans="1:19" ht="30" customHeight="1" x14ac:dyDescent="0.3">
      <c r="A48" s="5"/>
      <c r="B48" s="5"/>
      <c r="C48" s="5"/>
      <c r="D48" s="5"/>
      <c r="E48" s="5"/>
      <c r="F48" s="5"/>
      <c r="G48" s="5"/>
      <c r="H48" s="117" t="s">
        <v>1068</v>
      </c>
      <c r="I48" s="118">
        <v>88</v>
      </c>
      <c r="J48" s="119">
        <v>0</v>
      </c>
      <c r="K48" s="119">
        <v>16447</v>
      </c>
      <c r="L48" s="119">
        <v>685</v>
      </c>
      <c r="M48" s="119">
        <f>SUM(FTSEHRI[[#This Row],[Undergraduate]],FTSEHRI[[#This Row],[Master''s¹]],FTSEHRI[[#This Row],[Doctoral]])</f>
        <v>17132</v>
      </c>
      <c r="N48" s="119">
        <v>0</v>
      </c>
      <c r="O48" s="119">
        <f>ROUND(SUM(FTSEHRI[[#This Row],[Undergraduate]]/30,FTSEHRI[[#This Row],[Master''s¹]]/24,FTSEHRI[[#This Row],[Doctoral]]/18,FTSEHRI[[#This Row],[Prof &amp; Special-Prof Headcount]]),0)</f>
        <v>723</v>
      </c>
      <c r="P48" s="119">
        <v>723</v>
      </c>
      <c r="Q48" s="120"/>
      <c r="R48" s="5"/>
      <c r="S48" s="5"/>
    </row>
    <row r="49" spans="1:19" ht="30" customHeight="1" x14ac:dyDescent="0.3">
      <c r="A49" s="5"/>
      <c r="B49" s="5"/>
      <c r="C49" s="5"/>
      <c r="D49" s="5"/>
      <c r="E49" s="5"/>
      <c r="F49" s="5"/>
      <c r="G49" s="5"/>
      <c r="H49" s="114" t="s">
        <v>1069</v>
      </c>
      <c r="I49" s="115">
        <v>180</v>
      </c>
      <c r="J49" s="19">
        <v>201</v>
      </c>
      <c r="K49" s="19">
        <v>2044</v>
      </c>
      <c r="L49" s="19">
        <v>1708</v>
      </c>
      <c r="M49" s="19">
        <f>SUM(FTSEHRI[[#This Row],[Undergraduate]],FTSEHRI[[#This Row],[Master''s¹]],FTSEHRI[[#This Row],[Doctoral]])</f>
        <v>3953</v>
      </c>
      <c r="N49" s="19">
        <v>0</v>
      </c>
      <c r="O49" s="19">
        <f>ROUND(SUM(FTSEHRI[[#This Row],[Undergraduate]]/30,FTSEHRI[[#This Row],[Master''s¹]]/24,FTSEHRI[[#This Row],[Doctoral]]/18,FTSEHRI[[#This Row],[Prof &amp; Special-Prof Headcount]]),0)</f>
        <v>187</v>
      </c>
      <c r="P49" s="19">
        <v>187</v>
      </c>
      <c r="Q49" s="116"/>
      <c r="R49" s="5"/>
      <c r="S49" s="5"/>
    </row>
    <row r="50" spans="1:19" ht="30" customHeight="1" x14ac:dyDescent="0.3">
      <c r="A50" s="5"/>
      <c r="B50" s="5"/>
      <c r="C50" s="5"/>
      <c r="D50" s="5"/>
      <c r="E50" s="5"/>
      <c r="F50" s="5"/>
      <c r="G50" s="5"/>
      <c r="H50" s="117" t="s">
        <v>1070</v>
      </c>
      <c r="I50" s="118">
        <v>405</v>
      </c>
      <c r="J50" s="119">
        <v>1962</v>
      </c>
      <c r="K50" s="119">
        <v>0</v>
      </c>
      <c r="L50" s="119">
        <v>0</v>
      </c>
      <c r="M50" s="119">
        <v>1962</v>
      </c>
      <c r="N50" s="119">
        <v>0</v>
      </c>
      <c r="O50" s="119">
        <f>ROUND(SUM(FTSEHRI[[#This Row],[Undergraduate]]/30,FTSEHRI[[#This Row],[Master''s¹]]/24,FTSEHRI[[#This Row],[Doctoral]]/18,FTSEHRI[[#This Row],[Prof &amp; Special-Prof Headcount]]),0)</f>
        <v>65</v>
      </c>
      <c r="P50" s="119">
        <v>65</v>
      </c>
      <c r="Q50" s="120"/>
      <c r="R50" s="5"/>
      <c r="S50" s="5"/>
    </row>
    <row r="51" spans="1:19" ht="30" customHeight="1" x14ac:dyDescent="0.3">
      <c r="A51" s="5"/>
      <c r="B51" s="5"/>
      <c r="C51" s="5"/>
      <c r="D51" s="5"/>
      <c r="E51" s="5"/>
      <c r="F51" s="5"/>
      <c r="G51" s="5"/>
      <c r="H51" s="114" t="s">
        <v>1123</v>
      </c>
      <c r="I51" s="115">
        <v>406</v>
      </c>
      <c r="J51" s="19">
        <v>0</v>
      </c>
      <c r="K51" s="19">
        <v>53</v>
      </c>
      <c r="L51" s="19">
        <v>189</v>
      </c>
      <c r="M51" s="19">
        <v>242</v>
      </c>
      <c r="N51" s="19">
        <v>97</v>
      </c>
      <c r="O51" s="19">
        <f>ROUND(SUM(FTSEHRI[[#This Row],[Undergraduate]]/30,FTSEHRI[[#This Row],[Master''s¹]]/24,FTSEHRI[[#This Row],[Doctoral]]/18,FTSEHRI[[#This Row],[Prof &amp; Special-Prof Headcount]]),0)</f>
        <v>110</v>
      </c>
      <c r="P51" s="19">
        <v>110</v>
      </c>
      <c r="Q51" s="116"/>
      <c r="R51" s="5"/>
      <c r="S51" s="5"/>
    </row>
    <row r="52" spans="1:19" ht="30" customHeight="1" x14ac:dyDescent="0.3">
      <c r="A52" s="5"/>
      <c r="B52" s="5"/>
      <c r="C52" s="5"/>
      <c r="D52" s="5"/>
      <c r="E52" s="5"/>
      <c r="F52" s="5"/>
      <c r="G52" s="5"/>
      <c r="H52" s="117" t="s">
        <v>1122</v>
      </c>
      <c r="I52" s="118">
        <v>4948</v>
      </c>
      <c r="J52" s="119">
        <v>0</v>
      </c>
      <c r="K52" s="119">
        <v>0</v>
      </c>
      <c r="L52" s="119">
        <v>0</v>
      </c>
      <c r="M52" s="119">
        <v>0</v>
      </c>
      <c r="N52" s="119">
        <v>414</v>
      </c>
      <c r="O52" s="119">
        <f>ROUND(SUM(FTSEHRI[[#This Row],[Undergraduate]]/30,FTSEHRI[[#This Row],[Master''s¹]]/24,FTSEHRI[[#This Row],[Doctoral]]/18,FTSEHRI[[#This Row],[Prof &amp; Special-Prof Headcount]]),0)</f>
        <v>414</v>
      </c>
      <c r="P52" s="119">
        <v>414</v>
      </c>
      <c r="Q52" s="120"/>
      <c r="R52" s="5"/>
      <c r="S52" s="5"/>
    </row>
    <row r="53" spans="1:19" ht="30" customHeight="1" x14ac:dyDescent="0.3">
      <c r="A53" s="5"/>
      <c r="B53" s="5"/>
      <c r="C53" s="5"/>
      <c r="D53" s="5"/>
      <c r="E53" s="5"/>
      <c r="F53" s="5"/>
      <c r="G53" s="5"/>
      <c r="H53" s="16" t="s">
        <v>35</v>
      </c>
      <c r="I53" s="12">
        <v>130</v>
      </c>
      <c r="J53" s="13">
        <f>SUM(J54,J55,J56,J57,J58,J59)</f>
        <v>1607</v>
      </c>
      <c r="K53" s="13">
        <f t="shared" ref="K53:P53" si="6">SUM(K54,K55,K56,K57,K58,K59)</f>
        <v>38345</v>
      </c>
      <c r="L53" s="13">
        <f t="shared" si="6"/>
        <v>2080</v>
      </c>
      <c r="M53" s="13">
        <f t="shared" si="6"/>
        <v>42032</v>
      </c>
      <c r="N53" s="13">
        <f t="shared" si="6"/>
        <v>948</v>
      </c>
      <c r="O53" s="13">
        <f t="shared" si="6"/>
        <v>2716</v>
      </c>
      <c r="P53" s="13">
        <f t="shared" si="6"/>
        <v>2716</v>
      </c>
      <c r="Q53" s="14">
        <v>81.28</v>
      </c>
      <c r="R53" s="5"/>
      <c r="S53" s="5"/>
    </row>
    <row r="54" spans="1:19" ht="30" customHeight="1" x14ac:dyDescent="0.3">
      <c r="A54" s="5"/>
      <c r="B54" s="5"/>
      <c r="C54" s="5"/>
      <c r="D54" s="5"/>
      <c r="E54" s="5"/>
      <c r="F54" s="5"/>
      <c r="G54" s="5"/>
      <c r="H54" s="114" t="s">
        <v>1048</v>
      </c>
      <c r="I54" s="115">
        <v>131</v>
      </c>
      <c r="J54" s="19">
        <v>887</v>
      </c>
      <c r="K54" s="19">
        <v>10013</v>
      </c>
      <c r="L54" s="19">
        <v>1742</v>
      </c>
      <c r="M54" s="19">
        <f>SUM(FTSEHRI[[#This Row],[Undergraduate]],FTSEHRI[[#This Row],[Master''s¹]],FTSEHRI[[#This Row],[Doctoral]])</f>
        <v>12642</v>
      </c>
      <c r="N54" s="19">
        <v>0</v>
      </c>
      <c r="O54" s="19">
        <f>ROUND(SUM(FTSEHRI[[#This Row],[Undergraduate]]/30,FTSEHRI[[#This Row],[Master''s¹]]/24,FTSEHRI[[#This Row],[Doctoral]]/18,FTSEHRI[[#This Row],[Prof &amp; Special-Prof Headcount]]),0)</f>
        <v>544</v>
      </c>
      <c r="P54" s="19">
        <v>544</v>
      </c>
      <c r="Q54" s="116"/>
      <c r="R54" s="5"/>
      <c r="S54" s="5"/>
    </row>
    <row r="55" spans="1:19" ht="30" customHeight="1" x14ac:dyDescent="0.3">
      <c r="A55" s="5"/>
      <c r="B55" s="5"/>
      <c r="C55" s="5"/>
      <c r="D55" s="5"/>
      <c r="E55" s="5"/>
      <c r="F55" s="5"/>
      <c r="G55" s="5"/>
      <c r="H55" s="117" t="s">
        <v>1051</v>
      </c>
      <c r="I55" s="118">
        <v>133</v>
      </c>
      <c r="J55" s="119">
        <v>0</v>
      </c>
      <c r="K55" s="119">
        <v>13744</v>
      </c>
      <c r="L55" s="119">
        <v>0</v>
      </c>
      <c r="M55" s="119">
        <f>SUM(FTSEHRI[[#This Row],[Undergraduate]],FTSEHRI[[#This Row],[Master''s¹]],FTSEHRI[[#This Row],[Doctoral]])</f>
        <v>13744</v>
      </c>
      <c r="N55" s="119">
        <v>0</v>
      </c>
      <c r="O55" s="119">
        <f>ROUND(SUM(FTSEHRI[[#This Row],[Undergraduate]]/30,FTSEHRI[[#This Row],[Master''s¹]]/24,FTSEHRI[[#This Row],[Doctoral]]/18,FTSEHRI[[#This Row],[Prof &amp; Special-Prof Headcount]]),0)</f>
        <v>573</v>
      </c>
      <c r="P55" s="119">
        <v>573</v>
      </c>
      <c r="Q55" s="120"/>
      <c r="R55" s="5"/>
      <c r="S55" s="5"/>
    </row>
    <row r="56" spans="1:19" ht="30" customHeight="1" x14ac:dyDescent="0.3">
      <c r="A56" s="5"/>
      <c r="B56" s="5"/>
      <c r="C56" s="5"/>
      <c r="D56" s="5"/>
      <c r="E56" s="5"/>
      <c r="F56" s="5"/>
      <c r="G56" s="5"/>
      <c r="H56" s="114" t="s">
        <v>1053</v>
      </c>
      <c r="I56" s="115">
        <v>134</v>
      </c>
      <c r="J56" s="19">
        <v>0</v>
      </c>
      <c r="K56" s="19">
        <v>3144</v>
      </c>
      <c r="L56" s="19">
        <v>338</v>
      </c>
      <c r="M56" s="19">
        <f>SUM(FTSEHRI[[#This Row],[Undergraduate]],FTSEHRI[[#This Row],[Master''s¹]],FTSEHRI[[#This Row],[Doctoral]])</f>
        <v>3482</v>
      </c>
      <c r="N56" s="19">
        <v>0</v>
      </c>
      <c r="O56" s="19">
        <f>ROUND(SUM(FTSEHRI[[#This Row],[Undergraduate]]/30,FTSEHRI[[#This Row],[Master''s¹]]/24,FTSEHRI[[#This Row],[Doctoral]]/18,FTSEHRI[[#This Row],[Prof &amp; Special-Prof Headcount]]),0)</f>
        <v>150</v>
      </c>
      <c r="P56" s="19">
        <v>150</v>
      </c>
      <c r="Q56" s="116"/>
      <c r="R56" s="5"/>
      <c r="S56" s="5"/>
    </row>
    <row r="57" spans="1:19" ht="30" customHeight="1" x14ac:dyDescent="0.3">
      <c r="A57" s="5"/>
      <c r="B57" s="5"/>
      <c r="C57" s="5"/>
      <c r="D57" s="5"/>
      <c r="E57" s="5"/>
      <c r="F57" s="5"/>
      <c r="G57" s="5"/>
      <c r="H57" s="117" t="s">
        <v>1071</v>
      </c>
      <c r="I57" s="118">
        <v>136</v>
      </c>
      <c r="J57" s="119">
        <v>0</v>
      </c>
      <c r="K57" s="119">
        <v>11012</v>
      </c>
      <c r="L57" s="119">
        <v>0</v>
      </c>
      <c r="M57" s="119">
        <f>SUM(FTSEHRI[[#This Row],[Undergraduate]],FTSEHRI[[#This Row],[Master''s¹]],FTSEHRI[[#This Row],[Doctoral]])</f>
        <v>11012</v>
      </c>
      <c r="N57" s="119">
        <v>0</v>
      </c>
      <c r="O57" s="119">
        <f>ROUND(SUM(FTSEHRI[[#This Row],[Undergraduate]]/30,FTSEHRI[[#This Row],[Master''s¹]]/24,FTSEHRI[[#This Row],[Doctoral]]/18,FTSEHRI[[#This Row],[Prof &amp; Special-Prof Headcount]]),0)</f>
        <v>459</v>
      </c>
      <c r="P57" s="119">
        <v>459</v>
      </c>
      <c r="Q57" s="120"/>
      <c r="R57" s="5"/>
      <c r="S57" s="5"/>
    </row>
    <row r="58" spans="1:19" ht="30" customHeight="1" x14ac:dyDescent="0.3">
      <c r="A58" s="5"/>
      <c r="B58" s="5"/>
      <c r="C58" s="5"/>
      <c r="D58" s="5"/>
      <c r="E58" s="5"/>
      <c r="F58" s="5"/>
      <c r="G58" s="5"/>
      <c r="H58" s="114" t="s">
        <v>1052</v>
      </c>
      <c r="I58" s="115">
        <v>138</v>
      </c>
      <c r="J58" s="19">
        <v>720</v>
      </c>
      <c r="K58" s="19">
        <v>432</v>
      </c>
      <c r="L58" s="19">
        <v>0</v>
      </c>
      <c r="M58" s="19">
        <f>SUM(FTSEHRI[[#This Row],[Undergraduate]],FTSEHRI[[#This Row],[Master''s¹]],FTSEHRI[[#This Row],[Doctoral]])</f>
        <v>1152</v>
      </c>
      <c r="N58" s="19">
        <v>0</v>
      </c>
      <c r="O58" s="19">
        <f>ROUND(SUM(FTSEHRI[[#This Row],[Undergraduate]]/30,FTSEHRI[[#This Row],[Master''s¹]]/24,FTSEHRI[[#This Row],[Doctoral]]/18,FTSEHRI[[#This Row],[Prof &amp; Special-Prof Headcount]]),0)</f>
        <v>42</v>
      </c>
      <c r="P58" s="19">
        <v>42</v>
      </c>
      <c r="Q58" s="116"/>
      <c r="R58" s="5"/>
      <c r="S58" s="5"/>
    </row>
    <row r="59" spans="1:19" ht="30" customHeight="1" x14ac:dyDescent="0.3">
      <c r="A59" s="5"/>
      <c r="B59" s="5"/>
      <c r="C59" s="5"/>
      <c r="D59" s="5"/>
      <c r="E59" s="5"/>
      <c r="F59" s="5"/>
      <c r="G59" s="5"/>
      <c r="H59" s="117" t="s">
        <v>1072</v>
      </c>
      <c r="I59" s="118">
        <v>9768</v>
      </c>
      <c r="J59" s="119">
        <v>0</v>
      </c>
      <c r="K59" s="119">
        <v>0</v>
      </c>
      <c r="L59" s="119">
        <v>0</v>
      </c>
      <c r="M59" s="119">
        <f>SUM(FTSEHRI[[#This Row],[Undergraduate]],FTSEHRI[[#This Row],[Master''s¹]],FTSEHRI[[#This Row],[Doctoral]])</f>
        <v>0</v>
      </c>
      <c r="N59" s="119">
        <v>948</v>
      </c>
      <c r="O59" s="119">
        <f>ROUND(SUM(FTSEHRI[[#This Row],[Undergraduate]]/30,FTSEHRI[[#This Row],[Master''s¹]]/24,FTSEHRI[[#This Row],[Doctoral]]/18,FTSEHRI[[#This Row],[Prof &amp; Special-Prof Headcount]]),0)</f>
        <v>948</v>
      </c>
      <c r="P59" s="119">
        <v>948</v>
      </c>
      <c r="Q59" s="120"/>
      <c r="R59" s="5"/>
      <c r="S59" s="5"/>
    </row>
    <row r="60" spans="1:19" ht="30" customHeight="1" x14ac:dyDescent="0.3">
      <c r="A60" s="5"/>
      <c r="B60" s="5"/>
      <c r="C60" s="5"/>
      <c r="D60" s="5"/>
      <c r="E60" s="5"/>
      <c r="F60" s="5"/>
      <c r="G60" s="5"/>
      <c r="H60" s="16" t="s">
        <v>36</v>
      </c>
      <c r="I60" s="12">
        <v>412</v>
      </c>
      <c r="J60" s="13">
        <f>SUM(J61,J62,J63,J64,J65,J66)</f>
        <v>64770</v>
      </c>
      <c r="K60" s="13">
        <f t="shared" ref="K60:P60" si="7">SUM(K61,K62,K63,K64,K65,K66)</f>
        <v>71910</v>
      </c>
      <c r="L60" s="13">
        <f t="shared" si="7"/>
        <v>2924</v>
      </c>
      <c r="M60" s="13">
        <f t="shared" si="7"/>
        <v>139604</v>
      </c>
      <c r="N60" s="13">
        <f t="shared" si="7"/>
        <v>735</v>
      </c>
      <c r="O60" s="13">
        <f t="shared" si="7"/>
        <v>6053</v>
      </c>
      <c r="P60" s="13">
        <f t="shared" si="7"/>
        <v>6038</v>
      </c>
      <c r="Q60" s="14">
        <v>67.98</v>
      </c>
      <c r="R60" s="5"/>
      <c r="S60" s="5"/>
    </row>
    <row r="61" spans="1:19" ht="30" customHeight="1" x14ac:dyDescent="0.3">
      <c r="A61" s="5"/>
      <c r="B61" s="5"/>
      <c r="C61" s="5"/>
      <c r="D61" s="5"/>
      <c r="E61" s="5"/>
      <c r="F61" s="5"/>
      <c r="G61" s="5"/>
      <c r="H61" s="114" t="s">
        <v>1073</v>
      </c>
      <c r="I61" s="115">
        <v>413</v>
      </c>
      <c r="J61" s="19">
        <v>7528</v>
      </c>
      <c r="K61" s="19">
        <v>39303</v>
      </c>
      <c r="L61" s="19">
        <v>779</v>
      </c>
      <c r="M61" s="19">
        <f>SUM(FTSEHRI[[#This Row],[Undergraduate]],FTSEHRI[[#This Row],[Master''s¹]],FTSEHRI[[#This Row],[Doctoral]])</f>
        <v>47610</v>
      </c>
      <c r="N61" s="19">
        <v>0</v>
      </c>
      <c r="O61" s="19">
        <f>ROUND(SUM(FTSEHRI[[#This Row],[Undergraduate]]/30,FTSEHRI[[#This Row],[Master''s¹]]/24,FTSEHRI[[#This Row],[Doctoral]]/18,FTSEHRI[[#This Row],[Prof &amp; Special-Prof Headcount]]),0)</f>
        <v>1932</v>
      </c>
      <c r="P61" s="19">
        <v>1927</v>
      </c>
      <c r="Q61" s="116"/>
      <c r="R61" s="5"/>
      <c r="S61" s="5"/>
    </row>
    <row r="62" spans="1:19" ht="30" customHeight="1" x14ac:dyDescent="0.3">
      <c r="A62" s="5"/>
      <c r="B62" s="5"/>
      <c r="C62" s="5"/>
      <c r="D62" s="5"/>
      <c r="E62" s="5"/>
      <c r="F62" s="5"/>
      <c r="G62" s="5"/>
      <c r="H62" s="117" t="s">
        <v>1071</v>
      </c>
      <c r="I62" s="118">
        <v>416</v>
      </c>
      <c r="J62" s="119">
        <v>0</v>
      </c>
      <c r="K62" s="119">
        <v>16719</v>
      </c>
      <c r="L62" s="119">
        <v>0</v>
      </c>
      <c r="M62" s="119">
        <f>SUM(FTSEHRI[[#This Row],[Undergraduate]],FTSEHRI[[#This Row],[Master''s¹]],FTSEHRI[[#This Row],[Doctoral]])</f>
        <v>16719</v>
      </c>
      <c r="N62" s="119">
        <v>0</v>
      </c>
      <c r="O62" s="119">
        <f>ROUND(SUM(FTSEHRI[[#This Row],[Undergraduate]]/30,FTSEHRI[[#This Row],[Master''s¹]]/24,FTSEHRI[[#This Row],[Doctoral]]/18,FTSEHRI[[#This Row],[Prof &amp; Special-Prof Headcount]]),0)</f>
        <v>697</v>
      </c>
      <c r="P62" s="119">
        <v>697</v>
      </c>
      <c r="Q62" s="120"/>
      <c r="R62" s="5"/>
      <c r="S62" s="5"/>
    </row>
    <row r="63" spans="1:19" ht="30" customHeight="1" x14ac:dyDescent="0.3">
      <c r="A63" s="5"/>
      <c r="B63" s="5"/>
      <c r="C63" s="5"/>
      <c r="D63" s="5"/>
      <c r="E63" s="5"/>
      <c r="F63" s="5"/>
      <c r="G63" s="5"/>
      <c r="H63" s="114" t="s">
        <v>1074</v>
      </c>
      <c r="I63" s="115">
        <v>419</v>
      </c>
      <c r="J63" s="19">
        <v>0</v>
      </c>
      <c r="K63" s="19">
        <v>2686</v>
      </c>
      <c r="L63" s="19">
        <v>0</v>
      </c>
      <c r="M63" s="19">
        <f>SUM(FTSEHRI[[#This Row],[Undergraduate]],FTSEHRI[[#This Row],[Master''s¹]],FTSEHRI[[#This Row],[Doctoral]])</f>
        <v>2686</v>
      </c>
      <c r="N63" s="19">
        <v>0</v>
      </c>
      <c r="O63" s="19">
        <f>ROUND(SUM(FTSEHRI[[#This Row],[Undergraduate]]/30,FTSEHRI[[#This Row],[Master''s¹]]/24,FTSEHRI[[#This Row],[Doctoral]]/18,FTSEHRI[[#This Row],[Prof &amp; Special-Prof Headcount]]),0)</f>
        <v>112</v>
      </c>
      <c r="P63" s="19">
        <v>112</v>
      </c>
      <c r="Q63" s="116"/>
      <c r="R63" s="5"/>
      <c r="S63" s="5"/>
    </row>
    <row r="64" spans="1:19" ht="30" customHeight="1" x14ac:dyDescent="0.3">
      <c r="A64" s="5"/>
      <c r="B64" s="5"/>
      <c r="C64" s="5"/>
      <c r="D64" s="5"/>
      <c r="E64" s="5"/>
      <c r="F64" s="5"/>
      <c r="G64" s="5"/>
      <c r="H64" s="117" t="s">
        <v>1075</v>
      </c>
      <c r="I64" s="118">
        <v>10674</v>
      </c>
      <c r="J64" s="119"/>
      <c r="K64" s="119"/>
      <c r="L64" s="119"/>
      <c r="M64" s="119">
        <f>SUM(FTSEHRI[[#This Row],[Undergraduate]],FTSEHRI[[#This Row],[Master''s¹]],FTSEHRI[[#This Row],[Doctoral]])</f>
        <v>0</v>
      </c>
      <c r="N64" s="119">
        <v>735</v>
      </c>
      <c r="O64" s="119">
        <f>ROUND(SUM(FTSEHRI[[#This Row],[Undergraduate]]/30,FTSEHRI[[#This Row],[Master''s¹]]/24,FTSEHRI[[#This Row],[Doctoral]]/18,FTSEHRI[[#This Row],[Prof &amp; Special-Prof Headcount]]),0)</f>
        <v>735</v>
      </c>
      <c r="P64" s="119">
        <v>735</v>
      </c>
      <c r="Q64" s="120"/>
      <c r="R64" s="5"/>
      <c r="S64" s="5"/>
    </row>
    <row r="65" spans="1:19" ht="30" customHeight="1" x14ac:dyDescent="0.3">
      <c r="A65" s="5"/>
      <c r="B65" s="5"/>
      <c r="C65" s="5"/>
      <c r="D65" s="5"/>
      <c r="E65" s="5"/>
      <c r="F65" s="5"/>
      <c r="G65" s="5"/>
      <c r="H65" s="114" t="s">
        <v>1052</v>
      </c>
      <c r="I65" s="115">
        <v>110674</v>
      </c>
      <c r="J65" s="19">
        <v>57242</v>
      </c>
      <c r="K65" s="19">
        <v>11807</v>
      </c>
      <c r="L65" s="19">
        <v>0</v>
      </c>
      <c r="M65" s="19">
        <f>SUM(FTSEHRI[[#This Row],[Undergraduate]],FTSEHRI[[#This Row],[Master''s¹]],FTSEHRI[[#This Row],[Doctoral]])</f>
        <v>69049</v>
      </c>
      <c r="N65" s="19">
        <v>0</v>
      </c>
      <c r="O65" s="19">
        <f>ROUND(SUM(FTSEHRI[[#This Row],[Undergraduate]]/30,FTSEHRI[[#This Row],[Master''s¹]]/24,FTSEHRI[[#This Row],[Doctoral]]/18,FTSEHRI[[#This Row],[Prof &amp; Special-Prof Headcount]]),0)</f>
        <v>2400</v>
      </c>
      <c r="P65" s="19">
        <v>2392</v>
      </c>
      <c r="Q65" s="116"/>
      <c r="R65" s="5"/>
      <c r="S65" s="5"/>
    </row>
    <row r="66" spans="1:19" ht="30" customHeight="1" x14ac:dyDescent="0.3">
      <c r="A66" s="5"/>
      <c r="B66" s="5"/>
      <c r="C66" s="5"/>
      <c r="D66" s="5"/>
      <c r="E66" s="5"/>
      <c r="F66" s="5"/>
      <c r="G66" s="5"/>
      <c r="H66" s="117" t="s">
        <v>1048</v>
      </c>
      <c r="I66" s="118">
        <v>210674</v>
      </c>
      <c r="J66" s="119">
        <v>0</v>
      </c>
      <c r="K66" s="119">
        <v>1395</v>
      </c>
      <c r="L66" s="119">
        <v>2145</v>
      </c>
      <c r="M66" s="119">
        <f>SUM(FTSEHRI[[#This Row],[Undergraduate]],FTSEHRI[[#This Row],[Master''s¹]],FTSEHRI[[#This Row],[Doctoral]])</f>
        <v>3540</v>
      </c>
      <c r="N66" s="119">
        <v>0</v>
      </c>
      <c r="O66" s="119">
        <f>ROUND(SUM(FTSEHRI[[#This Row],[Undergraduate]]/30,FTSEHRI[[#This Row],[Master''s¹]]/24,FTSEHRI[[#This Row],[Doctoral]]/18,FTSEHRI[[#This Row],[Prof &amp; Special-Prof Headcount]]),0)</f>
        <v>177</v>
      </c>
      <c r="P66" s="119">
        <v>175</v>
      </c>
      <c r="Q66" s="120"/>
      <c r="R66" s="5"/>
      <c r="S66" s="5"/>
    </row>
    <row r="67" spans="1:19" ht="30" customHeight="1" x14ac:dyDescent="0.3">
      <c r="A67" s="5"/>
      <c r="B67" s="5"/>
      <c r="C67" s="5"/>
      <c r="D67" s="5"/>
      <c r="E67" s="5"/>
      <c r="F67" s="5"/>
      <c r="G67" s="5"/>
      <c r="H67" s="16" t="s">
        <v>37</v>
      </c>
      <c r="I67" s="12">
        <v>862</v>
      </c>
      <c r="J67" s="13">
        <f>SUM(J68,J69,J70,J71)</f>
        <v>10639</v>
      </c>
      <c r="K67" s="13">
        <f t="shared" ref="K67:P67" si="8">SUM(K68,K69,K70,K71)</f>
        <v>1163</v>
      </c>
      <c r="L67" s="13">
        <f t="shared" si="8"/>
        <v>0</v>
      </c>
      <c r="M67" s="13">
        <f t="shared" si="8"/>
        <v>11802</v>
      </c>
      <c r="N67" s="13">
        <f t="shared" si="8"/>
        <v>691</v>
      </c>
      <c r="O67" s="13">
        <f t="shared" si="8"/>
        <v>1094</v>
      </c>
      <c r="P67" s="13">
        <f t="shared" si="8"/>
        <v>1090</v>
      </c>
      <c r="Q67" s="14">
        <v>14.04</v>
      </c>
      <c r="R67" s="5"/>
      <c r="S67" s="5"/>
    </row>
    <row r="68" spans="1:19" ht="30" customHeight="1" x14ac:dyDescent="0.3">
      <c r="A68" s="5"/>
      <c r="B68" s="5"/>
      <c r="C68" s="5"/>
      <c r="D68" s="5"/>
      <c r="E68" s="5"/>
      <c r="F68" s="5"/>
      <c r="G68" s="5"/>
      <c r="H68" s="114" t="s">
        <v>1076</v>
      </c>
      <c r="I68" s="115">
        <v>418</v>
      </c>
      <c r="J68" s="19">
        <v>0</v>
      </c>
      <c r="K68" s="19">
        <v>0</v>
      </c>
      <c r="L68" s="19">
        <v>0</v>
      </c>
      <c r="M68" s="19">
        <f>SUM(FTSEHRI[[#This Row],[Undergraduate]],FTSEHRI[[#This Row],[Master''s¹]],FTSEHRI[[#This Row],[Doctoral]])</f>
        <v>0</v>
      </c>
      <c r="N68" s="19">
        <v>470</v>
      </c>
      <c r="O68" s="19">
        <f>ROUND(SUM(FTSEHRI[[#This Row],[Undergraduate]]/30,FTSEHRI[[#This Row],[Master''s¹]]/24,FTSEHRI[[#This Row],[Doctoral]]/18,FTSEHRI[[#This Row],[Prof &amp; Special-Prof Headcount]]),0)</f>
        <v>470</v>
      </c>
      <c r="P68" s="19">
        <v>470</v>
      </c>
      <c r="Q68" s="116"/>
      <c r="R68" s="5"/>
      <c r="S68" s="5"/>
    </row>
    <row r="69" spans="1:19" ht="30" customHeight="1" x14ac:dyDescent="0.3">
      <c r="A69" s="5"/>
      <c r="B69" s="5"/>
      <c r="C69" s="5"/>
      <c r="D69" s="5"/>
      <c r="E69" s="5"/>
      <c r="F69" s="5"/>
      <c r="G69" s="5"/>
      <c r="H69" s="117" t="s">
        <v>1078</v>
      </c>
      <c r="I69" s="118">
        <v>420</v>
      </c>
      <c r="J69" s="119">
        <v>10639</v>
      </c>
      <c r="K69" s="119">
        <v>270</v>
      </c>
      <c r="L69" s="119">
        <v>0</v>
      </c>
      <c r="M69" s="119">
        <f>SUM(FTSEHRI[[#This Row],[Undergraduate]],FTSEHRI[[#This Row],[Master''s¹]],FTSEHRI[[#This Row],[Doctoral]])</f>
        <v>10909</v>
      </c>
      <c r="N69" s="119">
        <v>0</v>
      </c>
      <c r="O69" s="119">
        <f>ROUND(SUM(FTSEHRI[[#This Row],[Undergraduate]]/30,FTSEHRI[[#This Row],[Master''s¹]]/24,FTSEHRI[[#This Row],[Doctoral]]/18,FTSEHRI[[#This Row],[Prof &amp; Special-Prof Headcount]]),0)</f>
        <v>366</v>
      </c>
      <c r="P69" s="119">
        <v>362</v>
      </c>
      <c r="Q69" s="120"/>
      <c r="R69" s="5"/>
      <c r="S69" s="5"/>
    </row>
    <row r="70" spans="1:19" ht="30" customHeight="1" x14ac:dyDescent="0.3">
      <c r="A70" s="5"/>
      <c r="B70" s="5"/>
      <c r="C70" s="5"/>
      <c r="D70" s="5"/>
      <c r="E70" s="5"/>
      <c r="F70" s="5"/>
      <c r="G70" s="5"/>
      <c r="H70" s="114" t="s">
        <v>1077</v>
      </c>
      <c r="I70" s="115">
        <v>421</v>
      </c>
      <c r="J70" s="19">
        <v>0</v>
      </c>
      <c r="K70" s="19">
        <v>0</v>
      </c>
      <c r="L70" s="19">
        <v>0</v>
      </c>
      <c r="M70" s="19">
        <f>SUM(FTSEHRI[[#This Row],[Undergraduate]],FTSEHRI[[#This Row],[Master''s¹]],FTSEHRI[[#This Row],[Doctoral]])</f>
        <v>0</v>
      </c>
      <c r="N70" s="19">
        <v>221</v>
      </c>
      <c r="O70" s="19">
        <f>ROUND(SUM(FTSEHRI[[#This Row],[Undergraduate]]/30,FTSEHRI[[#This Row],[Master''s¹]]/24,FTSEHRI[[#This Row],[Doctoral]]/18,FTSEHRI[[#This Row],[Prof &amp; Special-Prof Headcount]]),0)</f>
        <v>221</v>
      </c>
      <c r="P70" s="19">
        <v>221</v>
      </c>
      <c r="Q70" s="116"/>
      <c r="R70" s="5"/>
      <c r="S70" s="5"/>
    </row>
    <row r="71" spans="1:19" ht="30" customHeight="1" x14ac:dyDescent="0.3">
      <c r="A71" s="5"/>
      <c r="B71" s="5"/>
      <c r="C71" s="5"/>
      <c r="D71" s="5"/>
      <c r="E71" s="5"/>
      <c r="F71" s="5"/>
      <c r="G71" s="5"/>
      <c r="H71" s="117" t="s">
        <v>1048</v>
      </c>
      <c r="I71" s="118">
        <v>422</v>
      </c>
      <c r="J71" s="119">
        <v>0</v>
      </c>
      <c r="K71" s="119">
        <v>893</v>
      </c>
      <c r="L71" s="119">
        <v>0</v>
      </c>
      <c r="M71" s="119">
        <f>SUM(FTSEHRI[[#This Row],[Undergraduate]],FTSEHRI[[#This Row],[Master''s¹]],FTSEHRI[[#This Row],[Doctoral]])</f>
        <v>893</v>
      </c>
      <c r="N71" s="119">
        <v>0</v>
      </c>
      <c r="O71" s="119">
        <f>ROUND(SUM(FTSEHRI[[#This Row],[Undergraduate]]/30,FTSEHRI[[#This Row],[Master''s¹]]/24,FTSEHRI[[#This Row],[Doctoral]]/18,FTSEHRI[[#This Row],[Prof &amp; Special-Prof Headcount]]),0)</f>
        <v>37</v>
      </c>
      <c r="P71" s="119">
        <v>37</v>
      </c>
      <c r="Q71" s="120"/>
      <c r="R71" s="5"/>
      <c r="S71" s="5"/>
    </row>
    <row r="72" spans="1:19" ht="30" customHeight="1" x14ac:dyDescent="0.3">
      <c r="A72" s="5"/>
      <c r="B72" s="5"/>
      <c r="C72" s="5"/>
      <c r="D72" s="5"/>
      <c r="E72" s="5"/>
      <c r="F72" s="5"/>
      <c r="G72" s="5"/>
      <c r="H72" s="16" t="s">
        <v>165</v>
      </c>
      <c r="I72" s="12">
        <v>203599</v>
      </c>
      <c r="J72" s="13">
        <f>SUM(J73,J74)</f>
        <v>0</v>
      </c>
      <c r="K72" s="13">
        <f t="shared" ref="K72:P72" si="9">SUM(K73,K74)</f>
        <v>0</v>
      </c>
      <c r="L72" s="13">
        <f t="shared" si="9"/>
        <v>0</v>
      </c>
      <c r="M72" s="13">
        <f t="shared" si="9"/>
        <v>0</v>
      </c>
      <c r="N72" s="13">
        <f t="shared" si="9"/>
        <v>303</v>
      </c>
      <c r="O72" s="13">
        <f t="shared" si="9"/>
        <v>303</v>
      </c>
      <c r="P72" s="13">
        <f t="shared" si="9"/>
        <v>303</v>
      </c>
      <c r="Q72" s="14">
        <v>29.36</v>
      </c>
      <c r="R72" s="5"/>
      <c r="S72" s="5"/>
    </row>
    <row r="73" spans="1:19" ht="30" customHeight="1" x14ac:dyDescent="0.3">
      <c r="A73" s="5"/>
      <c r="B73" s="5"/>
      <c r="C73" s="5"/>
      <c r="D73" s="5"/>
      <c r="E73" s="5"/>
      <c r="F73" s="5"/>
      <c r="G73" s="5"/>
      <c r="H73" s="114" t="s">
        <v>1075</v>
      </c>
      <c r="I73" s="115">
        <v>203599</v>
      </c>
      <c r="J73" s="19">
        <v>0</v>
      </c>
      <c r="K73" s="19">
        <v>0</v>
      </c>
      <c r="L73" s="19">
        <v>0</v>
      </c>
      <c r="M73" s="19">
        <f>SUM(FTSEHRI[[#This Row],[Undergraduate]],FTSEHRI[[#This Row],[Master''s¹]],FTSEHRI[[#This Row],[Doctoral]])</f>
        <v>0</v>
      </c>
      <c r="N73" s="19">
        <v>220</v>
      </c>
      <c r="O73" s="19">
        <f>ROUND(SUM(FTSEHRI[[#This Row],[Undergraduate]]/30,FTSEHRI[[#This Row],[Master''s¹]]/24,FTSEHRI[[#This Row],[Doctoral]]/18,FTSEHRI[[#This Row],[Prof &amp; Special-Prof Headcount]]),0)</f>
        <v>220</v>
      </c>
      <c r="P73" s="19">
        <v>220</v>
      </c>
      <c r="Q73" s="116"/>
      <c r="R73" s="5"/>
      <c r="S73" s="5"/>
    </row>
    <row r="74" spans="1:19" ht="30" customHeight="1" x14ac:dyDescent="0.3">
      <c r="A74" s="5"/>
      <c r="B74" s="5"/>
      <c r="C74" s="5"/>
      <c r="D74" s="5"/>
      <c r="E74" s="5"/>
      <c r="F74" s="5"/>
      <c r="G74" s="5"/>
      <c r="H74" s="117" t="s">
        <v>1079</v>
      </c>
      <c r="I74" s="118">
        <v>303599</v>
      </c>
      <c r="J74" s="119">
        <v>0</v>
      </c>
      <c r="K74" s="119">
        <v>0</v>
      </c>
      <c r="L74" s="119">
        <v>0</v>
      </c>
      <c r="M74" s="119">
        <f>SUM(FTSEHRI[[#This Row],[Undergraduate]],FTSEHRI[[#This Row],[Master''s¹]],FTSEHRI[[#This Row],[Doctoral]])</f>
        <v>0</v>
      </c>
      <c r="N74" s="119">
        <v>83</v>
      </c>
      <c r="O74" s="119">
        <f>ROUND(SUM(FTSEHRI[[#This Row],[Undergraduate]]/30,FTSEHRI[[#This Row],[Master''s¹]]/24,FTSEHRI[[#This Row],[Doctoral]]/18,FTSEHRI[[#This Row],[Prof &amp; Special-Prof Headcount]]),0)</f>
        <v>83</v>
      </c>
      <c r="P74" s="119">
        <v>83</v>
      </c>
      <c r="Q74" s="120"/>
      <c r="R74" s="5"/>
      <c r="S74" s="5"/>
    </row>
    <row r="75" spans="1:19" ht="30" customHeight="1" x14ac:dyDescent="0.3">
      <c r="A75" s="5"/>
      <c r="B75" s="5"/>
      <c r="C75" s="5"/>
      <c r="D75" s="5"/>
      <c r="E75" s="5"/>
      <c r="F75" s="5"/>
      <c r="G75" s="5"/>
      <c r="H75" s="16" t="s">
        <v>41</v>
      </c>
      <c r="I75" s="12">
        <v>203658</v>
      </c>
      <c r="J75" s="13">
        <v>0</v>
      </c>
      <c r="K75" s="13">
        <v>0</v>
      </c>
      <c r="L75" s="13">
        <v>0</v>
      </c>
      <c r="M75" s="13">
        <v>0</v>
      </c>
      <c r="N75" s="13">
        <v>203</v>
      </c>
      <c r="O75" s="13">
        <f>ROUND(SUM(FTSEHRI[[#This Row],[Undergraduate]]/30,FTSEHRI[[#This Row],[Master''s¹]]/24,FTSEHRI[[#This Row],[Doctoral]]/18,FTSEHRI[[#This Row],[Prof &amp; Special-Prof Headcount]]),0)</f>
        <v>203</v>
      </c>
      <c r="P75" s="13">
        <v>203</v>
      </c>
      <c r="Q75" s="85">
        <v>40.590000000000003</v>
      </c>
      <c r="R75" s="5"/>
      <c r="S75" s="5"/>
    </row>
    <row r="76" spans="1:19" ht="30" customHeight="1" x14ac:dyDescent="0.3">
      <c r="A76" s="5"/>
      <c r="B76" s="5"/>
      <c r="C76" s="5"/>
      <c r="D76" s="5"/>
      <c r="E76" s="5"/>
      <c r="F76" s="5"/>
      <c r="G76" s="5"/>
      <c r="H76" s="16" t="s">
        <v>44</v>
      </c>
      <c r="I76" s="12">
        <v>203652</v>
      </c>
      <c r="J76" s="13">
        <v>0</v>
      </c>
      <c r="K76" s="13">
        <v>0</v>
      </c>
      <c r="L76" s="13">
        <v>0</v>
      </c>
      <c r="M76" s="13">
        <v>0</v>
      </c>
      <c r="N76" s="13">
        <v>206</v>
      </c>
      <c r="O76" s="13">
        <f>ROUND(SUM(FTSEHRI[[#This Row],[Undergraduate]]/30,FTSEHRI[[#This Row],[Master''s¹]]/24,FTSEHRI[[#This Row],[Doctoral]]/18,FTSEHRI[[#This Row],[Prof &amp; Special-Prof Headcount]]),0)</f>
        <v>206</v>
      </c>
      <c r="P76" s="13">
        <v>206</v>
      </c>
      <c r="Q76" s="85">
        <v>0</v>
      </c>
      <c r="R76" s="5"/>
      <c r="S76" s="5"/>
    </row>
    <row r="77" spans="1:19" ht="30" customHeight="1" thickBot="1" x14ac:dyDescent="0.35">
      <c r="A77" s="5"/>
      <c r="B77" s="5"/>
      <c r="C77" s="5"/>
      <c r="D77" s="5"/>
      <c r="E77" s="5"/>
      <c r="F77" s="5"/>
      <c r="G77" s="5"/>
      <c r="H77" s="16" t="s">
        <v>45</v>
      </c>
      <c r="I77" s="12">
        <v>103606</v>
      </c>
      <c r="J77" s="13">
        <v>0</v>
      </c>
      <c r="K77" s="13">
        <v>0</v>
      </c>
      <c r="L77" s="13">
        <v>0</v>
      </c>
      <c r="M77" s="13">
        <v>0</v>
      </c>
      <c r="N77" s="13">
        <v>574</v>
      </c>
      <c r="O77" s="13">
        <f>ROUND(SUM(FTSEHRI[[#This Row],[Undergraduate]]/30,FTSEHRI[[#This Row],[Master''s¹]]/24,FTSEHRI[[#This Row],[Doctoral]]/18,FTSEHRI[[#This Row],[Prof &amp; Special-Prof Headcount]]),0)</f>
        <v>574</v>
      </c>
      <c r="P77" s="13">
        <v>574</v>
      </c>
      <c r="Q77" s="85">
        <v>5.05</v>
      </c>
      <c r="R77" s="5"/>
      <c r="S77" s="5"/>
    </row>
    <row r="78" spans="1:19" ht="30" customHeight="1" x14ac:dyDescent="0.3">
      <c r="A78" s="5"/>
      <c r="B78" s="5"/>
      <c r="C78" s="5"/>
      <c r="D78" s="5"/>
      <c r="E78" s="5"/>
      <c r="F78" s="5"/>
      <c r="G78" s="5"/>
      <c r="H78" s="86"/>
      <c r="I78" s="86"/>
      <c r="J78" s="87">
        <f>SUM(J8,J13,J19,J29,J39,J40,J44,J53,J60,J67,J72,J75,J76,J77)</f>
        <v>206172</v>
      </c>
      <c r="K78" s="87">
        <f t="shared" ref="K78:P78" si="10">SUM(K8,K13,K19,K29,K39,K40,K44,K53,K60,K67,K72,K75,K76,K77)</f>
        <v>275819</v>
      </c>
      <c r="L78" s="87">
        <f t="shared" si="10"/>
        <v>53426</v>
      </c>
      <c r="M78" s="87">
        <f t="shared" si="10"/>
        <v>535417</v>
      </c>
      <c r="N78" s="87">
        <f>SUM(N8,N13,N19,N29,N39,N40,N44,N53,N60,N67,N72,N75,N76,N77)</f>
        <v>9921</v>
      </c>
      <c r="O78" s="87">
        <f t="shared" si="10"/>
        <v>31254</v>
      </c>
      <c r="P78" s="87">
        <f t="shared" si="10"/>
        <v>31146</v>
      </c>
      <c r="Q78" s="87">
        <f>SUM(Q8,Q13,Q19,Q29,Q39,Q40,Q44,Q53,Q60,Q67,Q72,Q75,Q76,Q77)</f>
        <v>3073.8900000000003</v>
      </c>
      <c r="R78" s="5"/>
      <c r="S78" s="5"/>
    </row>
    <row r="79" spans="1:19" ht="30" customHeight="1" x14ac:dyDescent="0.3">
      <c r="A79" s="5"/>
      <c r="B79" s="5"/>
      <c r="C79" s="5"/>
      <c r="D79" s="5"/>
      <c r="E79" s="5"/>
      <c r="F79" s="5"/>
      <c r="G79" s="5"/>
      <c r="H79" s="774" t="s">
        <v>1080</v>
      </c>
      <c r="I79" s="774"/>
      <c r="J79" s="774"/>
      <c r="K79" s="774"/>
      <c r="L79" s="774"/>
      <c r="M79" s="774"/>
      <c r="N79" s="774"/>
      <c r="O79" s="774"/>
      <c r="P79" s="774"/>
      <c r="Q79" s="774"/>
      <c r="R79" s="5"/>
      <c r="S79" s="5"/>
    </row>
    <row r="80" spans="1:19" ht="30" customHeight="1" x14ac:dyDescent="0.3">
      <c r="A80" s="5"/>
      <c r="B80" s="5"/>
      <c r="C80" s="5"/>
      <c r="D80" s="5"/>
      <c r="E80" s="5"/>
      <c r="F80" s="5"/>
      <c r="G80" s="5"/>
      <c r="H80" s="770" t="s">
        <v>1081</v>
      </c>
      <c r="I80" s="770"/>
      <c r="J80" s="770"/>
      <c r="K80" s="770"/>
      <c r="L80" s="770"/>
      <c r="M80" s="770"/>
      <c r="N80" s="770"/>
      <c r="O80" s="770"/>
      <c r="P80" s="770"/>
      <c r="Q80" s="770"/>
      <c r="R80" s="5"/>
      <c r="S80" s="5"/>
    </row>
    <row r="81" spans="1:28" ht="30" customHeight="1" x14ac:dyDescent="0.3">
      <c r="A81" s="5"/>
      <c r="B81" s="5"/>
      <c r="C81" s="5"/>
      <c r="D81" s="5"/>
      <c r="E81" s="5"/>
      <c r="F81" s="5"/>
      <c r="G81" s="5"/>
      <c r="H81" s="775" t="s">
        <v>1082</v>
      </c>
      <c r="I81" s="775"/>
      <c r="J81" s="775"/>
      <c r="K81" s="775"/>
      <c r="L81" s="775"/>
      <c r="M81" s="775"/>
      <c r="N81" s="775"/>
      <c r="O81" s="775"/>
      <c r="P81" s="775"/>
      <c r="Q81" s="775"/>
      <c r="R81" s="5"/>
      <c r="S81" s="5"/>
    </row>
    <row r="82" spans="1:28" ht="30" customHeight="1" x14ac:dyDescent="0.3">
      <c r="A82" s="5"/>
      <c r="B82" s="5"/>
      <c r="C82" s="5"/>
      <c r="D82" s="5"/>
      <c r="E82" s="5"/>
      <c r="F82" s="5"/>
      <c r="G82" s="5"/>
      <c r="H82" s="775" t="s">
        <v>1083</v>
      </c>
      <c r="I82" s="775"/>
      <c r="J82" s="775"/>
      <c r="K82" s="775"/>
      <c r="L82" s="775"/>
      <c r="M82" s="775"/>
      <c r="N82" s="775"/>
      <c r="O82" s="775"/>
      <c r="P82" s="775"/>
      <c r="Q82" s="775"/>
      <c r="R82" s="5"/>
      <c r="S82" s="5"/>
    </row>
    <row r="83" spans="1:28" ht="30" customHeight="1" x14ac:dyDescent="0.3">
      <c r="A83" s="5"/>
      <c r="B83" s="5"/>
      <c r="C83" s="5"/>
      <c r="D83" s="5"/>
      <c r="E83" s="5"/>
      <c r="F83" s="5"/>
      <c r="G83" s="5"/>
      <c r="H83" s="770" t="s">
        <v>1084</v>
      </c>
      <c r="I83" s="770"/>
      <c r="J83" s="770"/>
      <c r="K83" s="770"/>
      <c r="L83" s="770"/>
      <c r="M83" s="770"/>
      <c r="N83" s="770"/>
      <c r="O83" s="770"/>
      <c r="P83" s="770"/>
      <c r="Q83" s="770"/>
      <c r="R83" s="5"/>
      <c r="S83" s="5"/>
    </row>
    <row r="84" spans="1:28" ht="30" customHeight="1" x14ac:dyDescent="0.3">
      <c r="A84" s="5"/>
      <c r="B84" s="5"/>
      <c r="C84" s="5"/>
      <c r="D84" s="5"/>
      <c r="E84" s="5"/>
      <c r="F84" s="5"/>
      <c r="G84" s="5"/>
      <c r="H84" s="770" t="s">
        <v>1085</v>
      </c>
      <c r="I84" s="770"/>
      <c r="J84" s="770"/>
      <c r="K84" s="770"/>
      <c r="L84" s="770"/>
      <c r="M84" s="770"/>
      <c r="N84" s="770"/>
      <c r="O84" s="770"/>
      <c r="P84" s="770"/>
      <c r="Q84" s="770"/>
      <c r="R84" s="5"/>
      <c r="S84" s="5"/>
    </row>
    <row r="85" spans="1:28" ht="30" customHeight="1" x14ac:dyDescent="0.3">
      <c r="A85" s="5"/>
      <c r="B85" s="5"/>
      <c r="C85" s="5"/>
      <c r="D85" s="5"/>
      <c r="E85" s="5"/>
      <c r="F85" s="5"/>
      <c r="G85" s="5"/>
      <c r="H85" s="6"/>
      <c r="I85" s="6"/>
      <c r="J85" s="6"/>
      <c r="K85" s="6"/>
      <c r="L85" s="6"/>
      <c r="M85" s="6"/>
      <c r="N85" s="6"/>
      <c r="O85" s="6"/>
      <c r="P85" s="6"/>
      <c r="Q85" s="6"/>
      <c r="R85" s="5"/>
      <c r="S85" s="5"/>
    </row>
    <row r="86" spans="1:28" ht="30" customHeight="1" x14ac:dyDescent="0.3">
      <c r="A86" s="5"/>
      <c r="B86" s="5"/>
      <c r="C86" s="5"/>
      <c r="D86" s="5"/>
      <c r="E86" s="5"/>
      <c r="F86" s="5"/>
      <c r="G86" s="5"/>
      <c r="H86" s="771" t="s">
        <v>130</v>
      </c>
      <c r="I86" s="772"/>
      <c r="J86" s="772"/>
      <c r="K86" s="772"/>
      <c r="L86" s="772"/>
      <c r="M86" s="772"/>
      <c r="N86" s="772"/>
      <c r="O86" s="772"/>
      <c r="P86" s="773"/>
      <c r="Q86" s="6"/>
      <c r="R86" s="5"/>
      <c r="S86" s="5"/>
    </row>
    <row r="87" spans="1:28" ht="54" customHeight="1" thickBot="1" x14ac:dyDescent="0.35">
      <c r="A87" s="5"/>
      <c r="B87" s="5"/>
      <c r="C87" s="5"/>
      <c r="D87" s="5"/>
      <c r="E87" s="5"/>
      <c r="F87" s="5"/>
      <c r="G87" s="5"/>
      <c r="H87" s="107" t="s">
        <v>1021</v>
      </c>
      <c r="I87" s="108" t="s">
        <v>59</v>
      </c>
      <c r="J87" s="109" t="s">
        <v>1086</v>
      </c>
      <c r="K87" s="109" t="s">
        <v>1087</v>
      </c>
      <c r="L87" s="108" t="s">
        <v>1088</v>
      </c>
      <c r="M87" s="109" t="s">
        <v>1089</v>
      </c>
      <c r="N87" s="109" t="s">
        <v>1208</v>
      </c>
      <c r="O87" s="109" t="s">
        <v>1090</v>
      </c>
      <c r="P87" s="110" t="s">
        <v>1091</v>
      </c>
      <c r="Q87" s="6"/>
      <c r="R87" s="5"/>
      <c r="S87" s="5"/>
      <c r="V87" s="11"/>
      <c r="W87" s="11"/>
      <c r="X87" s="11"/>
      <c r="Y87" s="11"/>
      <c r="Z87" s="11"/>
      <c r="AA87" s="11"/>
      <c r="AB87" s="11"/>
    </row>
    <row r="88" spans="1:28" ht="30" customHeight="1" x14ac:dyDescent="0.3">
      <c r="A88" s="5"/>
      <c r="B88" s="5"/>
      <c r="C88" s="5"/>
      <c r="D88" s="5"/>
      <c r="E88" s="5"/>
      <c r="F88" s="5"/>
      <c r="G88" s="5"/>
      <c r="H88" s="111" t="s">
        <v>38</v>
      </c>
      <c r="I88" s="88">
        <v>36273</v>
      </c>
      <c r="J88" s="103">
        <v>56159</v>
      </c>
      <c r="K88" s="103">
        <v>40396</v>
      </c>
      <c r="L88" s="103">
        <v>0</v>
      </c>
      <c r="M88" s="103">
        <v>269584</v>
      </c>
      <c r="N88" s="103">
        <v>3518</v>
      </c>
      <c r="O88" s="103">
        <v>3487</v>
      </c>
      <c r="P88" s="112">
        <v>138.75</v>
      </c>
      <c r="Q88" s="6"/>
      <c r="R88" s="5"/>
      <c r="S88" s="5"/>
      <c r="V88" s="11"/>
      <c r="W88" s="11"/>
      <c r="X88" s="11"/>
      <c r="Y88" s="11"/>
      <c r="Z88" s="11"/>
      <c r="AA88" s="11"/>
      <c r="AB88" s="11"/>
    </row>
    <row r="89" spans="1:28" ht="30" customHeight="1" x14ac:dyDescent="0.3">
      <c r="A89" s="5"/>
      <c r="B89" s="5"/>
      <c r="C89" s="5"/>
      <c r="D89" s="5"/>
      <c r="E89" s="5"/>
      <c r="F89" s="5"/>
      <c r="G89" s="5"/>
      <c r="H89" s="111" t="s">
        <v>39</v>
      </c>
      <c r="I89" s="88">
        <v>23582</v>
      </c>
      <c r="J89" s="103">
        <v>34524</v>
      </c>
      <c r="K89" s="103">
        <v>26516</v>
      </c>
      <c r="L89" s="103">
        <v>0</v>
      </c>
      <c r="M89" s="103">
        <v>39571</v>
      </c>
      <c r="N89" s="103">
        <v>2079</v>
      </c>
      <c r="O89" s="103">
        <v>2060</v>
      </c>
      <c r="P89" s="112">
        <v>84.23</v>
      </c>
      <c r="Q89" s="6"/>
      <c r="R89" s="5"/>
      <c r="S89" s="5"/>
      <c r="V89" s="11"/>
      <c r="W89" s="11"/>
      <c r="X89" s="11"/>
      <c r="Y89" s="11"/>
      <c r="Z89" s="11"/>
      <c r="AA89" s="11"/>
      <c r="AB89" s="11"/>
    </row>
    <row r="90" spans="1:28" ht="30" customHeight="1" x14ac:dyDescent="0.3">
      <c r="A90" s="5"/>
      <c r="B90" s="5"/>
      <c r="C90" s="5"/>
      <c r="D90" s="5"/>
      <c r="E90" s="5"/>
      <c r="F90" s="5"/>
      <c r="G90" s="5"/>
      <c r="H90" s="111" t="s">
        <v>42</v>
      </c>
      <c r="I90" s="88">
        <v>23485</v>
      </c>
      <c r="J90" s="103">
        <v>35851</v>
      </c>
      <c r="K90" s="103">
        <v>37376</v>
      </c>
      <c r="L90" s="103">
        <v>0</v>
      </c>
      <c r="M90" s="103">
        <v>224987</v>
      </c>
      <c r="N90" s="103">
        <v>2691</v>
      </c>
      <c r="O90" s="103">
        <v>2668</v>
      </c>
      <c r="P90" s="112">
        <v>116.64</v>
      </c>
      <c r="Q90" s="6"/>
      <c r="R90" s="5"/>
      <c r="S90" s="5"/>
      <c r="V90" s="11"/>
      <c r="W90" s="11"/>
      <c r="X90" s="11"/>
      <c r="Y90" s="11"/>
      <c r="Z90" s="11"/>
      <c r="AA90" s="11"/>
      <c r="AB90" s="11"/>
    </row>
    <row r="91" spans="1:28" ht="30" customHeight="1" x14ac:dyDescent="0.3">
      <c r="A91" s="5"/>
      <c r="B91" s="5"/>
      <c r="C91" s="5"/>
      <c r="D91" s="5"/>
      <c r="E91" s="5"/>
      <c r="F91" s="5"/>
      <c r="G91" s="5"/>
      <c r="H91" s="111" t="s">
        <v>50</v>
      </c>
      <c r="I91" s="88">
        <v>203634</v>
      </c>
      <c r="J91" s="103">
        <v>0</v>
      </c>
      <c r="K91" s="103">
        <v>22678</v>
      </c>
      <c r="L91" s="103">
        <v>0</v>
      </c>
      <c r="M91" s="103">
        <v>10152</v>
      </c>
      <c r="N91" s="103">
        <v>767</v>
      </c>
      <c r="O91" s="103">
        <v>758</v>
      </c>
      <c r="P91" s="112">
        <v>35.17</v>
      </c>
      <c r="Q91" s="6"/>
      <c r="R91" s="5"/>
      <c r="S91" s="5"/>
      <c r="V91" s="11"/>
      <c r="W91" s="11"/>
      <c r="X91" s="11"/>
      <c r="Y91" s="11"/>
      <c r="Z91" s="11"/>
      <c r="AA91" s="11"/>
      <c r="AB91" s="11"/>
    </row>
    <row r="92" spans="1:28" ht="30" customHeight="1" x14ac:dyDescent="0.3">
      <c r="A92" s="5"/>
      <c r="B92" s="5"/>
      <c r="C92" s="5"/>
      <c r="D92" s="5"/>
      <c r="E92" s="5"/>
      <c r="F92" s="5"/>
      <c r="G92" s="5"/>
      <c r="H92" s="111" t="s">
        <v>43</v>
      </c>
      <c r="I92" s="88">
        <v>9225</v>
      </c>
      <c r="J92" s="103">
        <v>1446</v>
      </c>
      <c r="K92" s="103">
        <v>37619</v>
      </c>
      <c r="L92" s="103">
        <v>0</v>
      </c>
      <c r="M92" s="103">
        <v>20903</v>
      </c>
      <c r="N92" s="103">
        <v>1325</v>
      </c>
      <c r="O92" s="103">
        <v>1321</v>
      </c>
      <c r="P92" s="112">
        <v>102.50999999999999</v>
      </c>
      <c r="Q92" s="6"/>
      <c r="R92" s="5"/>
      <c r="S92" s="5"/>
      <c r="V92" s="11"/>
      <c r="W92" s="11"/>
      <c r="X92" s="11"/>
      <c r="Y92" s="11"/>
      <c r="Z92" s="11"/>
      <c r="AA92" s="11"/>
      <c r="AB92" s="11"/>
    </row>
    <row r="93" spans="1:28" ht="30" customHeight="1" x14ac:dyDescent="0.3">
      <c r="A93" s="5"/>
      <c r="B93" s="5"/>
      <c r="C93" s="5"/>
      <c r="D93" s="5"/>
      <c r="E93" s="5"/>
      <c r="F93" s="5"/>
      <c r="G93" s="5"/>
      <c r="H93" s="111" t="s">
        <v>47</v>
      </c>
      <c r="I93" s="88">
        <v>33965</v>
      </c>
      <c r="J93" s="103">
        <v>291</v>
      </c>
      <c r="K93" s="103">
        <v>13237</v>
      </c>
      <c r="L93" s="103">
        <v>0</v>
      </c>
      <c r="M93" s="103">
        <v>6800</v>
      </c>
      <c r="N93" s="103">
        <v>458</v>
      </c>
      <c r="O93" s="103">
        <v>455</v>
      </c>
      <c r="P93" s="112">
        <v>31.914999999999999</v>
      </c>
      <c r="Q93" s="6"/>
      <c r="R93" s="5"/>
      <c r="S93" s="5"/>
      <c r="V93" s="11"/>
      <c r="W93" s="11"/>
      <c r="X93" s="11"/>
      <c r="Y93" s="11"/>
      <c r="Z93" s="11"/>
      <c r="AA93" s="11"/>
      <c r="AB93" s="11"/>
    </row>
    <row r="94" spans="1:28" ht="30" customHeight="1" x14ac:dyDescent="0.3">
      <c r="A94" s="5"/>
      <c r="B94" s="5"/>
      <c r="C94" s="5"/>
      <c r="D94" s="5"/>
      <c r="E94" s="5"/>
      <c r="F94" s="5"/>
      <c r="G94" s="5"/>
      <c r="H94" s="111" t="s">
        <v>49</v>
      </c>
      <c r="I94" s="88">
        <v>133965</v>
      </c>
      <c r="J94" s="103">
        <v>45</v>
      </c>
      <c r="K94" s="103">
        <v>10040</v>
      </c>
      <c r="L94" s="103">
        <v>0</v>
      </c>
      <c r="M94" s="103">
        <v>3496</v>
      </c>
      <c r="N94" s="103">
        <v>340</v>
      </c>
      <c r="O94" s="103">
        <v>334</v>
      </c>
      <c r="P94" s="112">
        <v>24.815000000000001</v>
      </c>
      <c r="Q94" s="6"/>
      <c r="R94" s="5"/>
      <c r="S94" s="5"/>
      <c r="V94" s="11"/>
      <c r="W94" s="11"/>
      <c r="X94" s="11"/>
      <c r="Y94" s="11"/>
      <c r="Z94" s="11"/>
      <c r="AA94" s="11"/>
      <c r="AB94" s="11"/>
    </row>
    <row r="95" spans="1:28" ht="30" customHeight="1" x14ac:dyDescent="0.3">
      <c r="A95" s="5"/>
      <c r="B95" s="5"/>
      <c r="C95" s="5"/>
      <c r="D95" s="5"/>
      <c r="E95" s="5"/>
      <c r="F95" s="5"/>
      <c r="G95" s="5"/>
      <c r="H95" s="113" t="s">
        <v>48</v>
      </c>
      <c r="I95" s="88">
        <v>3634</v>
      </c>
      <c r="J95" s="103">
        <v>57060</v>
      </c>
      <c r="K95" s="103">
        <v>127144</v>
      </c>
      <c r="L95" s="103">
        <v>0</v>
      </c>
      <c r="M95" s="103">
        <v>7420</v>
      </c>
      <c r="N95" s="103">
        <v>6148</v>
      </c>
      <c r="O95" s="103">
        <v>5960</v>
      </c>
      <c r="P95" s="112">
        <v>315.39499999999998</v>
      </c>
      <c r="Q95" s="6"/>
      <c r="R95" s="5"/>
      <c r="S95" s="5"/>
      <c r="V95" s="11"/>
      <c r="W95" s="11"/>
      <c r="X95" s="11"/>
      <c r="Y95" s="11"/>
      <c r="Z95" s="11"/>
      <c r="AA95" s="11"/>
      <c r="AB95" s="11"/>
    </row>
    <row r="96" spans="1:28" ht="30" customHeight="1" thickBot="1" x14ac:dyDescent="0.35">
      <c r="A96" s="5"/>
      <c r="B96" s="5"/>
      <c r="C96" s="5"/>
      <c r="D96" s="5"/>
      <c r="E96" s="5"/>
      <c r="F96" s="5"/>
      <c r="G96" s="5"/>
      <c r="H96" s="111" t="s">
        <v>46</v>
      </c>
      <c r="I96" s="88">
        <v>9932</v>
      </c>
      <c r="J96" s="103">
        <v>60</v>
      </c>
      <c r="K96" s="103">
        <v>19176</v>
      </c>
      <c r="L96" s="103">
        <v>0</v>
      </c>
      <c r="M96" s="103">
        <v>17684</v>
      </c>
      <c r="N96" s="103">
        <v>661</v>
      </c>
      <c r="O96" s="103">
        <v>656</v>
      </c>
      <c r="P96" s="112">
        <v>51.265000000000001</v>
      </c>
      <c r="Q96" s="6"/>
      <c r="R96" s="5"/>
      <c r="S96" s="5"/>
    </row>
    <row r="97" spans="1:19" ht="30" customHeight="1" x14ac:dyDescent="0.3">
      <c r="A97" s="5"/>
      <c r="B97" s="5"/>
      <c r="C97" s="5"/>
      <c r="D97" s="5"/>
      <c r="E97" s="5"/>
      <c r="F97" s="5"/>
      <c r="G97" s="5"/>
      <c r="H97" s="89"/>
      <c r="I97" s="7"/>
      <c r="J97" s="9">
        <f>SUBTOTAL(109,FTSETSTC[Academic
 SCH])</f>
        <v>185436</v>
      </c>
      <c r="K97" s="9">
        <f>SUBTOTAL(109,FTSETSTC[Technical
 SCH])</f>
        <v>334182</v>
      </c>
      <c r="L97" s="9">
        <f>SUBTOTAL(109,FTSETSTC[BAT SCH])</f>
        <v>0</v>
      </c>
      <c r="M97" s="9">
        <f>SUBTOTAL(109,FTSETSTC[Continuing Ed. SCH])</f>
        <v>600597</v>
      </c>
      <c r="N97" s="10">
        <f>SUBTOTAL(109,FTSETSTC[Full-Time Student
Equivalents1])</f>
        <v>17987</v>
      </c>
      <c r="O97" s="10" t="s">
        <v>1092</v>
      </c>
      <c r="P97" s="90">
        <f>SUBTOTAL(109,FTSETSTC[Fall 
Faculty FTE])</f>
        <v>900.69</v>
      </c>
      <c r="Q97" s="6"/>
      <c r="R97" s="5"/>
      <c r="S97" s="5"/>
    </row>
    <row r="98" spans="1:19" ht="30" customHeight="1" x14ac:dyDescent="0.3">
      <c r="A98" s="5"/>
      <c r="B98" s="5"/>
      <c r="C98" s="5"/>
      <c r="D98" s="5"/>
      <c r="E98" s="5"/>
      <c r="F98" s="5"/>
      <c r="G98" s="5"/>
      <c r="H98" s="774" t="s">
        <v>1093</v>
      </c>
      <c r="I98" s="774"/>
      <c r="J98" s="774"/>
      <c r="K98" s="774"/>
      <c r="L98" s="774"/>
      <c r="M98" s="774"/>
      <c r="N98" s="774"/>
      <c r="O98" s="774"/>
      <c r="P98" s="774"/>
      <c r="Q98" s="6"/>
      <c r="R98" s="5"/>
      <c r="S98" s="5"/>
    </row>
    <row r="99" spans="1:19" ht="30" customHeight="1" x14ac:dyDescent="0.3">
      <c r="A99" s="5"/>
      <c r="B99" s="5"/>
      <c r="C99" s="5"/>
      <c r="D99" s="5"/>
      <c r="E99" s="5"/>
      <c r="F99" s="5"/>
      <c r="G99" s="5"/>
      <c r="H99" s="770" t="s">
        <v>1094</v>
      </c>
      <c r="I99" s="770"/>
      <c r="J99" s="770"/>
      <c r="K99" s="770"/>
      <c r="L99" s="770"/>
      <c r="M99" s="770"/>
      <c r="N99" s="770"/>
      <c r="O99" s="770"/>
      <c r="P99" s="770"/>
      <c r="Q99" s="6"/>
      <c r="R99" s="5"/>
      <c r="S99" s="5"/>
    </row>
    <row r="100" spans="1:19" ht="30" customHeight="1" x14ac:dyDescent="0.3">
      <c r="A100" s="5"/>
      <c r="B100" s="5"/>
      <c r="C100" s="5"/>
      <c r="D100" s="5"/>
      <c r="E100" s="5"/>
      <c r="F100" s="5"/>
      <c r="G100" s="5"/>
      <c r="H100" s="770" t="s">
        <v>1095</v>
      </c>
      <c r="I100" s="770"/>
      <c r="J100" s="770"/>
      <c r="K100" s="770"/>
      <c r="L100" s="770"/>
      <c r="M100" s="770"/>
      <c r="N100" s="770"/>
      <c r="O100" s="770"/>
      <c r="P100" s="770"/>
      <c r="Q100" s="6"/>
      <c r="R100" s="5"/>
      <c r="S100" s="5"/>
    </row>
    <row r="101" spans="1:19" ht="30" customHeight="1" x14ac:dyDescent="0.3">
      <c r="A101" s="5"/>
      <c r="B101" s="5"/>
      <c r="C101" s="5"/>
      <c r="D101" s="5"/>
      <c r="E101" s="5"/>
      <c r="F101" s="5"/>
      <c r="G101" s="5"/>
      <c r="H101" s="6"/>
      <c r="I101" s="6"/>
      <c r="J101" s="6"/>
      <c r="K101" s="6"/>
      <c r="L101" s="6"/>
      <c r="M101" s="6"/>
      <c r="N101" s="6"/>
      <c r="O101" s="6"/>
      <c r="P101" s="6"/>
      <c r="Q101" s="6"/>
      <c r="R101" s="5"/>
      <c r="S101" s="5"/>
    </row>
    <row r="102" spans="1:19" ht="30" customHeight="1" x14ac:dyDescent="0.3">
      <c r="A102" s="5"/>
      <c r="B102" s="5"/>
      <c r="C102" s="5"/>
      <c r="D102" s="5"/>
      <c r="E102" s="5"/>
      <c r="F102" s="5"/>
      <c r="G102" s="5"/>
      <c r="H102" s="771" t="s">
        <v>108</v>
      </c>
      <c r="I102" s="772"/>
      <c r="J102" s="772"/>
      <c r="K102" s="772"/>
      <c r="L102" s="772"/>
      <c r="M102" s="772"/>
      <c r="N102" s="772"/>
      <c r="O102" s="772"/>
      <c r="P102" s="772"/>
      <c r="Q102" s="773"/>
      <c r="R102" s="5"/>
      <c r="S102" s="5"/>
    </row>
    <row r="103" spans="1:19" ht="54" customHeight="1" thickBot="1" x14ac:dyDescent="0.35">
      <c r="A103" s="5"/>
      <c r="B103" s="5"/>
      <c r="C103" s="5"/>
      <c r="D103" s="5"/>
      <c r="E103" s="5"/>
      <c r="F103" s="5"/>
      <c r="G103" s="5"/>
      <c r="H103" s="99" t="s">
        <v>1021</v>
      </c>
      <c r="I103" s="100" t="s">
        <v>59</v>
      </c>
      <c r="J103" s="100" t="s">
        <v>1022</v>
      </c>
      <c r="K103" s="100" t="s">
        <v>1096</v>
      </c>
      <c r="L103" s="100" t="s">
        <v>159</v>
      </c>
      <c r="M103" s="101" t="s">
        <v>1097</v>
      </c>
      <c r="N103" s="100" t="s">
        <v>1098</v>
      </c>
      <c r="O103" s="101" t="s">
        <v>1205</v>
      </c>
      <c r="P103" s="101" t="s">
        <v>1206</v>
      </c>
      <c r="Q103" s="102" t="s">
        <v>1207</v>
      </c>
      <c r="R103" s="5"/>
      <c r="S103" s="5"/>
    </row>
    <row r="104" spans="1:19" ht="30" customHeight="1" x14ac:dyDescent="0.3">
      <c r="A104" s="5"/>
      <c r="B104" s="5"/>
      <c r="C104" s="5"/>
      <c r="D104" s="5"/>
      <c r="E104" s="5"/>
      <c r="F104" s="5"/>
      <c r="G104" s="5"/>
      <c r="H104" s="93" t="s">
        <v>29</v>
      </c>
      <c r="I104" s="91">
        <v>3656</v>
      </c>
      <c r="J104" s="103">
        <v>354943</v>
      </c>
      <c r="K104" s="103">
        <v>64020</v>
      </c>
      <c r="L104" s="103">
        <v>7290</v>
      </c>
      <c r="M104" s="103">
        <v>0</v>
      </c>
      <c r="N104" s="103">
        <v>0</v>
      </c>
      <c r="O104" s="103">
        <v>29808</v>
      </c>
      <c r="P104" s="103">
        <v>33319</v>
      </c>
      <c r="Q104" s="104">
        <v>344</v>
      </c>
      <c r="R104" s="5"/>
      <c r="S104" s="5"/>
    </row>
    <row r="105" spans="1:19" ht="30" customHeight="1" x14ac:dyDescent="0.3">
      <c r="A105" s="5"/>
      <c r="B105" s="5"/>
      <c r="C105" s="5"/>
      <c r="D105" s="5"/>
      <c r="E105" s="5"/>
      <c r="F105" s="5"/>
      <c r="G105" s="5"/>
      <c r="H105" s="92" t="s">
        <v>40</v>
      </c>
      <c r="I105" s="91">
        <v>3658</v>
      </c>
      <c r="J105" s="103">
        <v>588337</v>
      </c>
      <c r="K105" s="103">
        <v>49986</v>
      </c>
      <c r="L105" s="103">
        <v>35854</v>
      </c>
      <c r="M105" s="103">
        <v>20856</v>
      </c>
      <c r="N105" s="103">
        <v>0</v>
      </c>
      <c r="O105" s="103">
        <v>49110</v>
      </c>
      <c r="P105" s="103">
        <v>50913</v>
      </c>
      <c r="Q105" s="104">
        <v>1622</v>
      </c>
      <c r="R105" s="5"/>
      <c r="S105" s="5"/>
    </row>
    <row r="106" spans="1:19" ht="30" customHeight="1" x14ac:dyDescent="0.3">
      <c r="A106" s="5"/>
      <c r="B106" s="5"/>
      <c r="C106" s="5"/>
      <c r="D106" s="5"/>
      <c r="E106" s="5"/>
      <c r="F106" s="5"/>
      <c r="G106" s="5"/>
      <c r="H106" s="93" t="s">
        <v>52</v>
      </c>
      <c r="I106" s="91">
        <v>9741</v>
      </c>
      <c r="J106" s="103">
        <v>290777</v>
      </c>
      <c r="K106" s="103">
        <v>56464</v>
      </c>
      <c r="L106" s="103">
        <v>11699</v>
      </c>
      <c r="M106" s="103">
        <v>398</v>
      </c>
      <c r="N106" s="103">
        <v>0</v>
      </c>
      <c r="O106" s="103">
        <v>25424</v>
      </c>
      <c r="P106" s="103">
        <v>25477</v>
      </c>
      <c r="Q106" s="104">
        <v>557</v>
      </c>
      <c r="R106" s="5"/>
      <c r="S106" s="5"/>
    </row>
    <row r="107" spans="1:19" ht="30" customHeight="1" x14ac:dyDescent="0.3">
      <c r="A107" s="5"/>
      <c r="B107" s="5"/>
      <c r="C107" s="5"/>
      <c r="D107" s="5"/>
      <c r="E107" s="5"/>
      <c r="F107" s="5"/>
      <c r="G107" s="5"/>
      <c r="H107" s="93" t="s">
        <v>55</v>
      </c>
      <c r="I107" s="91">
        <v>3661</v>
      </c>
      <c r="J107" s="103">
        <v>244641</v>
      </c>
      <c r="K107" s="103">
        <v>16033</v>
      </c>
      <c r="L107" s="103">
        <v>6501</v>
      </c>
      <c r="M107" s="103">
        <v>3757</v>
      </c>
      <c r="N107" s="103">
        <v>0</v>
      </c>
      <c r="O107" s="103">
        <v>18681</v>
      </c>
      <c r="P107" s="103">
        <v>20515</v>
      </c>
      <c r="Q107" s="104">
        <v>313</v>
      </c>
      <c r="R107" s="5"/>
      <c r="S107" s="5"/>
    </row>
    <row r="108" spans="1:19" ht="30" customHeight="1" x14ac:dyDescent="0.3">
      <c r="A108" s="5"/>
      <c r="B108" s="5"/>
      <c r="C108" s="5"/>
      <c r="D108" s="5"/>
      <c r="E108" s="5"/>
      <c r="F108" s="5"/>
      <c r="G108" s="5"/>
      <c r="H108" s="92" t="s">
        <v>164</v>
      </c>
      <c r="I108" s="91">
        <v>3599</v>
      </c>
      <c r="J108" s="103">
        <v>355275</v>
      </c>
      <c r="K108" s="103">
        <v>26013</v>
      </c>
      <c r="L108" s="103">
        <v>3744</v>
      </c>
      <c r="M108" s="103">
        <v>0</v>
      </c>
      <c r="N108" s="103">
        <v>0</v>
      </c>
      <c r="O108" s="103">
        <v>26269</v>
      </c>
      <c r="P108" s="103">
        <v>29153</v>
      </c>
      <c r="Q108" s="104">
        <v>336</v>
      </c>
      <c r="R108" s="5"/>
      <c r="S108" s="5"/>
    </row>
    <row r="109" spans="1:19" ht="30" customHeight="1" x14ac:dyDescent="0.3">
      <c r="A109" s="5"/>
      <c r="B109" s="5"/>
      <c r="C109" s="5"/>
      <c r="D109" s="5"/>
      <c r="E109" s="5"/>
      <c r="F109" s="5"/>
      <c r="G109" s="5"/>
      <c r="H109" s="93" t="s">
        <v>1</v>
      </c>
      <c r="I109" s="91">
        <v>9930</v>
      </c>
      <c r="J109" s="103">
        <v>41434</v>
      </c>
      <c r="K109" s="103">
        <v>4105</v>
      </c>
      <c r="L109" s="103">
        <v>0</v>
      </c>
      <c r="M109" s="103">
        <v>0</v>
      </c>
      <c r="N109" s="103">
        <v>0</v>
      </c>
      <c r="O109" s="103">
        <v>3104</v>
      </c>
      <c r="P109" s="103">
        <v>3784</v>
      </c>
      <c r="Q109" s="104">
        <v>100</v>
      </c>
      <c r="R109" s="5"/>
      <c r="S109" s="5"/>
    </row>
    <row r="110" spans="1:19" ht="30" customHeight="1" x14ac:dyDescent="0.3">
      <c r="A110" s="5"/>
      <c r="B110" s="5"/>
      <c r="C110" s="5"/>
      <c r="D110" s="5"/>
      <c r="E110" s="5"/>
      <c r="F110" s="5"/>
      <c r="G110" s="5"/>
      <c r="H110" s="93" t="s">
        <v>2</v>
      </c>
      <c r="I110" s="91">
        <v>10115</v>
      </c>
      <c r="J110" s="103">
        <v>374090</v>
      </c>
      <c r="K110" s="103">
        <v>25777</v>
      </c>
      <c r="L110" s="103">
        <v>6979</v>
      </c>
      <c r="M110" s="103">
        <v>0</v>
      </c>
      <c r="N110" s="103">
        <v>0</v>
      </c>
      <c r="O110" s="103">
        <v>27863</v>
      </c>
      <c r="P110" s="103">
        <v>29190</v>
      </c>
      <c r="Q110" s="104">
        <v>605</v>
      </c>
      <c r="R110" s="5"/>
      <c r="S110" s="5"/>
    </row>
    <row r="111" spans="1:19" ht="30" customHeight="1" x14ac:dyDescent="0.3">
      <c r="A111" s="5"/>
      <c r="B111" s="5"/>
      <c r="C111" s="5"/>
      <c r="D111" s="5"/>
      <c r="E111" s="5"/>
      <c r="F111" s="5"/>
      <c r="G111" s="5"/>
      <c r="H111" s="93" t="s">
        <v>3</v>
      </c>
      <c r="I111" s="91">
        <v>11163</v>
      </c>
      <c r="J111" s="103">
        <v>90026</v>
      </c>
      <c r="K111" s="103">
        <v>12636</v>
      </c>
      <c r="L111" s="103">
        <v>1201</v>
      </c>
      <c r="M111" s="103">
        <v>1529</v>
      </c>
      <c r="N111" s="103">
        <v>0</v>
      </c>
      <c r="O111" s="103">
        <v>7316</v>
      </c>
      <c r="P111" s="103">
        <v>8877</v>
      </c>
      <c r="Q111" s="104">
        <v>150</v>
      </c>
      <c r="R111" s="5"/>
      <c r="S111" s="5"/>
    </row>
    <row r="112" spans="1:19" ht="30" customHeight="1" x14ac:dyDescent="0.3">
      <c r="A112" s="5"/>
      <c r="B112" s="5"/>
      <c r="C112" s="5"/>
      <c r="D112" s="5"/>
      <c r="E112" s="5"/>
      <c r="F112" s="5"/>
      <c r="G112" s="5"/>
      <c r="H112" s="93" t="s">
        <v>27</v>
      </c>
      <c r="I112" s="91">
        <v>3624</v>
      </c>
      <c r="J112" s="103">
        <v>121562</v>
      </c>
      <c r="K112" s="103">
        <v>8898</v>
      </c>
      <c r="L112" s="103">
        <v>689</v>
      </c>
      <c r="M112" s="103">
        <v>0</v>
      </c>
      <c r="N112" s="103">
        <v>0</v>
      </c>
      <c r="O112" s="103">
        <v>8922</v>
      </c>
      <c r="P112" s="103">
        <v>8860</v>
      </c>
      <c r="Q112" s="104">
        <v>353</v>
      </c>
      <c r="R112" s="5"/>
      <c r="S112" s="5"/>
    </row>
    <row r="113" spans="1:19" ht="30" customHeight="1" x14ac:dyDescent="0.3">
      <c r="A113" s="5"/>
      <c r="B113" s="5"/>
      <c r="C113" s="5"/>
      <c r="D113" s="5"/>
      <c r="E113" s="5"/>
      <c r="F113" s="5"/>
      <c r="G113" s="5"/>
      <c r="H113" s="93" t="s">
        <v>4</v>
      </c>
      <c r="I113" s="91">
        <v>3632</v>
      </c>
      <c r="J113" s="103">
        <v>749308</v>
      </c>
      <c r="K113" s="103">
        <v>71061</v>
      </c>
      <c r="L113" s="103">
        <v>33364</v>
      </c>
      <c r="M113" s="103">
        <v>21378</v>
      </c>
      <c r="N113" s="103">
        <v>0</v>
      </c>
      <c r="O113" s="103">
        <v>61364</v>
      </c>
      <c r="P113" s="103">
        <v>63243</v>
      </c>
      <c r="Q113" s="104">
        <v>1558</v>
      </c>
      <c r="R113" s="5"/>
      <c r="S113" s="5"/>
    </row>
    <row r="114" spans="1:19" ht="30" customHeight="1" x14ac:dyDescent="0.3">
      <c r="A114" s="5"/>
      <c r="B114" s="5"/>
      <c r="C114" s="5"/>
      <c r="D114" s="5"/>
      <c r="E114" s="5"/>
      <c r="F114" s="5"/>
      <c r="G114" s="5"/>
      <c r="H114" s="93" t="s">
        <v>5</v>
      </c>
      <c r="I114" s="91">
        <v>10298</v>
      </c>
      <c r="J114" s="103">
        <v>26740</v>
      </c>
      <c r="K114" s="103">
        <v>960</v>
      </c>
      <c r="L114" s="103">
        <v>509</v>
      </c>
      <c r="M114" s="103">
        <v>0</v>
      </c>
      <c r="N114" s="103">
        <v>0</v>
      </c>
      <c r="O114" s="103">
        <v>1919</v>
      </c>
      <c r="P114" s="103">
        <v>1852</v>
      </c>
      <c r="Q114" s="104">
        <v>43</v>
      </c>
      <c r="R114" s="5"/>
      <c r="S114" s="5"/>
    </row>
    <row r="115" spans="1:19" ht="30" customHeight="1" x14ac:dyDescent="0.3">
      <c r="A115" s="5"/>
      <c r="B115" s="5"/>
      <c r="C115" s="5"/>
      <c r="D115" s="5"/>
      <c r="E115" s="5"/>
      <c r="F115" s="5"/>
      <c r="G115" s="5"/>
      <c r="H115" s="93" t="s">
        <v>6</v>
      </c>
      <c r="I115" s="91">
        <v>3630</v>
      </c>
      <c r="J115" s="103">
        <v>120479</v>
      </c>
      <c r="K115" s="103">
        <v>6244</v>
      </c>
      <c r="L115" s="103">
        <v>1054</v>
      </c>
      <c r="M115" s="103">
        <v>0</v>
      </c>
      <c r="N115" s="103">
        <v>0</v>
      </c>
      <c r="O115" s="103">
        <v>8669</v>
      </c>
      <c r="P115" s="103">
        <v>8992</v>
      </c>
      <c r="Q115" s="104">
        <v>223</v>
      </c>
      <c r="R115" s="5"/>
      <c r="S115" s="5"/>
    </row>
    <row r="116" spans="1:19" ht="30" customHeight="1" x14ac:dyDescent="0.3">
      <c r="A116" s="5"/>
      <c r="B116" s="5"/>
      <c r="C116" s="5"/>
      <c r="D116" s="5"/>
      <c r="E116" s="5"/>
      <c r="F116" s="5"/>
      <c r="G116" s="5"/>
      <c r="H116" s="93" t="s">
        <v>7</v>
      </c>
      <c r="I116" s="91">
        <v>3631</v>
      </c>
      <c r="J116" s="103">
        <v>168458</v>
      </c>
      <c r="K116" s="103">
        <v>12194</v>
      </c>
      <c r="L116" s="103">
        <v>918</v>
      </c>
      <c r="M116" s="103">
        <v>0</v>
      </c>
      <c r="N116" s="103">
        <v>0</v>
      </c>
      <c r="O116" s="103">
        <v>12349</v>
      </c>
      <c r="P116" s="103">
        <v>13369</v>
      </c>
      <c r="Q116" s="104">
        <v>189</v>
      </c>
      <c r="R116" s="5"/>
      <c r="S116" s="5"/>
    </row>
    <row r="117" spans="1:19" ht="30" customHeight="1" x14ac:dyDescent="0.3">
      <c r="A117" s="5"/>
      <c r="B117" s="5"/>
      <c r="C117" s="5"/>
      <c r="D117" s="5"/>
      <c r="E117" s="5"/>
      <c r="F117" s="5"/>
      <c r="G117" s="5"/>
      <c r="H117" s="93" t="s">
        <v>8</v>
      </c>
      <c r="I117" s="91">
        <v>11161</v>
      </c>
      <c r="J117" s="103">
        <v>105161</v>
      </c>
      <c r="K117" s="103">
        <v>13705</v>
      </c>
      <c r="L117" s="103">
        <v>1831</v>
      </c>
      <c r="M117" s="103">
        <v>0</v>
      </c>
      <c r="N117" s="103">
        <v>0</v>
      </c>
      <c r="O117" s="103">
        <v>8356</v>
      </c>
      <c r="P117" s="103">
        <v>9531</v>
      </c>
      <c r="Q117" s="104">
        <v>153</v>
      </c>
      <c r="R117" s="5"/>
      <c r="S117" s="5"/>
    </row>
    <row r="118" spans="1:19" ht="30" customHeight="1" x14ac:dyDescent="0.3">
      <c r="A118" s="5"/>
      <c r="B118" s="5"/>
      <c r="C118" s="5"/>
      <c r="D118" s="5"/>
      <c r="E118" s="5"/>
      <c r="F118" s="5"/>
      <c r="G118" s="5"/>
      <c r="H118" s="93" t="s">
        <v>9</v>
      </c>
      <c r="I118" s="91">
        <v>3639</v>
      </c>
      <c r="J118" s="103">
        <v>67122</v>
      </c>
      <c r="K118" s="103">
        <v>9861</v>
      </c>
      <c r="L118" s="103">
        <v>851</v>
      </c>
      <c r="M118" s="103">
        <v>0</v>
      </c>
      <c r="N118" s="103">
        <v>0</v>
      </c>
      <c r="O118" s="103">
        <v>5391</v>
      </c>
      <c r="P118" s="103">
        <v>5640</v>
      </c>
      <c r="Q118" s="104">
        <v>202</v>
      </c>
      <c r="R118" s="5"/>
      <c r="S118" s="5"/>
    </row>
    <row r="119" spans="1:19" ht="30" customHeight="1" x14ac:dyDescent="0.3">
      <c r="A119" s="5"/>
      <c r="B119" s="5"/>
      <c r="C119" s="5"/>
      <c r="D119" s="5"/>
      <c r="E119" s="5"/>
      <c r="F119" s="5"/>
      <c r="G119" s="5"/>
      <c r="H119" s="93" t="s">
        <v>10</v>
      </c>
      <c r="I119" s="91">
        <v>9651</v>
      </c>
      <c r="J119" s="103">
        <v>87669</v>
      </c>
      <c r="K119" s="103">
        <v>6393</v>
      </c>
      <c r="L119" s="103">
        <v>247</v>
      </c>
      <c r="M119" s="103">
        <v>0</v>
      </c>
      <c r="N119" s="103">
        <v>0</v>
      </c>
      <c r="O119" s="103">
        <v>6405</v>
      </c>
      <c r="P119" s="103">
        <v>7562</v>
      </c>
      <c r="Q119" s="104">
        <v>142</v>
      </c>
      <c r="R119" s="5"/>
      <c r="S119" s="5"/>
    </row>
    <row r="120" spans="1:19" ht="30" customHeight="1" x14ac:dyDescent="0.3">
      <c r="A120" s="5"/>
      <c r="B120" s="5"/>
      <c r="C120" s="5"/>
      <c r="D120" s="5"/>
      <c r="E120" s="5"/>
      <c r="F120" s="5"/>
      <c r="G120" s="5"/>
      <c r="H120" s="93" t="s">
        <v>11</v>
      </c>
      <c r="I120" s="91">
        <v>3665</v>
      </c>
      <c r="J120" s="103">
        <v>87034</v>
      </c>
      <c r="K120" s="103">
        <v>12294</v>
      </c>
      <c r="L120" s="103">
        <v>586</v>
      </c>
      <c r="M120" s="103">
        <v>0</v>
      </c>
      <c r="N120" s="103">
        <v>0</v>
      </c>
      <c r="O120" s="103">
        <v>6892</v>
      </c>
      <c r="P120" s="103">
        <v>7338</v>
      </c>
      <c r="Q120" s="104">
        <v>149</v>
      </c>
      <c r="R120" s="5"/>
      <c r="S120" s="5"/>
    </row>
    <row r="121" spans="1:19" ht="30" customHeight="1" x14ac:dyDescent="0.3">
      <c r="A121" s="5"/>
      <c r="B121" s="5"/>
      <c r="C121" s="5"/>
      <c r="D121" s="5"/>
      <c r="E121" s="5"/>
      <c r="F121" s="5"/>
      <c r="G121" s="5"/>
      <c r="H121" s="93" t="s">
        <v>12</v>
      </c>
      <c r="I121" s="91">
        <v>3565</v>
      </c>
      <c r="J121" s="103">
        <v>97022</v>
      </c>
      <c r="K121" s="103">
        <v>19109</v>
      </c>
      <c r="L121" s="103">
        <v>1629</v>
      </c>
      <c r="M121" s="103">
        <v>0</v>
      </c>
      <c r="N121" s="103">
        <v>0</v>
      </c>
      <c r="O121" s="103">
        <v>8242</v>
      </c>
      <c r="P121" s="103">
        <v>10094</v>
      </c>
      <c r="Q121" s="104">
        <v>184</v>
      </c>
      <c r="R121" s="5"/>
      <c r="S121" s="5"/>
    </row>
    <row r="122" spans="1:19" ht="30" customHeight="1" x14ac:dyDescent="0.3">
      <c r="A122" s="5"/>
      <c r="B122" s="5"/>
      <c r="C122" s="5"/>
      <c r="D122" s="5"/>
      <c r="E122" s="5"/>
      <c r="F122" s="5"/>
      <c r="G122" s="5"/>
      <c r="H122" s="93" t="s">
        <v>13</v>
      </c>
      <c r="I122" s="91">
        <v>29269</v>
      </c>
      <c r="J122" s="103">
        <v>21781</v>
      </c>
      <c r="K122" s="103">
        <v>2055</v>
      </c>
      <c r="L122" s="103">
        <v>183</v>
      </c>
      <c r="M122" s="103">
        <v>0</v>
      </c>
      <c r="N122" s="103">
        <v>0</v>
      </c>
      <c r="O122" s="103">
        <v>1644</v>
      </c>
      <c r="P122" s="103">
        <v>1699</v>
      </c>
      <c r="Q122" s="104">
        <v>68</v>
      </c>
      <c r="R122" s="5"/>
      <c r="S122" s="5"/>
    </row>
    <row r="123" spans="1:19" ht="30" customHeight="1" x14ac:dyDescent="0.3">
      <c r="A123" s="5"/>
      <c r="B123" s="5"/>
      <c r="C123" s="5"/>
      <c r="D123" s="5"/>
      <c r="E123" s="5"/>
      <c r="F123" s="5"/>
      <c r="G123" s="5"/>
      <c r="H123" s="93" t="s">
        <v>14</v>
      </c>
      <c r="I123" s="91">
        <v>42295</v>
      </c>
      <c r="J123" s="103">
        <v>15813</v>
      </c>
      <c r="K123" s="103">
        <v>3792</v>
      </c>
      <c r="L123" s="103">
        <v>0</v>
      </c>
      <c r="M123" s="103">
        <v>0</v>
      </c>
      <c r="N123" s="103">
        <v>0</v>
      </c>
      <c r="O123" s="103">
        <v>1370</v>
      </c>
      <c r="P123" s="103">
        <v>1811</v>
      </c>
      <c r="Q123" s="104">
        <v>63</v>
      </c>
      <c r="R123" s="5"/>
      <c r="S123" s="5"/>
    </row>
    <row r="124" spans="1:19" ht="30" customHeight="1" x14ac:dyDescent="0.3">
      <c r="A124" s="5"/>
      <c r="B124" s="5"/>
      <c r="C124" s="5"/>
      <c r="D124" s="5"/>
      <c r="E124" s="5"/>
      <c r="F124" s="5"/>
      <c r="G124" s="5"/>
      <c r="H124" s="93" t="s">
        <v>15</v>
      </c>
      <c r="I124" s="91">
        <v>42485</v>
      </c>
      <c r="J124" s="103">
        <v>75934</v>
      </c>
      <c r="K124" s="103">
        <v>5225</v>
      </c>
      <c r="L124" s="103">
        <v>0</v>
      </c>
      <c r="M124" s="103">
        <v>0</v>
      </c>
      <c r="N124" s="103">
        <v>0</v>
      </c>
      <c r="O124" s="103">
        <v>5498</v>
      </c>
      <c r="P124" s="103">
        <v>5683</v>
      </c>
      <c r="Q124" s="104">
        <v>134</v>
      </c>
      <c r="R124" s="5"/>
      <c r="S124" s="5"/>
    </row>
    <row r="125" spans="1:19" ht="30" customHeight="1" x14ac:dyDescent="0.3">
      <c r="A125" s="5"/>
      <c r="B125" s="5"/>
      <c r="C125" s="5"/>
      <c r="D125" s="5"/>
      <c r="E125" s="5"/>
      <c r="F125" s="5"/>
      <c r="G125" s="5"/>
      <c r="H125" s="92" t="s">
        <v>16</v>
      </c>
      <c r="I125" s="91">
        <v>3652</v>
      </c>
      <c r="J125" s="103">
        <v>479498</v>
      </c>
      <c r="K125" s="103">
        <v>41490</v>
      </c>
      <c r="L125" s="103">
        <v>13020</v>
      </c>
      <c r="M125" s="103">
        <v>19056</v>
      </c>
      <c r="N125" s="103">
        <v>6491</v>
      </c>
      <c r="O125" s="103">
        <v>38841</v>
      </c>
      <c r="P125" s="103">
        <v>40598</v>
      </c>
      <c r="Q125" s="104">
        <v>956</v>
      </c>
      <c r="R125" s="5"/>
      <c r="S125" s="5"/>
    </row>
    <row r="126" spans="1:19" ht="30" customHeight="1" x14ac:dyDescent="0.3">
      <c r="A126" s="5"/>
      <c r="B126" s="5"/>
      <c r="C126" s="5"/>
      <c r="D126" s="5"/>
      <c r="E126" s="5"/>
      <c r="F126" s="5"/>
      <c r="G126" s="5"/>
      <c r="H126" s="93" t="s">
        <v>17</v>
      </c>
      <c r="I126" s="91">
        <v>11711</v>
      </c>
      <c r="J126" s="103">
        <v>63811</v>
      </c>
      <c r="K126" s="103">
        <v>10830</v>
      </c>
      <c r="L126" s="103">
        <v>1062</v>
      </c>
      <c r="M126" s="103">
        <v>0</v>
      </c>
      <c r="N126" s="103">
        <v>0</v>
      </c>
      <c r="O126" s="103">
        <v>5274</v>
      </c>
      <c r="P126" s="103">
        <v>6008</v>
      </c>
      <c r="Q126" s="104">
        <v>226</v>
      </c>
      <c r="R126" s="5"/>
      <c r="S126" s="5"/>
    </row>
    <row r="127" spans="1:19" ht="30" customHeight="1" x14ac:dyDescent="0.3">
      <c r="A127" s="5"/>
      <c r="B127" s="5"/>
      <c r="C127" s="5"/>
      <c r="D127" s="5"/>
      <c r="E127" s="5"/>
      <c r="F127" s="5"/>
      <c r="G127" s="5"/>
      <c r="H127" s="93" t="s">
        <v>18</v>
      </c>
      <c r="I127" s="91">
        <v>12826</v>
      </c>
      <c r="J127" s="103">
        <v>124608</v>
      </c>
      <c r="K127" s="103">
        <v>5241</v>
      </c>
      <c r="L127" s="103">
        <v>0</v>
      </c>
      <c r="M127" s="103">
        <v>0</v>
      </c>
      <c r="N127" s="103">
        <v>0</v>
      </c>
      <c r="O127" s="103">
        <v>8744</v>
      </c>
      <c r="P127" s="103">
        <v>10405</v>
      </c>
      <c r="Q127" s="104">
        <v>237</v>
      </c>
      <c r="R127" s="5"/>
      <c r="S127" s="5"/>
    </row>
    <row r="128" spans="1:19" ht="30" customHeight="1" x14ac:dyDescent="0.3">
      <c r="A128" s="5"/>
      <c r="B128" s="5"/>
      <c r="C128" s="5"/>
      <c r="D128" s="5"/>
      <c r="E128" s="5"/>
      <c r="F128" s="5"/>
      <c r="G128" s="5"/>
      <c r="H128" s="93" t="s">
        <v>19</v>
      </c>
      <c r="I128" s="91">
        <v>13231</v>
      </c>
      <c r="J128" s="103">
        <v>26671</v>
      </c>
      <c r="K128" s="103">
        <v>5990</v>
      </c>
      <c r="L128" s="103">
        <v>0</v>
      </c>
      <c r="M128" s="103">
        <v>0</v>
      </c>
      <c r="N128" s="103">
        <v>0</v>
      </c>
      <c r="O128" s="103">
        <v>2277</v>
      </c>
      <c r="P128" s="103">
        <v>2681</v>
      </c>
      <c r="Q128" s="104">
        <v>96</v>
      </c>
      <c r="R128" s="5"/>
      <c r="S128" s="5"/>
    </row>
    <row r="129" spans="1:22" ht="30" customHeight="1" x14ac:dyDescent="0.3">
      <c r="A129" s="5"/>
      <c r="B129" s="5"/>
      <c r="C129" s="5"/>
      <c r="D129" s="5"/>
      <c r="E129" s="5"/>
      <c r="F129" s="5"/>
      <c r="G129" s="5"/>
      <c r="H129" s="93" t="s">
        <v>20</v>
      </c>
      <c r="I129" s="91">
        <v>3581</v>
      </c>
      <c r="J129" s="103">
        <v>101691</v>
      </c>
      <c r="K129" s="103">
        <v>69986</v>
      </c>
      <c r="L129" s="103">
        <v>2026</v>
      </c>
      <c r="M129" s="103">
        <v>390</v>
      </c>
      <c r="N129" s="103">
        <v>0</v>
      </c>
      <c r="O129" s="103">
        <v>12869</v>
      </c>
      <c r="P129" s="103">
        <v>14170</v>
      </c>
      <c r="Q129" s="104">
        <v>269</v>
      </c>
      <c r="R129" s="5"/>
      <c r="S129" s="5"/>
    </row>
    <row r="130" spans="1:22" ht="30" customHeight="1" x14ac:dyDescent="0.3">
      <c r="A130" s="5"/>
      <c r="B130" s="5"/>
      <c r="C130" s="5"/>
      <c r="D130" s="5"/>
      <c r="E130" s="5"/>
      <c r="F130" s="5"/>
      <c r="G130" s="5"/>
      <c r="H130" s="92" t="s">
        <v>21</v>
      </c>
      <c r="I130" s="91">
        <v>3606</v>
      </c>
      <c r="J130" s="103">
        <v>229405</v>
      </c>
      <c r="K130" s="103">
        <v>14979</v>
      </c>
      <c r="L130" s="103">
        <v>1874</v>
      </c>
      <c r="M130" s="103">
        <v>0</v>
      </c>
      <c r="N130" s="103">
        <v>0</v>
      </c>
      <c r="O130" s="103">
        <v>16750</v>
      </c>
      <c r="P130" s="103">
        <v>17145</v>
      </c>
      <c r="Q130" s="104">
        <v>397</v>
      </c>
      <c r="R130" s="5"/>
      <c r="S130" s="5"/>
    </row>
    <row r="131" spans="1:22" ht="30" customHeight="1" x14ac:dyDescent="0.3">
      <c r="A131" s="5"/>
      <c r="B131" s="5"/>
      <c r="C131" s="5"/>
      <c r="D131" s="5"/>
      <c r="E131" s="5"/>
      <c r="F131" s="5"/>
      <c r="G131" s="5"/>
      <c r="H131" s="93" t="s">
        <v>61</v>
      </c>
      <c r="I131" s="91">
        <v>3615</v>
      </c>
      <c r="J131" s="103">
        <v>475780</v>
      </c>
      <c r="K131" s="103">
        <v>26955</v>
      </c>
      <c r="L131" s="103">
        <v>3958</v>
      </c>
      <c r="M131" s="103">
        <v>1533</v>
      </c>
      <c r="N131" s="103">
        <v>0</v>
      </c>
      <c r="O131" s="103">
        <v>34532</v>
      </c>
      <c r="P131" s="103">
        <v>35201</v>
      </c>
      <c r="Q131" s="104">
        <v>493</v>
      </c>
      <c r="R131" s="5"/>
      <c r="S131" s="5"/>
    </row>
    <row r="132" spans="1:22" ht="30" customHeight="1" x14ac:dyDescent="0.3">
      <c r="A132" s="5"/>
      <c r="B132" s="5"/>
      <c r="C132" s="5"/>
      <c r="D132" s="5"/>
      <c r="E132" s="5"/>
      <c r="F132" s="5"/>
      <c r="G132" s="5"/>
      <c r="H132" s="93" t="s">
        <v>22</v>
      </c>
      <c r="I132" s="91">
        <v>3625</v>
      </c>
      <c r="J132" s="103">
        <v>18052</v>
      </c>
      <c r="K132" s="103">
        <v>2881</v>
      </c>
      <c r="L132" s="103">
        <v>0</v>
      </c>
      <c r="M132" s="103">
        <v>0</v>
      </c>
      <c r="N132" s="103">
        <v>0</v>
      </c>
      <c r="O132" s="103">
        <v>1444</v>
      </c>
      <c r="P132" s="103">
        <v>1560</v>
      </c>
      <c r="Q132" s="104">
        <v>74</v>
      </c>
      <c r="R132" s="5"/>
      <c r="S132" s="5"/>
    </row>
    <row r="133" spans="1:22" ht="30" customHeight="1" x14ac:dyDescent="0.3">
      <c r="A133" s="5"/>
      <c r="B133" s="5"/>
      <c r="C133" s="5"/>
      <c r="D133" s="5"/>
      <c r="E133" s="5"/>
      <c r="F133" s="5"/>
      <c r="G133" s="5"/>
      <c r="H133" s="93" t="s">
        <v>23</v>
      </c>
      <c r="I133" s="91">
        <v>3644</v>
      </c>
      <c r="J133" s="103">
        <v>452530</v>
      </c>
      <c r="K133" s="103">
        <v>35771</v>
      </c>
      <c r="L133" s="103">
        <v>19331</v>
      </c>
      <c r="M133" s="103">
        <v>15271</v>
      </c>
      <c r="N133" s="103">
        <v>0</v>
      </c>
      <c r="O133" s="103">
        <v>36570</v>
      </c>
      <c r="P133" s="103">
        <v>38546</v>
      </c>
      <c r="Q133" s="104">
        <v>1030</v>
      </c>
      <c r="R133" s="5"/>
      <c r="S133" s="5"/>
    </row>
    <row r="134" spans="1:22" ht="30" customHeight="1" x14ac:dyDescent="0.3">
      <c r="A134" s="5"/>
      <c r="B134" s="5"/>
      <c r="C134" s="5"/>
      <c r="D134" s="5"/>
      <c r="E134" s="5"/>
      <c r="F134" s="5"/>
      <c r="G134" s="5"/>
      <c r="H134" s="93" t="s">
        <v>24</v>
      </c>
      <c r="I134" s="91">
        <v>3541</v>
      </c>
      <c r="J134" s="103">
        <v>92239</v>
      </c>
      <c r="K134" s="103">
        <v>7699</v>
      </c>
      <c r="L134" s="103">
        <v>378</v>
      </c>
      <c r="M134" s="103">
        <v>862</v>
      </c>
      <c r="N134" s="103">
        <v>0</v>
      </c>
      <c r="O134" s="103">
        <v>6905</v>
      </c>
      <c r="P134" s="103">
        <v>8110</v>
      </c>
      <c r="Q134" s="104">
        <v>170</v>
      </c>
      <c r="R134" s="5"/>
      <c r="S134" s="5"/>
    </row>
    <row r="135" spans="1:22" ht="30" customHeight="1" x14ac:dyDescent="0.3">
      <c r="A135" s="5"/>
      <c r="B135" s="5"/>
      <c r="C135" s="5"/>
      <c r="D135" s="5"/>
      <c r="E135" s="5"/>
      <c r="F135" s="5"/>
      <c r="G135" s="5"/>
      <c r="H135" s="93" t="s">
        <v>62</v>
      </c>
      <c r="I135" s="91">
        <v>3594</v>
      </c>
      <c r="J135" s="103">
        <v>430569</v>
      </c>
      <c r="K135" s="103">
        <v>71955</v>
      </c>
      <c r="L135" s="103">
        <v>11052</v>
      </c>
      <c r="M135" s="103">
        <v>445</v>
      </c>
      <c r="N135" s="103">
        <v>0</v>
      </c>
      <c r="O135" s="103">
        <v>35966</v>
      </c>
      <c r="P135" s="103">
        <v>38778</v>
      </c>
      <c r="Q135" s="104">
        <v>599</v>
      </c>
      <c r="R135" s="5"/>
      <c r="S135" s="5"/>
    </row>
    <row r="136" spans="1:22" ht="30" customHeight="1" x14ac:dyDescent="0.3">
      <c r="A136" s="5"/>
      <c r="B136" s="5"/>
      <c r="C136" s="5"/>
      <c r="D136" s="5"/>
      <c r="E136" s="5"/>
      <c r="F136" s="5"/>
      <c r="G136" s="5"/>
      <c r="H136" s="93" t="s">
        <v>25</v>
      </c>
      <c r="I136" s="91">
        <v>42421</v>
      </c>
      <c r="J136" s="103">
        <v>32082</v>
      </c>
      <c r="K136" s="103">
        <v>2358</v>
      </c>
      <c r="L136" s="103">
        <v>0</v>
      </c>
      <c r="M136" s="103">
        <v>5852</v>
      </c>
      <c r="N136" s="103">
        <v>0</v>
      </c>
      <c r="O136" s="103">
        <v>2823</v>
      </c>
      <c r="P136" s="103">
        <v>3201</v>
      </c>
      <c r="Q136" s="104">
        <v>54</v>
      </c>
      <c r="R136" s="5"/>
      <c r="S136" s="5"/>
    </row>
    <row r="137" spans="1:22" ht="30" customHeight="1" x14ac:dyDescent="0.3">
      <c r="A137" s="5"/>
      <c r="B137" s="5"/>
      <c r="C137" s="5"/>
      <c r="D137" s="5"/>
      <c r="E137" s="5"/>
      <c r="F137" s="5"/>
      <c r="G137" s="5"/>
      <c r="H137" s="93" t="s">
        <v>26</v>
      </c>
      <c r="I137" s="91">
        <v>3592</v>
      </c>
      <c r="J137" s="103">
        <v>48587</v>
      </c>
      <c r="K137" s="103">
        <v>4817</v>
      </c>
      <c r="L137" s="103">
        <v>168</v>
      </c>
      <c r="M137" s="103">
        <v>0</v>
      </c>
      <c r="N137" s="103">
        <v>0</v>
      </c>
      <c r="O137" s="103">
        <v>3659</v>
      </c>
      <c r="P137" s="103">
        <v>3977</v>
      </c>
      <c r="Q137" s="104">
        <v>164</v>
      </c>
      <c r="R137" s="5"/>
      <c r="S137" s="5"/>
    </row>
    <row r="138" spans="1:22" ht="30" customHeight="1" x14ac:dyDescent="0.3">
      <c r="A138" s="5"/>
      <c r="B138" s="5"/>
      <c r="C138" s="5"/>
      <c r="D138" s="5"/>
      <c r="E138" s="5"/>
      <c r="F138" s="5"/>
      <c r="G138" s="5"/>
      <c r="H138" s="93" t="s">
        <v>63</v>
      </c>
      <c r="I138" s="91">
        <v>3642</v>
      </c>
      <c r="J138" s="103">
        <v>92831</v>
      </c>
      <c r="K138" s="103">
        <v>7316</v>
      </c>
      <c r="L138" s="103">
        <v>1019</v>
      </c>
      <c r="M138" s="103">
        <v>11088</v>
      </c>
      <c r="N138" s="103">
        <v>0</v>
      </c>
      <c r="O138" s="103">
        <v>7836</v>
      </c>
      <c r="P138" s="103">
        <v>8007</v>
      </c>
      <c r="Q138" s="104">
        <v>236</v>
      </c>
      <c r="R138" s="5"/>
      <c r="S138" s="5"/>
    </row>
    <row r="139" spans="1:22" ht="30" customHeight="1" thickBot="1" x14ac:dyDescent="0.35">
      <c r="A139" s="5"/>
      <c r="B139" s="5"/>
      <c r="C139" s="5"/>
      <c r="D139" s="5"/>
      <c r="E139" s="5"/>
      <c r="F139" s="5"/>
      <c r="G139" s="5"/>
      <c r="H139" s="93" t="s">
        <v>64</v>
      </c>
      <c r="I139" s="91">
        <v>3646</v>
      </c>
      <c r="J139" s="103">
        <v>115154</v>
      </c>
      <c r="K139" s="103">
        <v>22310</v>
      </c>
      <c r="L139" s="103">
        <v>7287</v>
      </c>
      <c r="M139" s="103">
        <v>3932</v>
      </c>
      <c r="N139" s="103">
        <v>0</v>
      </c>
      <c r="O139" s="103">
        <v>10673</v>
      </c>
      <c r="P139" s="103">
        <v>12629</v>
      </c>
      <c r="Q139" s="104">
        <v>287</v>
      </c>
      <c r="R139" s="5"/>
      <c r="S139" s="5"/>
      <c r="V139" s="11"/>
    </row>
    <row r="140" spans="1:22" ht="30" customHeight="1" x14ac:dyDescent="0.3">
      <c r="A140" s="5"/>
      <c r="B140" s="5"/>
      <c r="C140" s="5"/>
      <c r="D140" s="5"/>
      <c r="E140" s="5"/>
      <c r="F140" s="5"/>
      <c r="G140" s="5"/>
      <c r="H140" s="105"/>
      <c r="I140" s="106"/>
      <c r="J140" s="9">
        <f>SUBTOTAL(109,FTSEUNIV[Undergraduate])</f>
        <v>6867114</v>
      </c>
      <c r="K140" s="9">
        <f>SUBTOTAL(109,FTSEUNIV[Master''s])</f>
        <v>757403</v>
      </c>
      <c r="L140" s="9">
        <f>SUBTOTAL(109,FTSEUNIV[Doctoral])</f>
        <v>176304</v>
      </c>
      <c r="M140" s="9">
        <f>SUBTOTAL(109,FTSEUNIV[Professional &amp; Special-Prof])</f>
        <v>106347</v>
      </c>
      <c r="N140" s="9">
        <f>SUBTOTAL(109,FTSEUNIV[Optometry])</f>
        <v>6491</v>
      </c>
      <c r="O140" s="9">
        <f>SUBTOTAL(109,FTSEUNIV[Full-Time Student
Equivalents¹])</f>
        <v>549759</v>
      </c>
      <c r="P140" s="9">
        <f>SUBTOTAL(109,FTSEUNIV[State Funded 
FTSE²])</f>
        <v>587918</v>
      </c>
      <c r="Q140" s="90">
        <f>SUBTOTAL(109,FTSEUNIV[T/TT Fall
Faculty FTE³])</f>
        <v>12776</v>
      </c>
      <c r="R140" s="5"/>
      <c r="S140" s="5"/>
    </row>
    <row r="141" spans="1:22" ht="30" customHeight="1" x14ac:dyDescent="0.3">
      <c r="A141" s="5"/>
      <c r="B141" s="5"/>
      <c r="C141" s="5"/>
      <c r="D141" s="5"/>
      <c r="E141" s="5"/>
      <c r="F141" s="5"/>
      <c r="G141" s="5"/>
      <c r="H141" s="774" t="s">
        <v>1099</v>
      </c>
      <c r="I141" s="774"/>
      <c r="J141" s="774"/>
      <c r="K141" s="774"/>
      <c r="L141" s="774"/>
      <c r="M141" s="774"/>
      <c r="N141" s="774"/>
      <c r="O141" s="774"/>
      <c r="P141" s="774"/>
      <c r="Q141" s="774"/>
      <c r="R141" s="5"/>
      <c r="S141" s="5"/>
    </row>
    <row r="142" spans="1:22" ht="30" customHeight="1" x14ac:dyDescent="0.3">
      <c r="A142" s="5"/>
      <c r="B142" s="5"/>
      <c r="C142" s="5"/>
      <c r="D142" s="5"/>
      <c r="E142" s="5"/>
      <c r="F142" s="5"/>
      <c r="G142" s="5"/>
      <c r="H142" s="770" t="s">
        <v>1094</v>
      </c>
      <c r="I142" s="770"/>
      <c r="J142" s="770"/>
      <c r="K142" s="770"/>
      <c r="L142" s="770"/>
      <c r="M142" s="770"/>
      <c r="N142" s="770"/>
      <c r="O142" s="770"/>
      <c r="P142" s="770"/>
      <c r="Q142" s="770"/>
      <c r="R142" s="5"/>
      <c r="S142" s="5"/>
    </row>
    <row r="143" spans="1:22" ht="30" customHeight="1" x14ac:dyDescent="0.3">
      <c r="A143" s="5"/>
      <c r="B143" s="5"/>
      <c r="C143" s="5"/>
      <c r="D143" s="5"/>
      <c r="E143" s="5"/>
      <c r="F143" s="5"/>
      <c r="G143" s="5"/>
      <c r="H143" s="770" t="s">
        <v>1100</v>
      </c>
      <c r="I143" s="770"/>
      <c r="J143" s="770"/>
      <c r="K143" s="770"/>
      <c r="L143" s="770"/>
      <c r="M143" s="770"/>
      <c r="N143" s="770"/>
      <c r="O143" s="770"/>
      <c r="P143" s="770"/>
      <c r="Q143" s="770"/>
      <c r="R143" s="5"/>
      <c r="S143" s="5"/>
    </row>
    <row r="144" spans="1:22" ht="30" customHeight="1" x14ac:dyDescent="0.3">
      <c r="A144" s="5"/>
      <c r="B144" s="5"/>
      <c r="C144" s="5"/>
      <c r="D144" s="5"/>
      <c r="E144" s="5"/>
      <c r="F144" s="5"/>
      <c r="G144" s="5"/>
      <c r="H144" s="770" t="s">
        <v>1101</v>
      </c>
      <c r="I144" s="770"/>
      <c r="J144" s="770"/>
      <c r="K144" s="770"/>
      <c r="L144" s="770"/>
      <c r="M144" s="770"/>
      <c r="N144" s="770"/>
      <c r="O144" s="770"/>
      <c r="P144" s="770"/>
      <c r="Q144" s="770"/>
      <c r="R144" s="5"/>
      <c r="S144" s="5"/>
    </row>
    <row r="145" spans="1:19" ht="30" customHeight="1" x14ac:dyDescent="0.3">
      <c r="A145" s="5"/>
      <c r="B145" s="5"/>
      <c r="C145" s="5"/>
      <c r="D145" s="5"/>
      <c r="E145" s="5"/>
      <c r="F145" s="5"/>
      <c r="G145" s="5"/>
      <c r="H145" s="5"/>
      <c r="I145" s="5"/>
      <c r="J145" s="5"/>
      <c r="K145" s="5"/>
      <c r="L145" s="5"/>
      <c r="M145" s="5"/>
      <c r="N145" s="5"/>
      <c r="O145" s="5"/>
      <c r="P145" s="5"/>
      <c r="Q145" s="5"/>
      <c r="R145" s="5"/>
      <c r="S145" s="5"/>
    </row>
    <row r="146" spans="1:19" ht="30" customHeight="1" x14ac:dyDescent="0.3">
      <c r="A146" s="5"/>
      <c r="B146" s="5"/>
      <c r="C146" s="5"/>
      <c r="D146" s="5"/>
      <c r="E146" s="5"/>
      <c r="F146" s="5"/>
      <c r="G146" s="5"/>
      <c r="H146" s="5"/>
      <c r="I146" s="5"/>
      <c r="J146" s="5"/>
      <c r="K146" s="5"/>
      <c r="L146" s="5"/>
      <c r="M146" s="5"/>
      <c r="N146" s="5"/>
      <c r="O146" s="5"/>
      <c r="P146" s="5"/>
      <c r="Q146" s="5"/>
      <c r="R146" s="5"/>
      <c r="S146" s="5"/>
    </row>
  </sheetData>
  <sheetProtection algorithmName="SHA-512" hashValue="kiwHpRXF+NIo9fxZ/0C4da3gSYr63cdVKIKmCv28Yaxawqli2Ot315lWF0RT5gwuM1t+HS29aUxteOtZ8EwYSA==" saltValue="Ms1un4OBeDxoedKhzImKJg==" spinCount="100000" sheet="1" objects="1" scenarios="1" formatCells="0" formatColumns="0" formatRows="0"/>
  <mergeCells count="20">
    <mergeCell ref="H1:Q2"/>
    <mergeCell ref="H3:Q3"/>
    <mergeCell ref="H4:Q4"/>
    <mergeCell ref="H6:Q6"/>
    <mergeCell ref="H79:Q79"/>
    <mergeCell ref="H5:Q5"/>
    <mergeCell ref="H80:Q80"/>
    <mergeCell ref="H83:Q83"/>
    <mergeCell ref="H84:Q84"/>
    <mergeCell ref="H86:P86"/>
    <mergeCell ref="H98:P98"/>
    <mergeCell ref="H81:Q81"/>
    <mergeCell ref="H82:Q82"/>
    <mergeCell ref="H143:Q143"/>
    <mergeCell ref="H144:Q144"/>
    <mergeCell ref="H99:P99"/>
    <mergeCell ref="H100:P100"/>
    <mergeCell ref="H102:Q102"/>
    <mergeCell ref="H141:Q141"/>
    <mergeCell ref="H142:Q142"/>
  </mergeCells>
  <phoneticPr fontId="24" type="noConversion"/>
  <pageMargins left="0.7" right="0.7" top="0.75" bottom="0.75" header="0.3" footer="0.3"/>
  <drawing r:id="rId1"/>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1D5B4-4EAC-48D6-8CB9-12939484C10A}">
  <sheetPr codeName="Sheet1">
    <tabColor theme="0"/>
  </sheetPr>
  <dimension ref="A1:VP84"/>
  <sheetViews>
    <sheetView view="pageLayout" topLeftCell="US1" zoomScaleNormal="70" workbookViewId="0">
      <selection activeCell="UV1" sqref="UV1"/>
    </sheetView>
  </sheetViews>
  <sheetFormatPr defaultColWidth="52.58203125" defaultRowHeight="15" customHeight="1" outlineLevelCol="1" x14ac:dyDescent="0.3"/>
  <cols>
    <col min="1" max="1" width="52.6640625" style="15" customWidth="1"/>
    <col min="2" max="2" width="13.5" style="36" customWidth="1"/>
    <col min="3" max="3" width="11.1640625" style="36" customWidth="1"/>
    <col min="4" max="4" width="10.4140625" style="36" customWidth="1"/>
    <col min="5" max="5" width="12.6640625" style="36" customWidth="1"/>
    <col min="6" max="6" width="12.83203125" style="36" customWidth="1"/>
    <col min="7" max="7" width="15.9140625" style="8" customWidth="1" outlineLevel="1"/>
    <col min="8" max="8" width="15.5" style="8" customWidth="1" outlineLevel="1"/>
    <col min="9" max="9" width="14.83203125" style="8" customWidth="1" outlineLevel="1"/>
    <col min="10" max="10" width="16.4140625" style="8" customWidth="1" outlineLevel="1"/>
    <col min="11" max="11" width="15.9140625" style="8" customWidth="1" outlineLevel="1"/>
    <col min="12" max="12" width="19.9140625" style="8" customWidth="1" outlineLevel="1"/>
    <col min="13" max="13" width="17.1640625" style="8" customWidth="1" outlineLevel="1"/>
    <col min="14" max="14" width="18.58203125" style="8" customWidth="1" outlineLevel="1"/>
    <col min="15" max="15" width="18.83203125" style="8" customWidth="1" outlineLevel="1"/>
    <col min="16" max="16" width="15.58203125" style="8" customWidth="1" outlineLevel="1"/>
    <col min="17" max="17" width="16" style="8" customWidth="1" outlineLevel="1"/>
    <col min="18" max="18" width="15.58203125" style="8" customWidth="1" outlineLevel="1"/>
    <col min="19" max="19" width="17" style="8" customWidth="1" outlineLevel="1"/>
    <col min="20" max="20" width="16.58203125" style="8" customWidth="1" outlineLevel="1"/>
    <col min="21" max="21" width="20.5" style="8" customWidth="1" outlineLevel="1"/>
    <col min="22" max="22" width="17.83203125" style="8" customWidth="1" outlineLevel="1"/>
    <col min="23" max="23" width="19.4140625" style="8" customWidth="1" outlineLevel="1"/>
    <col min="24" max="24" width="19.58203125" style="8" customWidth="1" outlineLevel="1"/>
    <col min="25" max="25" width="13.6640625" style="8" customWidth="1" outlineLevel="1"/>
    <col min="26" max="26" width="12.6640625" style="8" customWidth="1" outlineLevel="1"/>
    <col min="27" max="27" width="12.33203125" style="8" customWidth="1" outlineLevel="1"/>
    <col min="28" max="28" width="13.6640625" style="8" customWidth="1" outlineLevel="1"/>
    <col min="29" max="29" width="13.33203125" style="8" customWidth="1" outlineLevel="1"/>
    <col min="30" max="30" width="17.1640625" style="8" customWidth="1" outlineLevel="1"/>
    <col min="31" max="31" width="14.5" style="8" customWidth="1" outlineLevel="1"/>
    <col min="32" max="32" width="16" style="8" customWidth="1" outlineLevel="1"/>
    <col min="33" max="33" width="16.33203125" style="8" customWidth="1" outlineLevel="1"/>
    <col min="34" max="34" width="18.5" style="8" customWidth="1" outlineLevel="1"/>
    <col min="35" max="35" width="19" style="8" customWidth="1" outlineLevel="1"/>
    <col min="36" max="36" width="18.5" style="8" customWidth="1" outlineLevel="1"/>
    <col min="37" max="37" width="20" style="8" customWidth="1" outlineLevel="1"/>
    <col min="38" max="38" width="19.58203125" style="8" customWidth="1" outlineLevel="1"/>
    <col min="39" max="39" width="23.5" style="8" customWidth="1" outlineLevel="1"/>
    <col min="40" max="40" width="20.83203125" style="8" customWidth="1" outlineLevel="1"/>
    <col min="41" max="41" width="22.33203125" style="8" customWidth="1" outlineLevel="1"/>
    <col min="42" max="42" width="22.4140625" style="8" customWidth="1" outlineLevel="1"/>
    <col min="43" max="43" width="29.6640625" style="8" customWidth="1" outlineLevel="1"/>
    <col min="44" max="44" width="30.1640625" style="8" customWidth="1" outlineLevel="1"/>
    <col min="45" max="45" width="29.6640625" style="8" customWidth="1" outlineLevel="1"/>
    <col min="46" max="46" width="31.33203125" style="8" customWidth="1" outlineLevel="1"/>
    <col min="47" max="47" width="30.6640625" style="8" customWidth="1" outlineLevel="1"/>
    <col min="48" max="48" width="34.58203125" style="8" customWidth="1" outlineLevel="1"/>
    <col min="49" max="49" width="32.1640625" style="8" customWidth="1" outlineLevel="1"/>
    <col min="50" max="50" width="33.5" style="8" customWidth="1" outlineLevel="1"/>
    <col min="51" max="51" width="33.6640625" style="8" customWidth="1" outlineLevel="1"/>
    <col min="52" max="52" width="30.1640625" style="8" customWidth="1" outlineLevel="1"/>
    <col min="53" max="53" width="30.6640625" style="8" customWidth="1" outlineLevel="1"/>
    <col min="54" max="54" width="30.1640625" style="8" customWidth="1" outlineLevel="1"/>
    <col min="55" max="55" width="31.83203125" style="8" customWidth="1" outlineLevel="1"/>
    <col min="56" max="56" width="31.33203125" style="8" customWidth="1" outlineLevel="1"/>
    <col min="57" max="57" width="35.33203125" style="8" customWidth="1" outlineLevel="1"/>
    <col min="58" max="58" width="32.58203125" style="8" customWidth="1" outlineLevel="1"/>
    <col min="59" max="59" width="34" style="8" customWidth="1" outlineLevel="1"/>
    <col min="60" max="60" width="34.1640625" style="8" customWidth="1" outlineLevel="1"/>
    <col min="61" max="61" width="31.5" style="8" customWidth="1" outlineLevel="1"/>
    <col min="62" max="62" width="31.9140625" style="8" customWidth="1" outlineLevel="1"/>
    <col min="63" max="63" width="31.5" style="8" customWidth="1" outlineLevel="1"/>
    <col min="64" max="64" width="32.9140625" style="8" customWidth="1" outlineLevel="1"/>
    <col min="65" max="65" width="32.4140625" style="8" customWidth="1" outlineLevel="1"/>
    <col min="66" max="66" width="36.4140625" style="8" customWidth="1" outlineLevel="1"/>
    <col min="67" max="67" width="33.6640625" style="8" customWidth="1" outlineLevel="1"/>
    <col min="68" max="68" width="35.33203125" style="8" customWidth="1" outlineLevel="1"/>
    <col min="69" max="69" width="35.5" style="8" customWidth="1" outlineLevel="1"/>
    <col min="70" max="70" width="31.9140625" style="8" customWidth="1" outlineLevel="1"/>
    <col min="71" max="71" width="32.4140625" style="8" customWidth="1" outlineLevel="1"/>
    <col min="72" max="72" width="31.9140625" style="8" customWidth="1" outlineLevel="1"/>
    <col min="73" max="73" width="33.4140625" style="8" customWidth="1" outlineLevel="1"/>
    <col min="74" max="74" width="32.9140625" style="8" customWidth="1" outlineLevel="1"/>
    <col min="75" max="75" width="36.83203125" style="8" customWidth="1" outlineLevel="1"/>
    <col min="76" max="76" width="34.1640625" style="8" customWidth="1" outlineLevel="1"/>
    <col min="77" max="77" width="35.6640625" style="8" customWidth="1" outlineLevel="1"/>
    <col min="78" max="78" width="35.9140625" style="8" customWidth="1" outlineLevel="1"/>
    <col min="79" max="79" width="17.5" style="8" customWidth="1" outlineLevel="1"/>
    <col min="80" max="80" width="17.9140625" style="8" customWidth="1" outlineLevel="1"/>
    <col min="81" max="81" width="17.5" style="8" customWidth="1" outlineLevel="1"/>
    <col min="82" max="82" width="19" style="8" customWidth="1" outlineLevel="1"/>
    <col min="83" max="83" width="18.5" style="8" customWidth="1" outlineLevel="1"/>
    <col min="84" max="84" width="22.4140625" style="8" customWidth="1" outlineLevel="1"/>
    <col min="85" max="85" width="19.9140625" style="8" customWidth="1" outlineLevel="1"/>
    <col min="86" max="86" width="21.33203125" style="8" customWidth="1" outlineLevel="1"/>
    <col min="87" max="87" width="21.5" style="8" customWidth="1" outlineLevel="1"/>
    <col min="88" max="88" width="28.1640625" style="8" customWidth="1" outlineLevel="1"/>
    <col min="89" max="89" width="28.58203125" style="8" customWidth="1" outlineLevel="1"/>
    <col min="90" max="90" width="28.1640625" style="8" customWidth="1" outlineLevel="1"/>
    <col min="91" max="91" width="29.58203125" style="8" customWidth="1" outlineLevel="1"/>
    <col min="92" max="92" width="29" style="8" customWidth="1" outlineLevel="1"/>
    <col min="93" max="93" width="33" style="8" customWidth="1" outlineLevel="1"/>
    <col min="94" max="94" width="30.4140625" style="8" customWidth="1" outlineLevel="1"/>
    <col min="95" max="95" width="31.9140625" style="8" customWidth="1" outlineLevel="1"/>
    <col min="96" max="96" width="32.1640625" style="8" customWidth="1" outlineLevel="1"/>
    <col min="97" max="97" width="28.58203125" style="8" customWidth="1" outlineLevel="1"/>
    <col min="98" max="98" width="29" style="8" customWidth="1" outlineLevel="1"/>
    <col min="99" max="99" width="28.58203125" style="8" customWidth="1" outlineLevel="1"/>
    <col min="100" max="100" width="30" style="8" customWidth="1" outlineLevel="1"/>
    <col min="101" max="101" width="29.58203125" style="8" customWidth="1" outlineLevel="1"/>
    <col min="102" max="102" width="33.5" style="8" customWidth="1" outlineLevel="1"/>
    <col min="103" max="103" width="31" style="8" customWidth="1" outlineLevel="1"/>
    <col min="104" max="104" width="32.4140625" style="8" customWidth="1" outlineLevel="1"/>
    <col min="105" max="105" width="32.58203125" style="8" customWidth="1" outlineLevel="1"/>
    <col min="106" max="106" width="29.6640625" style="8" customWidth="1" outlineLevel="1"/>
    <col min="107" max="107" width="30.1640625" style="8" customWidth="1" outlineLevel="1"/>
    <col min="108" max="108" width="29.6640625" style="8" customWidth="1" outlineLevel="1"/>
    <col min="109" max="109" width="31.33203125" style="8" customWidth="1" outlineLevel="1"/>
    <col min="110" max="110" width="30.6640625" style="8" customWidth="1" outlineLevel="1"/>
    <col min="111" max="111" width="34.58203125" style="8" customWidth="1" outlineLevel="1"/>
    <col min="112" max="112" width="32.1640625" style="8" customWidth="1" outlineLevel="1"/>
    <col min="113" max="113" width="33.5" style="8" customWidth="1" outlineLevel="1"/>
    <col min="114" max="114" width="33.6640625" style="8" customWidth="1" outlineLevel="1"/>
    <col min="115" max="115" width="30.1640625" style="8" customWidth="1" outlineLevel="1"/>
    <col min="116" max="116" width="30.6640625" style="8" customWidth="1" outlineLevel="1"/>
    <col min="117" max="117" width="30.1640625" style="8" customWidth="1" outlineLevel="1"/>
    <col min="118" max="118" width="31.83203125" style="8" customWidth="1" outlineLevel="1"/>
    <col min="119" max="119" width="31.33203125" style="8" customWidth="1" outlineLevel="1"/>
    <col min="120" max="120" width="35.33203125" style="8" customWidth="1" outlineLevel="1"/>
    <col min="121" max="121" width="32.58203125" style="8" customWidth="1" outlineLevel="1"/>
    <col min="122" max="122" width="34" style="8" customWidth="1" outlineLevel="1"/>
    <col min="123" max="123" width="34.1640625" style="8" customWidth="1" outlineLevel="1"/>
    <col min="124" max="124" width="16.33203125" style="8" customWidth="1" outlineLevel="1"/>
    <col min="125" max="125" width="16.6640625" style="8" customWidth="1" outlineLevel="1"/>
    <col min="126" max="126" width="16.33203125" style="8" customWidth="1" outlineLevel="1"/>
    <col min="127" max="127" width="17.6640625" style="8" customWidth="1" outlineLevel="1"/>
    <col min="128" max="128" width="17.1640625" style="8" customWidth="1" outlineLevel="1"/>
    <col min="129" max="129" width="21.1640625" style="8" customWidth="1" outlineLevel="1"/>
    <col min="130" max="130" width="18.5" style="8" customWidth="1" outlineLevel="1"/>
    <col min="131" max="131" width="20" style="8" customWidth="1" outlineLevel="1"/>
    <col min="132" max="132" width="20.1640625" style="8" customWidth="1" outlineLevel="1"/>
    <col min="133" max="133" width="29.58203125" style="8" customWidth="1" outlineLevel="1"/>
    <col min="134" max="134" width="30" style="8" customWidth="1" outlineLevel="1"/>
    <col min="135" max="135" width="29.58203125" style="8" customWidth="1" outlineLevel="1"/>
    <col min="136" max="136" width="31.1640625" style="8" customWidth="1" outlineLevel="1"/>
    <col min="137" max="137" width="30.5" style="8" customWidth="1" outlineLevel="1"/>
    <col min="138" max="138" width="34.5" style="8" customWidth="1" outlineLevel="1"/>
    <col min="139" max="139" width="31.9140625" style="8" customWidth="1" outlineLevel="1"/>
    <col min="140" max="140" width="33.4140625" style="8" customWidth="1" outlineLevel="1"/>
    <col min="141" max="141" width="33.5" style="8" customWidth="1" outlineLevel="1"/>
    <col min="142" max="142" width="30" style="8" customWidth="1" outlineLevel="1"/>
    <col min="143" max="143" width="30.5" style="8" customWidth="1" outlineLevel="1"/>
    <col min="144" max="144" width="30" style="8" customWidth="1" outlineLevel="1"/>
    <col min="145" max="145" width="31.58203125" style="8" customWidth="1" outlineLevel="1"/>
    <col min="146" max="146" width="31.1640625" style="8" customWidth="1" outlineLevel="1"/>
    <col min="147" max="147" width="35.1640625" style="8" customWidth="1" outlineLevel="1"/>
    <col min="148" max="148" width="32.4140625" style="8" customWidth="1" outlineLevel="1"/>
    <col min="149" max="149" width="33.83203125" style="8" customWidth="1" outlineLevel="1"/>
    <col min="150" max="150" width="34" style="8" customWidth="1" outlineLevel="1"/>
    <col min="151" max="151" width="31.33203125" style="8" customWidth="1" outlineLevel="1"/>
    <col min="152" max="152" width="31.83203125" style="8" customWidth="1" outlineLevel="1"/>
    <col min="153" max="153" width="31.33203125" style="8" customWidth="1" outlineLevel="1"/>
    <col min="154" max="154" width="32.6640625" style="8" customWidth="1" outlineLevel="1"/>
    <col min="155" max="155" width="32.33203125" style="8" customWidth="1" outlineLevel="1"/>
    <col min="156" max="156" width="36.33203125" style="8" customWidth="1" outlineLevel="1"/>
    <col min="157" max="157" width="33.5" style="8" customWidth="1" outlineLevel="1"/>
    <col min="158" max="158" width="35.1640625" style="8" customWidth="1" outlineLevel="1"/>
    <col min="159" max="159" width="35.33203125" style="8" customWidth="1" outlineLevel="1"/>
    <col min="160" max="160" width="31.83203125" style="8" customWidth="1" outlineLevel="1"/>
    <col min="161" max="161" width="32.33203125" style="8" customWidth="1" outlineLevel="1"/>
    <col min="162" max="162" width="31.83203125" style="8" customWidth="1" outlineLevel="1"/>
    <col min="163" max="163" width="33.33203125" style="8" customWidth="1" outlineLevel="1"/>
    <col min="164" max="164" width="32.6640625" style="8" customWidth="1" outlineLevel="1"/>
    <col min="165" max="165" width="36.6640625" style="8" customWidth="1" outlineLevel="1"/>
    <col min="166" max="166" width="34" style="8" customWidth="1" outlineLevel="1"/>
    <col min="167" max="167" width="35.58203125" style="8" customWidth="1" outlineLevel="1"/>
    <col min="168" max="168" width="35.6640625" style="8" customWidth="1" outlineLevel="1"/>
    <col min="169" max="169" width="20" style="8" customWidth="1" outlineLevel="1"/>
    <col min="170" max="170" width="20.5" style="8" customWidth="1" outlineLevel="1"/>
    <col min="171" max="171" width="20" style="8" customWidth="1" outlineLevel="1"/>
    <col min="172" max="172" width="21.5" style="8" customWidth="1" outlineLevel="1"/>
    <col min="173" max="173" width="21" style="8" customWidth="1" outlineLevel="1"/>
    <col min="174" max="174" width="24.9140625" style="8" customWidth="1" outlineLevel="1"/>
    <col min="175" max="175" width="22.33203125" style="8" customWidth="1" outlineLevel="1"/>
    <col min="176" max="176" width="23.83203125" style="8" customWidth="1" outlineLevel="1"/>
    <col min="177" max="177" width="24" style="8" customWidth="1" outlineLevel="1"/>
    <col min="178" max="178" width="27.9140625" style="8" customWidth="1" outlineLevel="1"/>
    <col min="179" max="179" width="28.5" style="8" customWidth="1" outlineLevel="1"/>
    <col min="180" max="180" width="27.9140625" style="8" customWidth="1" outlineLevel="1"/>
    <col min="181" max="181" width="29.4140625" style="8" customWidth="1" outlineLevel="1"/>
    <col min="182" max="182" width="28.9140625" style="8" customWidth="1" outlineLevel="1"/>
    <col min="183" max="183" width="32.9140625" style="8" customWidth="1" outlineLevel="1"/>
    <col min="184" max="184" width="30.1640625" style="8" customWidth="1" outlineLevel="1"/>
    <col min="185" max="185" width="31.83203125" style="8" customWidth="1" outlineLevel="1"/>
    <col min="186" max="186" width="31.9140625" style="8" customWidth="1" outlineLevel="1"/>
    <col min="187" max="187" width="28.5" style="8" customWidth="1" outlineLevel="1"/>
    <col min="188" max="188" width="28.9140625" style="8" customWidth="1" outlineLevel="1"/>
    <col min="189" max="189" width="28.5" style="8" customWidth="1" outlineLevel="1"/>
    <col min="190" max="190" width="29.9140625" style="8" customWidth="1" outlineLevel="1"/>
    <col min="191" max="191" width="29.4140625" style="8" customWidth="1" outlineLevel="1"/>
    <col min="192" max="192" width="33.4140625" style="8" customWidth="1" outlineLevel="1"/>
    <col min="193" max="193" width="30.6640625" style="8" customWidth="1" outlineLevel="1"/>
    <col min="194" max="194" width="32.33203125" style="8" customWidth="1" outlineLevel="1"/>
    <col min="195" max="195" width="32.4140625" style="8" customWidth="1" outlineLevel="1"/>
    <col min="196" max="196" width="29.58203125" style="8" customWidth="1" outlineLevel="1"/>
    <col min="197" max="197" width="30" style="8" customWidth="1" outlineLevel="1"/>
    <col min="198" max="198" width="29.58203125" style="8" customWidth="1" outlineLevel="1"/>
    <col min="199" max="199" width="31.1640625" style="8" customWidth="1" outlineLevel="1"/>
    <col min="200" max="200" width="30.5" style="8" customWidth="1" outlineLevel="1"/>
    <col min="201" max="201" width="34.5" style="8" customWidth="1" outlineLevel="1"/>
    <col min="202" max="202" width="31.9140625" style="8" customWidth="1" outlineLevel="1"/>
    <col min="203" max="203" width="33.4140625" style="8" customWidth="1" outlineLevel="1"/>
    <col min="204" max="204" width="33.5" style="8" customWidth="1" outlineLevel="1"/>
    <col min="205" max="205" width="30" style="8" customWidth="1" outlineLevel="1"/>
    <col min="206" max="206" width="30.5" style="8" customWidth="1" outlineLevel="1"/>
    <col min="207" max="207" width="30" style="8" customWidth="1" outlineLevel="1"/>
    <col min="208" max="208" width="31.58203125" style="8" customWidth="1" outlineLevel="1"/>
    <col min="209" max="209" width="31.1640625" style="8" customWidth="1" outlineLevel="1"/>
    <col min="210" max="210" width="35.1640625" style="8" customWidth="1" outlineLevel="1"/>
    <col min="211" max="211" width="32.4140625" style="8" customWidth="1" outlineLevel="1"/>
    <col min="212" max="212" width="33.83203125" style="8" customWidth="1" outlineLevel="1"/>
    <col min="213" max="213" width="34" style="8" customWidth="1" outlineLevel="1"/>
    <col min="214" max="214" width="17.6640625" style="8" customWidth="1" outlineLevel="1"/>
    <col min="215" max="215" width="18.1640625" style="8" customWidth="1" outlineLevel="1"/>
    <col min="216" max="216" width="17.6640625" style="8" customWidth="1" outlineLevel="1"/>
    <col min="217" max="217" width="19.33203125" style="8" customWidth="1" outlineLevel="1"/>
    <col min="218" max="218" width="18.58203125" style="8" customWidth="1" outlineLevel="1"/>
    <col min="219" max="219" width="22.58203125" style="8" customWidth="1" outlineLevel="1"/>
    <col min="220" max="220" width="20" style="8" customWidth="1" outlineLevel="1"/>
    <col min="221" max="221" width="21.5" style="8" customWidth="1" outlineLevel="1"/>
    <col min="222" max="222" width="21.58203125" style="8" customWidth="1" outlineLevel="1"/>
    <col min="223" max="223" width="16.58203125" style="8" customWidth="1" outlineLevel="1"/>
    <col min="224" max="224" width="17" style="8" customWidth="1" outlineLevel="1"/>
    <col min="225" max="225" width="16.58203125" style="8" customWidth="1" outlineLevel="1"/>
    <col min="226" max="226" width="17.9140625" style="8" customWidth="1" outlineLevel="1"/>
    <col min="227" max="227" width="17.5" style="8" customWidth="1" outlineLevel="1"/>
    <col min="228" max="228" width="21.5" style="8" customWidth="1" outlineLevel="1"/>
    <col min="229" max="229" width="18.83203125" style="8" customWidth="1" outlineLevel="1"/>
    <col min="230" max="230" width="20.4140625" style="8" customWidth="1" outlineLevel="1"/>
    <col min="231" max="231" width="20.5" style="8" customWidth="1" outlineLevel="1"/>
    <col min="232" max="232" width="17.5" style="8" customWidth="1" outlineLevel="1"/>
    <col min="233" max="233" width="17.9140625" style="8" customWidth="1" outlineLevel="1"/>
    <col min="234" max="234" width="17.5" style="8" customWidth="1" outlineLevel="1"/>
    <col min="235" max="235" width="19" style="8" customWidth="1" outlineLevel="1"/>
    <col min="236" max="236" width="18.5" style="8" customWidth="1" outlineLevel="1"/>
    <col min="237" max="237" width="22.4140625" style="8" customWidth="1" outlineLevel="1"/>
    <col min="238" max="238" width="19.9140625" style="8" customWidth="1" outlineLevel="1"/>
    <col min="239" max="239" width="21.33203125" style="8" customWidth="1" outlineLevel="1"/>
    <col min="240" max="240" width="21.5" style="8" customWidth="1" outlineLevel="1"/>
    <col min="241" max="241" width="17" style="8" customWidth="1" outlineLevel="1"/>
    <col min="242" max="242" width="16.83203125" style="8" customWidth="1"/>
    <col min="243" max="243" width="12.4140625" style="8" customWidth="1" outlineLevel="1"/>
    <col min="244" max="244" width="13.83203125" style="8" customWidth="1" outlineLevel="1"/>
    <col min="245" max="245" width="13.4140625" style="8" customWidth="1" outlineLevel="1"/>
    <col min="246" max="246" width="17.4140625" style="8" customWidth="1" outlineLevel="1"/>
    <col min="247" max="247" width="14.58203125" style="8" customWidth="1" outlineLevel="1"/>
    <col min="248" max="248" width="16.33203125" style="8" customWidth="1" outlineLevel="1"/>
    <col min="249" max="249" width="16.4140625" style="8" customWidth="1" outlineLevel="1"/>
    <col min="250" max="250" width="21.58203125" style="8" customWidth="1" outlineLevel="1"/>
    <col min="251" max="251" width="22.1640625" style="8" customWidth="1" outlineLevel="1"/>
    <col min="252" max="252" width="21.58203125" style="8" customWidth="1" outlineLevel="1"/>
    <col min="253" max="253" width="23.33203125" style="8" customWidth="1" outlineLevel="1"/>
    <col min="254" max="254" width="22.58203125" style="8" customWidth="1" outlineLevel="1"/>
    <col min="255" max="255" width="26.58203125" style="8" customWidth="1" outlineLevel="1"/>
    <col min="256" max="256" width="24" style="8" customWidth="1" outlineLevel="1"/>
    <col min="257" max="257" width="25.5" style="8" customWidth="1" outlineLevel="1"/>
    <col min="258" max="258" width="25.58203125" style="8" customWidth="1" outlineLevel="1"/>
    <col min="259" max="259" width="17.83203125" style="8" customWidth="1" outlineLevel="1"/>
    <col min="260" max="260" width="18.33203125" style="8" customWidth="1" outlineLevel="1"/>
    <col min="261" max="261" width="17.83203125" style="8" customWidth="1" outlineLevel="1"/>
    <col min="262" max="262" width="19.4140625" style="8" customWidth="1" outlineLevel="1"/>
    <col min="263" max="263" width="18.83203125" style="8" customWidth="1" outlineLevel="1"/>
    <col min="264" max="264" width="22.6640625" style="8" customWidth="1" outlineLevel="1"/>
    <col min="265" max="265" width="20.1640625" style="8" customWidth="1" outlineLevel="1"/>
    <col min="266" max="266" width="21.58203125" style="8" customWidth="1" outlineLevel="1"/>
    <col min="267" max="267" width="21.83203125" style="8" customWidth="1" outlineLevel="1"/>
    <col min="268" max="268" width="16.58203125" style="8" customWidth="1" outlineLevel="1"/>
    <col min="269" max="269" width="17" style="8" customWidth="1" outlineLevel="1"/>
    <col min="270" max="270" width="16.58203125" style="8" customWidth="1" outlineLevel="1"/>
    <col min="271" max="271" width="17.9140625" style="8" customWidth="1" outlineLevel="1"/>
    <col min="272" max="272" width="17.5" style="8" customWidth="1" outlineLevel="1"/>
    <col min="273" max="273" width="21.5" style="8" customWidth="1" outlineLevel="1"/>
    <col min="274" max="274" width="18.83203125" style="8" customWidth="1" outlineLevel="1"/>
    <col min="275" max="275" width="20.4140625" style="8" customWidth="1" outlineLevel="1"/>
    <col min="276" max="276" width="20.5" style="8" customWidth="1" outlineLevel="1"/>
    <col min="277" max="277" width="13.5" style="8" customWidth="1" outlineLevel="1"/>
    <col min="278" max="278" width="14.83203125" style="8" customWidth="1" outlineLevel="1"/>
    <col min="279" max="279" width="11.83203125" style="8" customWidth="1" outlineLevel="1"/>
    <col min="280" max="280" width="13.6640625" style="8" customWidth="1" outlineLevel="1"/>
    <col min="281" max="281" width="12.6640625" style="8" customWidth="1" outlineLevel="1"/>
    <col min="282" max="282" width="16.6640625" style="8" customWidth="1" outlineLevel="1"/>
    <col min="283" max="283" width="14" style="8" customWidth="1" outlineLevel="1"/>
    <col min="284" max="284" width="15.58203125" style="8" customWidth="1" outlineLevel="1"/>
    <col min="285" max="285" width="15.6640625" style="8" customWidth="1" outlineLevel="1"/>
    <col min="286" max="286" width="20.83203125" style="8" customWidth="1" outlineLevel="1"/>
    <col min="287" max="287" width="21.33203125" style="8" customWidth="1" outlineLevel="1"/>
    <col min="288" max="288" width="20.83203125" style="8" customWidth="1" outlineLevel="1"/>
    <col min="289" max="289" width="22.33203125" style="8" customWidth="1" outlineLevel="1"/>
    <col min="290" max="290" width="21.83203125" style="8" customWidth="1" outlineLevel="1"/>
    <col min="291" max="291" width="25.6640625" style="8" customWidth="1" outlineLevel="1"/>
    <col min="292" max="292" width="23.33203125" style="8" customWidth="1" outlineLevel="1"/>
    <col min="293" max="293" width="24.58203125" style="8" customWidth="1" outlineLevel="1"/>
    <col min="294" max="294" width="24.83203125" style="8" customWidth="1" outlineLevel="1"/>
    <col min="295" max="295" width="15.6640625" style="8" customWidth="1" outlineLevel="1"/>
    <col min="296" max="296" width="16.33203125" style="8" customWidth="1" outlineLevel="1"/>
    <col min="297" max="297" width="15.6640625" style="8" customWidth="1" outlineLevel="1"/>
    <col min="298" max="298" width="17.1640625" style="8" customWidth="1" outlineLevel="1"/>
    <col min="299" max="299" width="16.6640625" style="8" customWidth="1" outlineLevel="1"/>
    <col min="300" max="300" width="20.6640625" style="8" customWidth="1" outlineLevel="1"/>
    <col min="301" max="301" width="17.9140625" style="8" customWidth="1" outlineLevel="1"/>
    <col min="302" max="302" width="19.58203125" style="8" customWidth="1" outlineLevel="1"/>
    <col min="303" max="303" width="19.6640625" style="8" customWidth="1" outlineLevel="1"/>
    <col min="304" max="304" width="14.83203125" style="8" customWidth="1" outlineLevel="1"/>
    <col min="305" max="305" width="16.6640625" style="8" customWidth="1" outlineLevel="1"/>
    <col min="306" max="306" width="13.4140625" style="8" customWidth="1" outlineLevel="1"/>
    <col min="307" max="307" width="14.83203125" style="8" customWidth="1" outlineLevel="1"/>
    <col min="308" max="308" width="14.4140625" style="8" customWidth="1" outlineLevel="1"/>
    <col min="309" max="309" width="18.33203125" style="8" customWidth="1" outlineLevel="1"/>
    <col min="310" max="310" width="15.6640625" style="8" customWidth="1" outlineLevel="1"/>
    <col min="311" max="311" width="17.1640625" style="8" customWidth="1" outlineLevel="1"/>
    <col min="312" max="312" width="17.4140625" style="8" customWidth="1" outlineLevel="1"/>
    <col min="313" max="313" width="14.9140625" style="8" customWidth="1" outlineLevel="1"/>
    <col min="314" max="314" width="14.83203125" style="8" customWidth="1" outlineLevel="1"/>
    <col min="315" max="315" width="11.58203125" style="8" customWidth="1" outlineLevel="1"/>
    <col min="316" max="316" width="14.9140625" style="8" customWidth="1" outlineLevel="1"/>
    <col min="317" max="317" width="12.58203125" style="8" customWidth="1" outlineLevel="1"/>
    <col min="318" max="318" width="16.58203125" style="8" customWidth="1" outlineLevel="1"/>
    <col min="319" max="319" width="13.83203125" style="8" customWidth="1" outlineLevel="1"/>
    <col min="320" max="320" width="15.5" style="8" customWidth="1" outlineLevel="1"/>
    <col min="321" max="321" width="15.58203125" style="8" customWidth="1" outlineLevel="1"/>
    <col min="322" max="322" width="16.33203125" style="8" customWidth="1" outlineLevel="1"/>
    <col min="323" max="323" width="16.6640625" style="8" customWidth="1" outlineLevel="1"/>
    <col min="324" max="324" width="16.33203125" style="8" customWidth="1" outlineLevel="1"/>
    <col min="325" max="325" width="17.6640625" style="8" customWidth="1" outlineLevel="1"/>
    <col min="326" max="326" width="17.1640625" style="8" customWidth="1" outlineLevel="1"/>
    <col min="327" max="327" width="21.1640625" style="8" customWidth="1" outlineLevel="1"/>
    <col min="328" max="328" width="18.5" style="8" customWidth="1" outlineLevel="1"/>
    <col min="329" max="329" width="20" style="8" customWidth="1" outlineLevel="1"/>
    <col min="330" max="330" width="20.1640625" style="8" customWidth="1" outlineLevel="1"/>
    <col min="331" max="331" width="17.5" style="8" customWidth="1" outlineLevel="1"/>
    <col min="332" max="332" width="17.9140625" style="8" customWidth="1"/>
    <col min="333" max="333" width="17.5" style="8" customWidth="1" outlineLevel="1"/>
    <col min="334" max="334" width="19" style="8" customWidth="1" outlineLevel="1"/>
    <col min="335" max="335" width="18.5" style="8" customWidth="1" outlineLevel="1"/>
    <col min="336" max="336" width="22.4140625" style="8" customWidth="1" outlineLevel="1"/>
    <col min="337" max="337" width="19.9140625" style="8" customWidth="1" outlineLevel="1"/>
    <col min="338" max="338" width="21.33203125" style="8" customWidth="1" outlineLevel="1"/>
    <col min="339" max="339" width="21.5" style="8" customWidth="1" outlineLevel="1"/>
    <col min="340" max="340" width="17.6640625" style="8" customWidth="1" outlineLevel="1"/>
    <col min="341" max="341" width="18.1640625" style="8" customWidth="1" outlineLevel="1"/>
    <col min="342" max="342" width="17.6640625" style="8" customWidth="1" outlineLevel="1"/>
    <col min="343" max="343" width="19.33203125" style="8" customWidth="1" outlineLevel="1"/>
    <col min="344" max="344" width="18.58203125" style="8" customWidth="1" outlineLevel="1"/>
    <col min="345" max="345" width="22.58203125" style="8" customWidth="1" outlineLevel="1"/>
    <col min="346" max="346" width="20" style="8" customWidth="1" outlineLevel="1"/>
    <col min="347" max="347" width="21.5" style="8" customWidth="1" outlineLevel="1"/>
    <col min="348" max="348" width="21.58203125" style="8" customWidth="1" outlineLevel="1"/>
    <col min="349" max="349" width="15.58203125" style="8" customWidth="1" outlineLevel="1"/>
    <col min="350" max="350" width="16" style="8" customWidth="1" outlineLevel="1"/>
    <col min="351" max="351" width="15.58203125" style="8" customWidth="1" outlineLevel="1"/>
    <col min="352" max="352" width="17" style="8" customWidth="1" outlineLevel="1"/>
    <col min="353" max="353" width="16.58203125" style="8" customWidth="1" outlineLevel="1"/>
    <col min="354" max="354" width="20.5" style="8" customWidth="1" outlineLevel="1"/>
    <col min="355" max="355" width="17.83203125" style="8" customWidth="1" outlineLevel="1"/>
    <col min="356" max="356" width="19.4140625" style="8" customWidth="1" outlineLevel="1"/>
    <col min="357" max="357" width="19.58203125" style="8" customWidth="1" outlineLevel="1"/>
    <col min="358" max="358" width="16.83203125" style="8" customWidth="1" outlineLevel="1"/>
    <col min="359" max="359" width="17.4140625" style="8" customWidth="1" outlineLevel="1"/>
    <col min="360" max="360" width="16.83203125" style="8" customWidth="1" outlineLevel="1"/>
    <col min="361" max="361" width="18.33203125" style="8" customWidth="1" outlineLevel="1"/>
    <col min="362" max="362" width="17.83203125" style="8" customWidth="1" outlineLevel="1"/>
    <col min="363" max="363" width="21.83203125" style="8" customWidth="1" outlineLevel="1"/>
    <col min="364" max="364" width="19.33203125" style="8" customWidth="1" outlineLevel="1"/>
    <col min="365" max="365" width="20.6640625" style="8" customWidth="1" outlineLevel="1"/>
    <col min="366" max="366" width="20.83203125" style="8" customWidth="1" outlineLevel="1"/>
    <col min="367" max="367" width="17.83203125" style="8" customWidth="1" outlineLevel="1"/>
    <col min="368" max="368" width="18.33203125" style="8" customWidth="1" outlineLevel="1"/>
    <col min="369" max="369" width="17.83203125" style="8" customWidth="1" outlineLevel="1"/>
    <col min="370" max="370" width="19.4140625" style="8" customWidth="1" outlineLevel="1"/>
    <col min="371" max="371" width="18.83203125" style="8" customWidth="1" outlineLevel="1"/>
    <col min="372" max="372" width="22.6640625" style="8" customWidth="1" outlineLevel="1"/>
    <col min="373" max="373" width="20.1640625" style="8" customWidth="1" outlineLevel="1"/>
    <col min="374" max="374" width="21.58203125" style="8" customWidth="1" outlineLevel="1"/>
    <col min="375" max="375" width="21.83203125" style="8" customWidth="1" outlineLevel="1"/>
    <col min="376" max="376" width="19" style="8" customWidth="1" outlineLevel="1"/>
    <col min="377" max="377" width="19.58203125" style="8" customWidth="1" outlineLevel="1"/>
    <col min="378" max="378" width="19" style="8" customWidth="1" outlineLevel="1"/>
    <col min="379" max="379" width="20.5" style="8" customWidth="1" outlineLevel="1"/>
    <col min="380" max="380" width="20" style="8" customWidth="1" outlineLevel="1"/>
    <col min="381" max="381" width="24" style="8" customWidth="1" outlineLevel="1"/>
    <col min="382" max="382" width="21.33203125" style="8" customWidth="1" outlineLevel="1"/>
    <col min="383" max="383" width="22.6640625" style="8" customWidth="1" outlineLevel="1"/>
    <col min="384" max="384" width="23" style="8" customWidth="1" outlineLevel="1"/>
    <col min="385" max="385" width="16.58203125" style="8" customWidth="1" outlineLevel="1"/>
    <col min="386" max="386" width="17" style="8" customWidth="1" outlineLevel="1"/>
    <col min="387" max="387" width="16.58203125" style="8" customWidth="1" outlineLevel="1"/>
    <col min="388" max="388" width="17.9140625" style="8" customWidth="1" outlineLevel="1"/>
    <col min="389" max="389" width="17.5" style="8" customWidth="1" outlineLevel="1"/>
    <col min="390" max="390" width="21.5" style="8" customWidth="1" outlineLevel="1"/>
    <col min="391" max="391" width="18.83203125" style="8" customWidth="1" outlineLevel="1"/>
    <col min="392" max="392" width="20.4140625" style="8" customWidth="1" outlineLevel="1"/>
    <col min="393" max="393" width="20.5" style="8" customWidth="1" outlineLevel="1"/>
    <col min="394" max="394" width="21.9140625" style="8" customWidth="1" outlineLevel="1"/>
    <col min="395" max="395" width="22.4140625" style="8" customWidth="1" outlineLevel="1"/>
    <col min="396" max="396" width="21.9140625" style="8" customWidth="1" outlineLevel="1"/>
    <col min="397" max="397" width="23.5" style="8" customWidth="1" outlineLevel="1"/>
    <col min="398" max="398" width="23" style="8" customWidth="1" outlineLevel="1"/>
    <col min="399" max="399" width="27" style="8" customWidth="1" outlineLevel="1"/>
    <col min="400" max="400" width="24.4140625" style="8" customWidth="1" outlineLevel="1"/>
    <col min="401" max="401" width="25.6640625" style="8" customWidth="1" outlineLevel="1"/>
    <col min="402" max="402" width="25.9140625" style="8" customWidth="1" outlineLevel="1"/>
    <col min="403" max="403" width="16.33203125" style="8" customWidth="1" outlineLevel="1"/>
    <col min="404" max="404" width="16.6640625" style="8" customWidth="1" outlineLevel="1"/>
    <col min="405" max="405" width="16.33203125" style="8" customWidth="1" outlineLevel="1"/>
    <col min="406" max="406" width="17.6640625" style="8" customWidth="1" outlineLevel="1"/>
    <col min="407" max="407" width="17.1640625" style="8" customWidth="1" outlineLevel="1"/>
    <col min="408" max="408" width="21.1640625" style="8" customWidth="1" outlineLevel="1"/>
    <col min="409" max="409" width="18.5" style="8" customWidth="1" outlineLevel="1"/>
    <col min="410" max="410" width="20" style="8" customWidth="1" outlineLevel="1"/>
    <col min="411" max="411" width="20.1640625" style="8" customWidth="1" outlineLevel="1"/>
    <col min="412" max="412" width="24.58203125" style="8" customWidth="1" outlineLevel="1"/>
    <col min="413" max="413" width="25.1640625" style="8" customWidth="1" outlineLevel="1"/>
    <col min="414" max="414" width="24.58203125" style="8" customWidth="1" outlineLevel="1"/>
    <col min="415" max="415" width="26" style="8" customWidth="1" outlineLevel="1"/>
    <col min="416" max="416" width="25.58203125" style="8" customWidth="1" outlineLevel="1"/>
    <col min="417" max="417" width="29.58203125" style="8" customWidth="1" outlineLevel="1"/>
    <col min="418" max="418" width="27" style="8" customWidth="1" outlineLevel="1"/>
    <col min="419" max="419" width="28.5" style="8" customWidth="1" outlineLevel="1"/>
    <col min="420" max="420" width="28.58203125" style="8" customWidth="1" outlineLevel="1"/>
    <col min="421" max="421" width="20" style="8" customWidth="1" outlineLevel="1"/>
    <col min="422" max="422" width="20.5" style="8" customWidth="1" outlineLevel="1"/>
    <col min="423" max="423" width="20" style="8" customWidth="1" outlineLevel="1"/>
    <col min="424" max="424" width="21.5" style="8" customWidth="1" outlineLevel="1"/>
    <col min="425" max="425" width="21" style="8" customWidth="1" outlineLevel="1"/>
    <col min="426" max="426" width="24.9140625" style="8" customWidth="1" outlineLevel="1"/>
    <col min="427" max="427" width="22.33203125" style="8" customWidth="1" outlineLevel="1"/>
    <col min="428" max="428" width="23.83203125" style="8" customWidth="1" outlineLevel="1"/>
    <col min="429" max="429" width="24" style="8" customWidth="1" outlineLevel="1"/>
    <col min="430" max="430" width="21" style="8" customWidth="1" outlineLevel="1"/>
    <col min="431" max="431" width="21.5" style="8" customWidth="1" outlineLevel="1"/>
    <col min="432" max="432" width="21" style="8" customWidth="1" outlineLevel="1"/>
    <col min="433" max="433" width="22.4140625" style="8" customWidth="1" outlineLevel="1"/>
    <col min="434" max="434" width="21.9140625" style="8" customWidth="1" outlineLevel="1"/>
    <col min="435" max="435" width="25.9140625" style="8" customWidth="1" outlineLevel="1"/>
    <col min="436" max="436" width="23.4140625" style="8" customWidth="1" outlineLevel="1"/>
    <col min="437" max="437" width="24.83203125" style="8" customWidth="1" outlineLevel="1"/>
    <col min="438" max="438" width="24.9140625" style="8" customWidth="1" outlineLevel="1"/>
    <col min="439" max="439" width="21.5" style="8" customWidth="1" outlineLevel="1"/>
    <col min="440" max="440" width="21.9140625" style="8" customWidth="1" outlineLevel="1"/>
    <col min="441" max="441" width="21.5" style="8" customWidth="1" outlineLevel="1"/>
    <col min="442" max="442" width="23" style="8" customWidth="1" outlineLevel="1"/>
    <col min="443" max="443" width="22.4140625" style="8" customWidth="1" outlineLevel="1"/>
    <col min="444" max="444" width="26.4140625" style="8" customWidth="1" outlineLevel="1"/>
    <col min="445" max="445" width="23.83203125" style="8" customWidth="1" outlineLevel="1"/>
    <col min="446" max="446" width="25.33203125" style="8" customWidth="1" outlineLevel="1"/>
    <col min="447" max="447" width="25.5" style="8" customWidth="1" outlineLevel="1"/>
    <col min="448" max="448" width="19.58203125" style="8" customWidth="1" outlineLevel="1"/>
    <col min="449" max="449" width="20" style="8" customWidth="1" outlineLevel="1"/>
    <col min="450" max="450" width="19.58203125" style="8" customWidth="1" outlineLevel="1"/>
    <col min="451" max="451" width="21" style="8" customWidth="1" outlineLevel="1"/>
    <col min="452" max="452" width="20.5" style="8" customWidth="1" outlineLevel="1"/>
    <col min="453" max="453" width="24.5" style="8" customWidth="1" outlineLevel="1"/>
    <col min="454" max="454" width="21.83203125" style="8" customWidth="1" outlineLevel="1"/>
    <col min="455" max="455" width="23.4140625" style="8" customWidth="1" outlineLevel="1"/>
    <col min="456" max="456" width="23.5" style="8" customWidth="1" outlineLevel="1"/>
    <col min="457" max="457" width="16.83203125" style="8" customWidth="1" outlineLevel="1"/>
    <col min="458" max="458" width="17.4140625" style="8" customWidth="1" outlineLevel="1"/>
    <col min="459" max="459" width="16.83203125" style="8" customWidth="1" outlineLevel="1"/>
    <col min="460" max="460" width="18.33203125" style="8" customWidth="1" outlineLevel="1"/>
    <col min="461" max="461" width="17.83203125" style="8" customWidth="1" outlineLevel="1"/>
    <col min="462" max="462" width="21.83203125" style="8" customWidth="1" outlineLevel="1"/>
    <col min="463" max="463" width="19.33203125" style="8" customWidth="1" outlineLevel="1"/>
    <col min="464" max="464" width="20.6640625" style="8" customWidth="1" outlineLevel="1"/>
    <col min="465" max="465" width="20.83203125" style="8" customWidth="1" outlineLevel="1"/>
    <col min="466" max="466" width="23" style="8" customWidth="1" outlineLevel="1"/>
    <col min="467" max="467" width="23.5" style="8" customWidth="1" outlineLevel="1"/>
    <col min="468" max="468" width="23" style="8" customWidth="1" outlineLevel="1"/>
    <col min="469" max="469" width="24.5" style="8" customWidth="1" outlineLevel="1"/>
    <col min="470" max="470" width="24" style="8" customWidth="1" outlineLevel="1"/>
    <col min="471" max="471" width="27.9140625" style="8" customWidth="1" outlineLevel="1"/>
    <col min="472" max="472" width="25.33203125" style="8" customWidth="1" outlineLevel="1"/>
    <col min="473" max="473" width="26.6640625" style="8" customWidth="1" outlineLevel="1"/>
    <col min="474" max="474" width="27" style="8" customWidth="1" outlineLevel="1"/>
    <col min="475" max="475" width="16.33203125" style="8" customWidth="1" outlineLevel="1"/>
    <col min="476" max="476" width="16.6640625" style="8" customWidth="1" outlineLevel="1"/>
    <col min="477" max="477" width="16.33203125" style="8" customWidth="1" outlineLevel="1"/>
    <col min="478" max="478" width="17.6640625" style="8" customWidth="1" outlineLevel="1"/>
    <col min="479" max="479" width="17.1640625" style="8" customWidth="1" outlineLevel="1"/>
    <col min="480" max="480" width="21.1640625" style="8" customWidth="1" outlineLevel="1"/>
    <col min="481" max="481" width="18.5" style="8" customWidth="1" outlineLevel="1"/>
    <col min="482" max="482" width="20" style="8" customWidth="1" outlineLevel="1"/>
    <col min="483" max="483" width="20.1640625" style="8" customWidth="1" outlineLevel="1"/>
    <col min="484" max="484" width="19.9140625" style="8" customWidth="1" outlineLevel="1"/>
    <col min="485" max="485" width="20.4140625" style="8" customWidth="1" outlineLevel="1"/>
    <col min="486" max="486" width="19.9140625" style="8" customWidth="1" outlineLevel="1"/>
    <col min="487" max="487" width="21.33203125" style="8" customWidth="1" outlineLevel="1"/>
    <col min="488" max="488" width="20.83203125" style="8" customWidth="1" outlineLevel="1"/>
    <col min="489" max="489" width="24.83203125" style="8" customWidth="1" outlineLevel="1"/>
    <col min="490" max="490" width="22.1640625" style="8" customWidth="1" outlineLevel="1"/>
    <col min="491" max="491" width="23.6640625" style="8" customWidth="1" outlineLevel="1"/>
    <col min="492" max="492" width="23.83203125" style="8" customWidth="1" outlineLevel="1"/>
    <col min="493" max="493" width="17.6640625" style="8" customWidth="1" outlineLevel="1"/>
    <col min="494" max="494" width="18.1640625" style="8" customWidth="1" outlineLevel="1"/>
    <col min="495" max="495" width="17.6640625" style="8" customWidth="1" outlineLevel="1"/>
    <col min="496" max="496" width="19.33203125" style="8" customWidth="1" outlineLevel="1"/>
    <col min="497" max="497" width="18.58203125" style="8" customWidth="1" outlineLevel="1"/>
    <col min="498" max="498" width="22.58203125" style="8" customWidth="1" outlineLevel="1"/>
    <col min="499" max="499" width="20" style="8" customWidth="1" outlineLevel="1"/>
    <col min="500" max="500" width="21.5" style="8" customWidth="1" outlineLevel="1"/>
    <col min="501" max="501" width="21.58203125" style="8" customWidth="1" outlineLevel="1"/>
    <col min="502" max="502" width="22.4140625" style="8" customWidth="1" outlineLevel="1"/>
    <col min="503" max="503" width="23" style="8" customWidth="1" outlineLevel="1"/>
    <col min="504" max="504" width="22.4140625" style="8" customWidth="1" outlineLevel="1"/>
    <col min="505" max="505" width="24" style="8" customWidth="1" outlineLevel="1"/>
    <col min="506" max="506" width="23.5" style="8" customWidth="1" outlineLevel="1"/>
    <col min="507" max="507" width="27.5" style="8" customWidth="1" outlineLevel="1"/>
    <col min="508" max="508" width="24.83203125" style="8" customWidth="1" outlineLevel="1"/>
    <col min="509" max="509" width="26.33203125" style="8" customWidth="1" outlineLevel="1"/>
    <col min="510" max="510" width="26.4140625" style="8" customWidth="1" outlineLevel="1"/>
    <col min="511" max="511" width="16.4140625" style="8" customWidth="1" outlineLevel="1"/>
    <col min="512" max="512" width="16.83203125" style="8" customWidth="1" outlineLevel="1"/>
    <col min="513" max="513" width="16.4140625" style="8" customWidth="1" outlineLevel="1"/>
    <col min="514" max="514" width="17.83203125" style="8" customWidth="1" outlineLevel="1"/>
    <col min="515" max="515" width="17.4140625" style="8" customWidth="1" outlineLevel="1"/>
    <col min="516" max="516" width="21.33203125" style="8" customWidth="1" outlineLevel="1"/>
    <col min="517" max="517" width="18.58203125" style="8" customWidth="1" outlineLevel="1"/>
    <col min="518" max="518" width="20.1640625" style="8" customWidth="1" outlineLevel="1"/>
    <col min="519" max="519" width="20.4140625" style="8" customWidth="1" outlineLevel="1"/>
    <col min="520" max="520" width="19.9140625" style="8" customWidth="1" outlineLevel="1"/>
    <col min="521" max="521" width="20" style="8" customWidth="1" outlineLevel="1"/>
    <col min="522" max="522" width="23" style="8" customWidth="1" outlineLevel="1"/>
    <col min="523" max="523" width="19.4140625" style="8" customWidth="1" outlineLevel="1"/>
    <col min="524" max="524" width="24.1640625" style="8" customWidth="1" outlineLevel="1"/>
    <col min="525" max="525" width="23.5" style="8" customWidth="1" outlineLevel="1"/>
    <col min="526" max="526" width="25.1640625" style="8" customWidth="1" outlineLevel="1"/>
    <col min="527" max="527" width="26.58203125" style="8" customWidth="1" outlineLevel="1"/>
    <col min="528" max="528" width="25.9140625" style="8" customWidth="1" outlineLevel="1"/>
    <col min="529" max="529" width="19.33203125" style="8" customWidth="1" outlineLevel="1"/>
    <col min="530" max="530" width="26.4140625" style="8" customWidth="1" outlineLevel="1"/>
    <col min="531" max="531" width="22.1640625" style="8" customWidth="1" outlineLevel="1"/>
    <col min="532" max="532" width="22.33203125" style="8" customWidth="1" outlineLevel="1"/>
    <col min="533" max="533" width="25.33203125" style="8" customWidth="1" outlineLevel="1"/>
    <col min="534" max="534" width="22.58203125" style="8" customWidth="1" outlineLevel="1"/>
    <col min="535" max="535" width="26.4140625" style="8" customWidth="1" outlineLevel="1"/>
    <col min="536" max="536" width="25.6640625" style="8" customWidth="1" outlineLevel="1"/>
    <col min="537" max="537" width="27.5" style="8" customWidth="1" outlineLevel="1"/>
    <col min="538" max="538" width="28.9140625" style="8" customWidth="1" outlineLevel="1"/>
    <col min="539" max="539" width="28.33203125" style="8" customWidth="1" outlineLevel="1"/>
    <col min="540" max="540" width="21.1640625" style="8" customWidth="1" outlineLevel="1"/>
    <col min="541" max="541" width="21.33203125" style="8" customWidth="1" outlineLevel="1"/>
    <col min="542" max="542" width="24.4140625" style="8" customWidth="1" outlineLevel="1"/>
    <col min="543" max="543" width="20.6640625" style="8" customWidth="1" outlineLevel="1"/>
    <col min="544" max="544" width="25.5" style="8" customWidth="1" outlineLevel="1"/>
    <col min="545" max="545" width="24.83203125" style="8" customWidth="1" outlineLevel="1"/>
    <col min="546" max="546" width="26.4140625" style="8" customWidth="1" outlineLevel="1"/>
    <col min="547" max="547" width="27.9140625" style="8" customWidth="1" outlineLevel="1"/>
    <col min="548" max="548" width="27.4140625" style="8" customWidth="1" outlineLevel="1"/>
    <col min="549" max="549" width="32.58203125" style="8" customWidth="1" outlineLevel="1"/>
    <col min="550" max="550" width="23.83203125" style="8" customWidth="1" outlineLevel="1"/>
    <col min="551" max="551" width="17.1640625" style="8" customWidth="1" outlineLevel="1"/>
    <col min="552" max="552" width="17.4140625" style="8" customWidth="1" outlineLevel="1"/>
    <col min="553" max="553" width="20.4140625" style="8" customWidth="1" outlineLevel="1"/>
    <col min="554" max="554" width="16.83203125" style="8" customWidth="1" outlineLevel="1"/>
    <col min="555" max="555" width="21.5" style="8" customWidth="1" outlineLevel="1"/>
    <col min="556" max="556" width="20.83203125" style="8" customWidth="1" outlineLevel="1"/>
    <col min="557" max="557" width="22.4140625" style="8" customWidth="1" outlineLevel="1"/>
    <col min="558" max="558" width="24" style="8" customWidth="1" outlineLevel="1"/>
    <col min="559" max="559" width="23.4140625" style="8" customWidth="1" outlineLevel="1"/>
    <col min="560" max="560" width="16.58203125" style="8" customWidth="1" outlineLevel="1"/>
    <col min="561" max="561" width="26.33203125" style="8" customWidth="1" outlineLevel="1"/>
    <col min="562" max="562" width="20.5" style="8" customWidth="1" outlineLevel="1"/>
    <col min="563" max="563" width="29.33203125" style="8" customWidth="1"/>
    <col min="564" max="564" width="21" style="47" customWidth="1"/>
    <col min="565" max="565" width="34" style="8" customWidth="1"/>
    <col min="566" max="566" width="27.83203125" style="8" customWidth="1"/>
    <col min="567" max="567" width="26.4140625" style="145" customWidth="1"/>
    <col min="568" max="568" width="34.5" style="8" customWidth="1"/>
    <col min="569" max="569" width="24.9140625" style="8" customWidth="1"/>
    <col min="570" max="570" width="32.5" style="8" customWidth="1"/>
    <col min="571" max="572" width="8.6640625" style="8" customWidth="1"/>
    <col min="573" max="573" width="21.1640625" style="8" customWidth="1"/>
    <col min="574" max="574" width="27.1640625" style="8" customWidth="1"/>
    <col min="575" max="575" width="25.5" style="8" customWidth="1"/>
    <col min="576" max="576" width="21.83203125" style="8" customWidth="1"/>
    <col min="577" max="577" width="19.33203125" style="8" customWidth="1"/>
    <col min="578" max="578" width="20.6640625" style="8" customWidth="1"/>
    <col min="579" max="579" width="17.9140625" style="8" customWidth="1"/>
    <col min="580" max="580" width="18.58203125" style="8" customWidth="1"/>
    <col min="581" max="581" width="16.83203125" style="8" customWidth="1"/>
    <col min="582" max="582" width="22.4140625" style="8" customWidth="1"/>
    <col min="583" max="583" width="20.1640625" style="8" customWidth="1"/>
    <col min="584" max="584" width="21.9140625" style="8" customWidth="1"/>
    <col min="585" max="585" width="16.33203125" style="8" customWidth="1"/>
    <col min="586" max="586" width="14.9140625" style="8" customWidth="1"/>
    <col min="587" max="16384" width="52.58203125" style="8"/>
  </cols>
  <sheetData>
    <row r="1" spans="1:588" s="44" customFormat="1" ht="34.950000000000003" customHeight="1" x14ac:dyDescent="0.3">
      <c r="A1" s="49" t="s">
        <v>0</v>
      </c>
      <c r="B1" s="48" t="s">
        <v>51</v>
      </c>
      <c r="C1" s="48" t="s">
        <v>56</v>
      </c>
      <c r="D1" s="48" t="s">
        <v>57</v>
      </c>
      <c r="E1" s="48" t="s">
        <v>58</v>
      </c>
      <c r="F1" s="48" t="s">
        <v>59</v>
      </c>
      <c r="G1" s="44" t="s">
        <v>175</v>
      </c>
      <c r="H1" s="44" t="s">
        <v>176</v>
      </c>
      <c r="I1" s="44" t="s">
        <v>177</v>
      </c>
      <c r="J1" s="44" t="s">
        <v>178</v>
      </c>
      <c r="K1" s="44" t="s">
        <v>179</v>
      </c>
      <c r="L1" s="44" t="s">
        <v>180</v>
      </c>
      <c r="M1" s="44" t="s">
        <v>181</v>
      </c>
      <c r="N1" s="44" t="s">
        <v>182</v>
      </c>
      <c r="O1" s="44" t="s">
        <v>183</v>
      </c>
      <c r="P1" s="44" t="s">
        <v>184</v>
      </c>
      <c r="Q1" s="44" t="s">
        <v>185</v>
      </c>
      <c r="R1" s="44" t="s">
        <v>186</v>
      </c>
      <c r="S1" s="44" t="s">
        <v>187</v>
      </c>
      <c r="T1" s="44" t="s">
        <v>188</v>
      </c>
      <c r="U1" s="44" t="s">
        <v>189</v>
      </c>
      <c r="V1" s="44" t="s">
        <v>190</v>
      </c>
      <c r="W1" s="44" t="s">
        <v>191</v>
      </c>
      <c r="X1" s="44" t="s">
        <v>192</v>
      </c>
      <c r="Y1" s="44" t="s">
        <v>193</v>
      </c>
      <c r="Z1" s="44" t="s">
        <v>194</v>
      </c>
      <c r="AA1" s="44" t="s">
        <v>195</v>
      </c>
      <c r="AB1" s="44" t="s">
        <v>196</v>
      </c>
      <c r="AC1" s="44" t="s">
        <v>197</v>
      </c>
      <c r="AD1" s="44" t="s">
        <v>198</v>
      </c>
      <c r="AE1" s="44" t="s">
        <v>199</v>
      </c>
      <c r="AF1" s="44" t="s">
        <v>200</v>
      </c>
      <c r="AG1" s="44" t="s">
        <v>201</v>
      </c>
      <c r="AH1" s="44" t="s">
        <v>202</v>
      </c>
      <c r="AI1" s="44" t="s">
        <v>203</v>
      </c>
      <c r="AJ1" s="44" t="s">
        <v>204</v>
      </c>
      <c r="AK1" s="44" t="s">
        <v>205</v>
      </c>
      <c r="AL1" s="44" t="s">
        <v>206</v>
      </c>
      <c r="AM1" s="44" t="s">
        <v>207</v>
      </c>
      <c r="AN1" s="44" t="s">
        <v>208</v>
      </c>
      <c r="AO1" s="44" t="s">
        <v>209</v>
      </c>
      <c r="AP1" s="44" t="s">
        <v>210</v>
      </c>
      <c r="AQ1" s="44" t="s">
        <v>211</v>
      </c>
      <c r="AR1" s="44" t="s">
        <v>212</v>
      </c>
      <c r="AS1" s="44" t="s">
        <v>213</v>
      </c>
      <c r="AT1" s="44" t="s">
        <v>214</v>
      </c>
      <c r="AU1" s="44" t="s">
        <v>215</v>
      </c>
      <c r="AV1" s="44" t="s">
        <v>216</v>
      </c>
      <c r="AW1" s="44" t="s">
        <v>217</v>
      </c>
      <c r="AX1" s="44" t="s">
        <v>218</v>
      </c>
      <c r="AY1" s="44" t="s">
        <v>219</v>
      </c>
      <c r="AZ1" s="44" t="s">
        <v>220</v>
      </c>
      <c r="BA1" s="44" t="s">
        <v>221</v>
      </c>
      <c r="BB1" s="44" t="s">
        <v>222</v>
      </c>
      <c r="BC1" s="44" t="s">
        <v>223</v>
      </c>
      <c r="BD1" s="44" t="s">
        <v>224</v>
      </c>
      <c r="BE1" s="44" t="s">
        <v>225</v>
      </c>
      <c r="BF1" s="44" t="s">
        <v>226</v>
      </c>
      <c r="BG1" s="44" t="s">
        <v>227</v>
      </c>
      <c r="BH1" s="44" t="s">
        <v>228</v>
      </c>
      <c r="BI1" s="44" t="s">
        <v>229</v>
      </c>
      <c r="BJ1" s="44" t="s">
        <v>230</v>
      </c>
      <c r="BK1" s="44" t="s">
        <v>231</v>
      </c>
      <c r="BL1" s="44" t="s">
        <v>232</v>
      </c>
      <c r="BM1" s="44" t="s">
        <v>233</v>
      </c>
      <c r="BN1" s="44" t="s">
        <v>234</v>
      </c>
      <c r="BO1" s="44" t="s">
        <v>235</v>
      </c>
      <c r="BP1" s="44" t="s">
        <v>236</v>
      </c>
      <c r="BQ1" s="44" t="s">
        <v>237</v>
      </c>
      <c r="BR1" s="44" t="s">
        <v>238</v>
      </c>
      <c r="BS1" s="44" t="s">
        <v>239</v>
      </c>
      <c r="BT1" s="44" t="s">
        <v>240</v>
      </c>
      <c r="BU1" s="44" t="s">
        <v>241</v>
      </c>
      <c r="BV1" s="44" t="s">
        <v>242</v>
      </c>
      <c r="BW1" s="44" t="s">
        <v>243</v>
      </c>
      <c r="BX1" s="44" t="s">
        <v>244</v>
      </c>
      <c r="BY1" s="44" t="s">
        <v>245</v>
      </c>
      <c r="BZ1" s="44" t="s">
        <v>246</v>
      </c>
      <c r="CA1" s="44" t="s">
        <v>247</v>
      </c>
      <c r="CB1" s="44" t="s">
        <v>248</v>
      </c>
      <c r="CC1" s="44" t="s">
        <v>249</v>
      </c>
      <c r="CD1" s="44" t="s">
        <v>250</v>
      </c>
      <c r="CE1" s="44" t="s">
        <v>251</v>
      </c>
      <c r="CF1" s="44" t="s">
        <v>252</v>
      </c>
      <c r="CG1" s="44" t="s">
        <v>253</v>
      </c>
      <c r="CH1" s="44" t="s">
        <v>254</v>
      </c>
      <c r="CI1" s="44" t="s">
        <v>255</v>
      </c>
      <c r="CJ1" s="44" t="s">
        <v>256</v>
      </c>
      <c r="CK1" s="44" t="s">
        <v>257</v>
      </c>
      <c r="CL1" s="44" t="s">
        <v>258</v>
      </c>
      <c r="CM1" s="44" t="s">
        <v>259</v>
      </c>
      <c r="CN1" s="44" t="s">
        <v>260</v>
      </c>
      <c r="CO1" s="44" t="s">
        <v>261</v>
      </c>
      <c r="CP1" s="44" t="s">
        <v>262</v>
      </c>
      <c r="CQ1" s="44" t="s">
        <v>263</v>
      </c>
      <c r="CR1" s="44" t="s">
        <v>264</v>
      </c>
      <c r="CS1" s="44" t="s">
        <v>265</v>
      </c>
      <c r="CT1" s="44" t="s">
        <v>266</v>
      </c>
      <c r="CU1" s="44" t="s">
        <v>267</v>
      </c>
      <c r="CV1" s="44" t="s">
        <v>268</v>
      </c>
      <c r="CW1" s="44" t="s">
        <v>269</v>
      </c>
      <c r="CX1" s="44" t="s">
        <v>270</v>
      </c>
      <c r="CY1" s="44" t="s">
        <v>271</v>
      </c>
      <c r="CZ1" s="44" t="s">
        <v>272</v>
      </c>
      <c r="DA1" s="44" t="s">
        <v>273</v>
      </c>
      <c r="DB1" s="44" t="s">
        <v>274</v>
      </c>
      <c r="DC1" s="44" t="s">
        <v>275</v>
      </c>
      <c r="DD1" s="44" t="s">
        <v>276</v>
      </c>
      <c r="DE1" s="44" t="s">
        <v>277</v>
      </c>
      <c r="DF1" s="44" t="s">
        <v>278</v>
      </c>
      <c r="DG1" s="44" t="s">
        <v>279</v>
      </c>
      <c r="DH1" s="44" t="s">
        <v>280</v>
      </c>
      <c r="DI1" s="44" t="s">
        <v>281</v>
      </c>
      <c r="DJ1" s="44" t="s">
        <v>282</v>
      </c>
      <c r="DK1" s="44" t="s">
        <v>283</v>
      </c>
      <c r="DL1" s="44" t="s">
        <v>284</v>
      </c>
      <c r="DM1" s="44" t="s">
        <v>285</v>
      </c>
      <c r="DN1" s="44" t="s">
        <v>286</v>
      </c>
      <c r="DO1" s="44" t="s">
        <v>287</v>
      </c>
      <c r="DP1" s="44" t="s">
        <v>288</v>
      </c>
      <c r="DQ1" s="44" t="s">
        <v>289</v>
      </c>
      <c r="DR1" s="44" t="s">
        <v>290</v>
      </c>
      <c r="DS1" s="44" t="s">
        <v>291</v>
      </c>
      <c r="DT1" s="44" t="s">
        <v>292</v>
      </c>
      <c r="DU1" s="44" t="s">
        <v>293</v>
      </c>
      <c r="DV1" s="44" t="s">
        <v>294</v>
      </c>
      <c r="DW1" s="44" t="s">
        <v>295</v>
      </c>
      <c r="DX1" s="44" t="s">
        <v>296</v>
      </c>
      <c r="DY1" s="44" t="s">
        <v>297</v>
      </c>
      <c r="DZ1" s="44" t="s">
        <v>298</v>
      </c>
      <c r="EA1" s="44" t="s">
        <v>299</v>
      </c>
      <c r="EB1" s="44" t="s">
        <v>300</v>
      </c>
      <c r="EC1" s="44" t="s">
        <v>301</v>
      </c>
      <c r="ED1" s="44" t="s">
        <v>302</v>
      </c>
      <c r="EE1" s="44" t="s">
        <v>303</v>
      </c>
      <c r="EF1" s="44" t="s">
        <v>304</v>
      </c>
      <c r="EG1" s="44" t="s">
        <v>305</v>
      </c>
      <c r="EH1" s="44" t="s">
        <v>306</v>
      </c>
      <c r="EI1" s="44" t="s">
        <v>307</v>
      </c>
      <c r="EJ1" s="44" t="s">
        <v>308</v>
      </c>
      <c r="EK1" s="44" t="s">
        <v>309</v>
      </c>
      <c r="EL1" s="44" t="s">
        <v>310</v>
      </c>
      <c r="EM1" s="44" t="s">
        <v>311</v>
      </c>
      <c r="EN1" s="44" t="s">
        <v>312</v>
      </c>
      <c r="EO1" s="44" t="s">
        <v>313</v>
      </c>
      <c r="EP1" s="44" t="s">
        <v>314</v>
      </c>
      <c r="EQ1" s="44" t="s">
        <v>315</v>
      </c>
      <c r="ER1" s="44" t="s">
        <v>316</v>
      </c>
      <c r="ES1" s="44" t="s">
        <v>317</v>
      </c>
      <c r="ET1" s="44" t="s">
        <v>318</v>
      </c>
      <c r="EU1" s="44" t="s">
        <v>319</v>
      </c>
      <c r="EV1" s="44" t="s">
        <v>320</v>
      </c>
      <c r="EW1" s="44" t="s">
        <v>321</v>
      </c>
      <c r="EX1" s="44" t="s">
        <v>322</v>
      </c>
      <c r="EY1" s="44" t="s">
        <v>323</v>
      </c>
      <c r="EZ1" s="44" t="s">
        <v>324</v>
      </c>
      <c r="FA1" s="44" t="s">
        <v>325</v>
      </c>
      <c r="FB1" s="44" t="s">
        <v>326</v>
      </c>
      <c r="FC1" s="44" t="s">
        <v>327</v>
      </c>
      <c r="FD1" s="44" t="s">
        <v>328</v>
      </c>
      <c r="FE1" s="44" t="s">
        <v>329</v>
      </c>
      <c r="FF1" s="44" t="s">
        <v>330</v>
      </c>
      <c r="FG1" s="44" t="s">
        <v>331</v>
      </c>
      <c r="FH1" s="44" t="s">
        <v>332</v>
      </c>
      <c r="FI1" s="44" t="s">
        <v>333</v>
      </c>
      <c r="FJ1" s="44" t="s">
        <v>334</v>
      </c>
      <c r="FK1" s="44" t="s">
        <v>335</v>
      </c>
      <c r="FL1" s="44" t="s">
        <v>336</v>
      </c>
      <c r="FM1" s="44" t="s">
        <v>337</v>
      </c>
      <c r="FN1" s="44" t="s">
        <v>338</v>
      </c>
      <c r="FO1" s="44" t="s">
        <v>339</v>
      </c>
      <c r="FP1" s="44" t="s">
        <v>340</v>
      </c>
      <c r="FQ1" s="44" t="s">
        <v>341</v>
      </c>
      <c r="FR1" s="44" t="s">
        <v>342</v>
      </c>
      <c r="FS1" s="44" t="s">
        <v>343</v>
      </c>
      <c r="FT1" s="44" t="s">
        <v>344</v>
      </c>
      <c r="FU1" s="44" t="s">
        <v>345</v>
      </c>
      <c r="FV1" s="44" t="s">
        <v>346</v>
      </c>
      <c r="FW1" s="44" t="s">
        <v>347</v>
      </c>
      <c r="FX1" s="44" t="s">
        <v>348</v>
      </c>
      <c r="FY1" s="44" t="s">
        <v>349</v>
      </c>
      <c r="FZ1" s="44" t="s">
        <v>350</v>
      </c>
      <c r="GA1" s="44" t="s">
        <v>351</v>
      </c>
      <c r="GB1" s="44" t="s">
        <v>352</v>
      </c>
      <c r="GC1" s="44" t="s">
        <v>353</v>
      </c>
      <c r="GD1" s="44" t="s">
        <v>354</v>
      </c>
      <c r="GE1" s="44" t="s">
        <v>355</v>
      </c>
      <c r="GF1" s="44" t="s">
        <v>356</v>
      </c>
      <c r="GG1" s="44" t="s">
        <v>357</v>
      </c>
      <c r="GH1" s="44" t="s">
        <v>358</v>
      </c>
      <c r="GI1" s="44" t="s">
        <v>359</v>
      </c>
      <c r="GJ1" s="44" t="s">
        <v>360</v>
      </c>
      <c r="GK1" s="44" t="s">
        <v>361</v>
      </c>
      <c r="GL1" s="44" t="s">
        <v>362</v>
      </c>
      <c r="GM1" s="44" t="s">
        <v>363</v>
      </c>
      <c r="GN1" s="44" t="s">
        <v>364</v>
      </c>
      <c r="GO1" s="44" t="s">
        <v>365</v>
      </c>
      <c r="GP1" s="44" t="s">
        <v>366</v>
      </c>
      <c r="GQ1" s="44" t="s">
        <v>367</v>
      </c>
      <c r="GR1" s="44" t="s">
        <v>368</v>
      </c>
      <c r="GS1" s="44" t="s">
        <v>369</v>
      </c>
      <c r="GT1" s="44" t="s">
        <v>370</v>
      </c>
      <c r="GU1" s="44" t="s">
        <v>371</v>
      </c>
      <c r="GV1" s="44" t="s">
        <v>372</v>
      </c>
      <c r="GW1" s="44" t="s">
        <v>373</v>
      </c>
      <c r="GX1" s="44" t="s">
        <v>374</v>
      </c>
      <c r="GY1" s="44" t="s">
        <v>375</v>
      </c>
      <c r="GZ1" s="44" t="s">
        <v>376</v>
      </c>
      <c r="HA1" s="44" t="s">
        <v>377</v>
      </c>
      <c r="HB1" s="44" t="s">
        <v>378</v>
      </c>
      <c r="HC1" s="44" t="s">
        <v>379</v>
      </c>
      <c r="HD1" s="44" t="s">
        <v>380</v>
      </c>
      <c r="HE1" s="44" t="s">
        <v>381</v>
      </c>
      <c r="HF1" s="44" t="s">
        <v>382</v>
      </c>
      <c r="HG1" s="44" t="s">
        <v>383</v>
      </c>
      <c r="HH1" s="44" t="s">
        <v>384</v>
      </c>
      <c r="HI1" s="44" t="s">
        <v>385</v>
      </c>
      <c r="HJ1" s="44" t="s">
        <v>386</v>
      </c>
      <c r="HK1" s="44" t="s">
        <v>387</v>
      </c>
      <c r="HL1" s="44" t="s">
        <v>388</v>
      </c>
      <c r="HM1" s="44" t="s">
        <v>389</v>
      </c>
      <c r="HN1" s="44" t="s">
        <v>390</v>
      </c>
      <c r="HO1" s="44" t="s">
        <v>391</v>
      </c>
      <c r="HP1" s="44" t="s">
        <v>392</v>
      </c>
      <c r="HQ1" s="44" t="s">
        <v>393</v>
      </c>
      <c r="HR1" s="44" t="s">
        <v>394</v>
      </c>
      <c r="HS1" s="44" t="s">
        <v>395</v>
      </c>
      <c r="HT1" s="44" t="s">
        <v>396</v>
      </c>
      <c r="HU1" s="44" t="s">
        <v>397</v>
      </c>
      <c r="HV1" s="44" t="s">
        <v>398</v>
      </c>
      <c r="HW1" s="44" t="s">
        <v>399</v>
      </c>
      <c r="HX1" s="44" t="s">
        <v>400</v>
      </c>
      <c r="HY1" s="44" t="s">
        <v>401</v>
      </c>
      <c r="HZ1" s="44" t="s">
        <v>402</v>
      </c>
      <c r="IA1" s="44" t="s">
        <v>403</v>
      </c>
      <c r="IB1" s="44" t="s">
        <v>404</v>
      </c>
      <c r="IC1" s="44" t="s">
        <v>405</v>
      </c>
      <c r="ID1" s="44" t="s">
        <v>406</v>
      </c>
      <c r="IE1" s="44" t="s">
        <v>407</v>
      </c>
      <c r="IF1" s="44" t="s">
        <v>408</v>
      </c>
      <c r="IG1" s="44" t="s">
        <v>409</v>
      </c>
      <c r="IH1" s="44" t="s">
        <v>410</v>
      </c>
      <c r="II1" s="44" t="s">
        <v>411</v>
      </c>
      <c r="IJ1" s="44" t="s">
        <v>412</v>
      </c>
      <c r="IK1" s="44" t="s">
        <v>413</v>
      </c>
      <c r="IL1" s="44" t="s">
        <v>414</v>
      </c>
      <c r="IM1" s="44" t="s">
        <v>415</v>
      </c>
      <c r="IN1" s="44" t="s">
        <v>416</v>
      </c>
      <c r="IO1" s="44" t="s">
        <v>417</v>
      </c>
      <c r="IP1" s="44" t="s">
        <v>418</v>
      </c>
      <c r="IQ1" s="44" t="s">
        <v>419</v>
      </c>
      <c r="IR1" s="44" t="s">
        <v>420</v>
      </c>
      <c r="IS1" s="44" t="s">
        <v>421</v>
      </c>
      <c r="IT1" s="44" t="s">
        <v>422</v>
      </c>
      <c r="IU1" s="44" t="s">
        <v>423</v>
      </c>
      <c r="IV1" s="44" t="s">
        <v>424</v>
      </c>
      <c r="IW1" s="44" t="s">
        <v>425</v>
      </c>
      <c r="IX1" s="44" t="s">
        <v>426</v>
      </c>
      <c r="IY1" s="44" t="s">
        <v>427</v>
      </c>
      <c r="IZ1" s="44" t="s">
        <v>428</v>
      </c>
      <c r="JA1" s="44" t="s">
        <v>429</v>
      </c>
      <c r="JB1" s="44" t="s">
        <v>430</v>
      </c>
      <c r="JC1" s="44" t="s">
        <v>431</v>
      </c>
      <c r="JD1" s="44" t="s">
        <v>432</v>
      </c>
      <c r="JE1" s="44" t="s">
        <v>433</v>
      </c>
      <c r="JF1" s="44" t="s">
        <v>434</v>
      </c>
      <c r="JG1" s="44" t="s">
        <v>435</v>
      </c>
      <c r="JH1" s="44" t="s">
        <v>436</v>
      </c>
      <c r="JI1" s="44" t="s">
        <v>437</v>
      </c>
      <c r="JJ1" s="44" t="s">
        <v>438</v>
      </c>
      <c r="JK1" s="44" t="s">
        <v>439</v>
      </c>
      <c r="JL1" s="44" t="s">
        <v>440</v>
      </c>
      <c r="JM1" s="44" t="s">
        <v>441</v>
      </c>
      <c r="JN1" s="44" t="s">
        <v>442</v>
      </c>
      <c r="JO1" s="44" t="s">
        <v>443</v>
      </c>
      <c r="JP1" s="44" t="s">
        <v>444</v>
      </c>
      <c r="JQ1" s="44" t="s">
        <v>445</v>
      </c>
      <c r="JR1" s="44" t="s">
        <v>446</v>
      </c>
      <c r="JS1" s="44" t="s">
        <v>447</v>
      </c>
      <c r="JT1" s="44" t="s">
        <v>448</v>
      </c>
      <c r="JU1" s="44" t="s">
        <v>449</v>
      </c>
      <c r="JV1" s="44" t="s">
        <v>450</v>
      </c>
      <c r="JW1" s="44" t="s">
        <v>451</v>
      </c>
      <c r="JX1" s="44" t="s">
        <v>452</v>
      </c>
      <c r="JY1" s="44" t="s">
        <v>453</v>
      </c>
      <c r="JZ1" s="44" t="s">
        <v>454</v>
      </c>
      <c r="KA1" s="44" t="s">
        <v>455</v>
      </c>
      <c r="KB1" s="44" t="s">
        <v>456</v>
      </c>
      <c r="KC1" s="44" t="s">
        <v>457</v>
      </c>
      <c r="KD1" s="44" t="s">
        <v>458</v>
      </c>
      <c r="KE1" s="44" t="s">
        <v>459</v>
      </c>
      <c r="KF1" s="44" t="s">
        <v>460</v>
      </c>
      <c r="KG1" s="44" t="s">
        <v>461</v>
      </c>
      <c r="KH1" s="44" t="s">
        <v>462</v>
      </c>
      <c r="KI1" s="44" t="s">
        <v>463</v>
      </c>
      <c r="KJ1" s="44" t="s">
        <v>464</v>
      </c>
      <c r="KK1" s="44" t="s">
        <v>465</v>
      </c>
      <c r="KL1" s="44" t="s">
        <v>466</v>
      </c>
      <c r="KM1" s="44" t="s">
        <v>467</v>
      </c>
      <c r="KN1" s="44" t="s">
        <v>468</v>
      </c>
      <c r="KO1" s="44" t="s">
        <v>469</v>
      </c>
      <c r="KP1" s="44" t="s">
        <v>470</v>
      </c>
      <c r="KQ1" s="44" t="s">
        <v>471</v>
      </c>
      <c r="KR1" s="44" t="s">
        <v>472</v>
      </c>
      <c r="KS1" s="44" t="s">
        <v>473</v>
      </c>
      <c r="KT1" s="44" t="s">
        <v>474</v>
      </c>
      <c r="KU1" s="44" t="s">
        <v>475</v>
      </c>
      <c r="KV1" s="44" t="s">
        <v>476</v>
      </c>
      <c r="KW1" s="44" t="s">
        <v>477</v>
      </c>
      <c r="KX1" s="44" t="s">
        <v>478</v>
      </c>
      <c r="KY1" s="44" t="s">
        <v>479</v>
      </c>
      <c r="KZ1" s="44" t="s">
        <v>480</v>
      </c>
      <c r="LA1" s="44" t="s">
        <v>481</v>
      </c>
      <c r="LB1" s="44" t="s">
        <v>482</v>
      </c>
      <c r="LC1" s="44" t="s">
        <v>483</v>
      </c>
      <c r="LD1" s="44" t="s">
        <v>484</v>
      </c>
      <c r="LE1" s="44" t="s">
        <v>485</v>
      </c>
      <c r="LF1" s="44" t="s">
        <v>486</v>
      </c>
      <c r="LG1" s="44" t="s">
        <v>487</v>
      </c>
      <c r="LH1" s="44" t="s">
        <v>488</v>
      </c>
      <c r="LI1" s="44" t="s">
        <v>489</v>
      </c>
      <c r="LJ1" s="44" t="s">
        <v>490</v>
      </c>
      <c r="LK1" s="44" t="s">
        <v>491</v>
      </c>
      <c r="LL1" s="44" t="s">
        <v>492</v>
      </c>
      <c r="LM1" s="44" t="s">
        <v>493</v>
      </c>
      <c r="LN1" s="44" t="s">
        <v>494</v>
      </c>
      <c r="LO1" s="44" t="s">
        <v>495</v>
      </c>
      <c r="LP1" s="44" t="s">
        <v>496</v>
      </c>
      <c r="LQ1" s="44" t="s">
        <v>497</v>
      </c>
      <c r="LR1" s="44" t="s">
        <v>498</v>
      </c>
      <c r="LS1" s="44" t="s">
        <v>499</v>
      </c>
      <c r="LT1" s="44" t="s">
        <v>500</v>
      </c>
      <c r="LU1" s="44" t="s">
        <v>501</v>
      </c>
      <c r="LV1" s="44" t="s">
        <v>502</v>
      </c>
      <c r="LW1" s="44" t="s">
        <v>503</v>
      </c>
      <c r="LX1" s="44" t="s">
        <v>504</v>
      </c>
      <c r="LY1" s="44" t="s">
        <v>505</v>
      </c>
      <c r="LZ1" s="44" t="s">
        <v>506</v>
      </c>
      <c r="MA1" s="44" t="s">
        <v>507</v>
      </c>
      <c r="MB1" s="44" t="s">
        <v>508</v>
      </c>
      <c r="MC1" s="44" t="s">
        <v>509</v>
      </c>
      <c r="MD1" s="44" t="s">
        <v>510</v>
      </c>
      <c r="ME1" s="44" t="s">
        <v>511</v>
      </c>
      <c r="MF1" s="44" t="s">
        <v>512</v>
      </c>
      <c r="MG1" s="44" t="s">
        <v>513</v>
      </c>
      <c r="MH1" s="44" t="s">
        <v>514</v>
      </c>
      <c r="MI1" s="44" t="s">
        <v>515</v>
      </c>
      <c r="MJ1" s="44" t="s">
        <v>516</v>
      </c>
      <c r="MK1" s="44" t="s">
        <v>517</v>
      </c>
      <c r="ML1" s="44" t="s">
        <v>518</v>
      </c>
      <c r="MM1" s="44" t="s">
        <v>519</v>
      </c>
      <c r="MN1" s="44" t="s">
        <v>520</v>
      </c>
      <c r="MO1" s="44" t="s">
        <v>521</v>
      </c>
      <c r="MP1" s="44" t="s">
        <v>522</v>
      </c>
      <c r="MQ1" s="44" t="s">
        <v>523</v>
      </c>
      <c r="MR1" s="44" t="s">
        <v>524</v>
      </c>
      <c r="MS1" s="44" t="s">
        <v>525</v>
      </c>
      <c r="MT1" s="44" t="s">
        <v>526</v>
      </c>
      <c r="MU1" s="44" t="s">
        <v>527</v>
      </c>
      <c r="MV1" s="44" t="s">
        <v>528</v>
      </c>
      <c r="MW1" s="44" t="s">
        <v>529</v>
      </c>
      <c r="MX1" s="44" t="s">
        <v>530</v>
      </c>
      <c r="MY1" s="44" t="s">
        <v>531</v>
      </c>
      <c r="MZ1" s="44" t="s">
        <v>532</v>
      </c>
      <c r="NA1" s="44" t="s">
        <v>533</v>
      </c>
      <c r="NB1" s="44" t="s">
        <v>534</v>
      </c>
      <c r="NC1" s="44" t="s">
        <v>535</v>
      </c>
      <c r="ND1" s="44" t="s">
        <v>536</v>
      </c>
      <c r="NE1" s="44" t="s">
        <v>537</v>
      </c>
      <c r="NF1" s="44" t="s">
        <v>538</v>
      </c>
      <c r="NG1" s="44" t="s">
        <v>539</v>
      </c>
      <c r="NH1" s="44" t="s">
        <v>540</v>
      </c>
      <c r="NI1" s="44" t="s">
        <v>541</v>
      </c>
      <c r="NJ1" s="44" t="s">
        <v>542</v>
      </c>
      <c r="NK1" s="44" t="s">
        <v>543</v>
      </c>
      <c r="NL1" s="44" t="s">
        <v>544</v>
      </c>
      <c r="NM1" s="44" t="s">
        <v>545</v>
      </c>
      <c r="NN1" s="44" t="s">
        <v>546</v>
      </c>
      <c r="NO1" s="44" t="s">
        <v>547</v>
      </c>
      <c r="NP1" s="44" t="s">
        <v>548</v>
      </c>
      <c r="NQ1" s="44" t="s">
        <v>549</v>
      </c>
      <c r="NR1" s="44" t="s">
        <v>550</v>
      </c>
      <c r="NS1" s="44" t="s">
        <v>551</v>
      </c>
      <c r="NT1" s="44" t="s">
        <v>552</v>
      </c>
      <c r="NU1" s="44" t="s">
        <v>553</v>
      </c>
      <c r="NV1" s="44" t="s">
        <v>554</v>
      </c>
      <c r="NW1" s="44" t="s">
        <v>555</v>
      </c>
      <c r="NX1" s="44" t="s">
        <v>556</v>
      </c>
      <c r="NY1" s="44" t="s">
        <v>557</v>
      </c>
      <c r="NZ1" s="44" t="s">
        <v>558</v>
      </c>
      <c r="OA1" s="44" t="s">
        <v>559</v>
      </c>
      <c r="OB1" s="44" t="s">
        <v>560</v>
      </c>
      <c r="OC1" s="44" t="s">
        <v>561</v>
      </c>
      <c r="OD1" s="44" t="s">
        <v>562</v>
      </c>
      <c r="OE1" s="44" t="s">
        <v>563</v>
      </c>
      <c r="OF1" s="44" t="s">
        <v>564</v>
      </c>
      <c r="OG1" s="44" t="s">
        <v>565</v>
      </c>
      <c r="OH1" s="44" t="s">
        <v>566</v>
      </c>
      <c r="OI1" s="44" t="s">
        <v>567</v>
      </c>
      <c r="OJ1" s="44" t="s">
        <v>568</v>
      </c>
      <c r="OK1" s="44" t="s">
        <v>569</v>
      </c>
      <c r="OL1" s="44" t="s">
        <v>570</v>
      </c>
      <c r="OM1" s="44" t="s">
        <v>571</v>
      </c>
      <c r="ON1" s="44" t="s">
        <v>572</v>
      </c>
      <c r="OO1" s="44" t="s">
        <v>573</v>
      </c>
      <c r="OP1" s="44" t="s">
        <v>574</v>
      </c>
      <c r="OQ1" s="44" t="s">
        <v>575</v>
      </c>
      <c r="OR1" s="44" t="s">
        <v>576</v>
      </c>
      <c r="OS1" s="44" t="s">
        <v>577</v>
      </c>
      <c r="OT1" s="44" t="s">
        <v>578</v>
      </c>
      <c r="OU1" s="44" t="s">
        <v>579</v>
      </c>
      <c r="OV1" s="44" t="s">
        <v>580</v>
      </c>
      <c r="OW1" s="44" t="s">
        <v>581</v>
      </c>
      <c r="OX1" s="44" t="s">
        <v>582</v>
      </c>
      <c r="OY1" s="44" t="s">
        <v>583</v>
      </c>
      <c r="OZ1" s="44" t="s">
        <v>584</v>
      </c>
      <c r="PA1" s="44" t="s">
        <v>585</v>
      </c>
      <c r="PB1" s="44" t="s">
        <v>586</v>
      </c>
      <c r="PC1" s="44" t="s">
        <v>587</v>
      </c>
      <c r="PD1" s="44" t="s">
        <v>588</v>
      </c>
      <c r="PE1" s="44" t="s">
        <v>589</v>
      </c>
      <c r="PF1" s="44" t="s">
        <v>590</v>
      </c>
      <c r="PG1" s="44" t="s">
        <v>591</v>
      </c>
      <c r="PH1" s="44" t="s">
        <v>592</v>
      </c>
      <c r="PI1" s="44" t="s">
        <v>593</v>
      </c>
      <c r="PJ1" s="44" t="s">
        <v>594</v>
      </c>
      <c r="PK1" s="44" t="s">
        <v>595</v>
      </c>
      <c r="PL1" s="44" t="s">
        <v>596</v>
      </c>
      <c r="PM1" s="44" t="s">
        <v>597</v>
      </c>
      <c r="PN1" s="44" t="s">
        <v>598</v>
      </c>
      <c r="PO1" s="44" t="s">
        <v>599</v>
      </c>
      <c r="PP1" s="44" t="s">
        <v>600</v>
      </c>
      <c r="PQ1" s="44" t="s">
        <v>601</v>
      </c>
      <c r="PR1" s="44" t="s">
        <v>602</v>
      </c>
      <c r="PS1" s="44" t="s">
        <v>603</v>
      </c>
      <c r="PT1" s="44" t="s">
        <v>604</v>
      </c>
      <c r="PU1" s="44" t="s">
        <v>605</v>
      </c>
      <c r="PV1" s="44" t="s">
        <v>606</v>
      </c>
      <c r="PW1" s="44" t="s">
        <v>607</v>
      </c>
      <c r="PX1" s="44" t="s">
        <v>608</v>
      </c>
      <c r="PY1" s="44" t="s">
        <v>609</v>
      </c>
      <c r="PZ1" s="44" t="s">
        <v>610</v>
      </c>
      <c r="QA1" s="44" t="s">
        <v>611</v>
      </c>
      <c r="QB1" s="44" t="s">
        <v>612</v>
      </c>
      <c r="QC1" s="44" t="s">
        <v>613</v>
      </c>
      <c r="QD1" s="44" t="s">
        <v>614</v>
      </c>
      <c r="QE1" s="44" t="s">
        <v>615</v>
      </c>
      <c r="QF1" s="44" t="s">
        <v>616</v>
      </c>
      <c r="QG1" s="44" t="s">
        <v>617</v>
      </c>
      <c r="QH1" s="44" t="s">
        <v>618</v>
      </c>
      <c r="QI1" s="44" t="s">
        <v>619</v>
      </c>
      <c r="QJ1" s="44" t="s">
        <v>620</v>
      </c>
      <c r="QK1" s="44" t="s">
        <v>621</v>
      </c>
      <c r="QL1" s="44" t="s">
        <v>622</v>
      </c>
      <c r="QM1" s="44" t="s">
        <v>623</v>
      </c>
      <c r="QN1" s="44" t="s">
        <v>624</v>
      </c>
      <c r="QO1" s="44" t="s">
        <v>625</v>
      </c>
      <c r="QP1" s="44" t="s">
        <v>626</v>
      </c>
      <c r="QQ1" s="44" t="s">
        <v>627</v>
      </c>
      <c r="QR1" s="44" t="s">
        <v>628</v>
      </c>
      <c r="QS1" s="44" t="s">
        <v>629</v>
      </c>
      <c r="QT1" s="44" t="s">
        <v>630</v>
      </c>
      <c r="QU1" s="44" t="s">
        <v>631</v>
      </c>
      <c r="QV1" s="44" t="s">
        <v>632</v>
      </c>
      <c r="QW1" s="44" t="s">
        <v>633</v>
      </c>
      <c r="QX1" s="44" t="s">
        <v>634</v>
      </c>
      <c r="QY1" s="44" t="s">
        <v>635</v>
      </c>
      <c r="QZ1" s="44" t="s">
        <v>636</v>
      </c>
      <c r="RA1" s="44" t="s">
        <v>637</v>
      </c>
      <c r="RB1" s="44" t="s">
        <v>638</v>
      </c>
      <c r="RC1" s="44" t="s">
        <v>639</v>
      </c>
      <c r="RD1" s="44" t="s">
        <v>640</v>
      </c>
      <c r="RE1" s="44" t="s">
        <v>641</v>
      </c>
      <c r="RF1" s="44" t="s">
        <v>642</v>
      </c>
      <c r="RG1" s="44" t="s">
        <v>643</v>
      </c>
      <c r="RH1" s="44" t="s">
        <v>644</v>
      </c>
      <c r="RI1" s="44" t="s">
        <v>645</v>
      </c>
      <c r="RJ1" s="44" t="s">
        <v>646</v>
      </c>
      <c r="RK1" s="44" t="s">
        <v>647</v>
      </c>
      <c r="RL1" s="44" t="s">
        <v>648</v>
      </c>
      <c r="RM1" s="44" t="s">
        <v>649</v>
      </c>
      <c r="RN1" s="44" t="s">
        <v>650</v>
      </c>
      <c r="RO1" s="44" t="s">
        <v>651</v>
      </c>
      <c r="RP1" s="44" t="s">
        <v>652</v>
      </c>
      <c r="RQ1" s="44" t="s">
        <v>653</v>
      </c>
      <c r="RR1" s="44" t="s">
        <v>654</v>
      </c>
      <c r="RS1" s="44" t="s">
        <v>655</v>
      </c>
      <c r="RT1" s="44" t="s">
        <v>656</v>
      </c>
      <c r="RU1" s="44" t="s">
        <v>657</v>
      </c>
      <c r="RV1" s="44" t="s">
        <v>658</v>
      </c>
      <c r="RW1" s="44" t="s">
        <v>659</v>
      </c>
      <c r="RX1" s="44" t="s">
        <v>660</v>
      </c>
      <c r="RY1" s="44" t="s">
        <v>661</v>
      </c>
      <c r="RZ1" s="44" t="s">
        <v>662</v>
      </c>
      <c r="SA1" s="44" t="s">
        <v>663</v>
      </c>
      <c r="SB1" s="44" t="s">
        <v>664</v>
      </c>
      <c r="SC1" s="44" t="s">
        <v>665</v>
      </c>
      <c r="SD1" s="44" t="s">
        <v>666</v>
      </c>
      <c r="SE1" s="44" t="s">
        <v>667</v>
      </c>
      <c r="SF1" s="44" t="s">
        <v>668</v>
      </c>
      <c r="SG1" s="44" t="s">
        <v>669</v>
      </c>
      <c r="SH1" s="44" t="s">
        <v>670</v>
      </c>
      <c r="SI1" s="44" t="s">
        <v>671</v>
      </c>
      <c r="SJ1" s="44" t="s">
        <v>672</v>
      </c>
      <c r="SK1" s="44" t="s">
        <v>673</v>
      </c>
      <c r="SL1" s="44" t="s">
        <v>674</v>
      </c>
      <c r="SM1" s="44" t="s">
        <v>675</v>
      </c>
      <c r="SN1" s="44" t="s">
        <v>676</v>
      </c>
      <c r="SO1" s="44" t="s">
        <v>677</v>
      </c>
      <c r="SP1" s="44" t="s">
        <v>678</v>
      </c>
      <c r="SQ1" s="44" t="s">
        <v>679</v>
      </c>
      <c r="SR1" s="44" t="s">
        <v>680</v>
      </c>
      <c r="SS1" s="44" t="s">
        <v>681</v>
      </c>
      <c r="ST1" s="44" t="s">
        <v>682</v>
      </c>
      <c r="SU1" s="44" t="s">
        <v>683</v>
      </c>
      <c r="SV1" s="44" t="s">
        <v>684</v>
      </c>
      <c r="SW1" s="44" t="s">
        <v>685</v>
      </c>
      <c r="SX1" s="44" t="s">
        <v>686</v>
      </c>
      <c r="SY1" s="44" t="s">
        <v>687</v>
      </c>
      <c r="SZ1" s="44" t="s">
        <v>688</v>
      </c>
      <c r="TA1" s="44" t="s">
        <v>689</v>
      </c>
      <c r="TB1" s="44" t="s">
        <v>690</v>
      </c>
      <c r="TC1" s="44" t="s">
        <v>691</v>
      </c>
      <c r="TD1" s="44" t="s">
        <v>692</v>
      </c>
      <c r="TE1" s="44" t="s">
        <v>693</v>
      </c>
      <c r="TF1" s="44" t="s">
        <v>694</v>
      </c>
      <c r="TG1" s="44" t="s">
        <v>695</v>
      </c>
      <c r="TH1" s="44" t="s">
        <v>696</v>
      </c>
      <c r="TI1" s="44" t="s">
        <v>697</v>
      </c>
      <c r="TJ1" s="44" t="s">
        <v>698</v>
      </c>
      <c r="TK1" s="44" t="s">
        <v>699</v>
      </c>
      <c r="TL1" s="44" t="s">
        <v>700</v>
      </c>
      <c r="TM1" s="44" t="s">
        <v>701</v>
      </c>
      <c r="TN1" s="44" t="s">
        <v>702</v>
      </c>
      <c r="TO1" s="44" t="s">
        <v>703</v>
      </c>
      <c r="TP1" s="44" t="s">
        <v>704</v>
      </c>
      <c r="TQ1" s="44" t="s">
        <v>705</v>
      </c>
      <c r="TR1" s="44" t="s">
        <v>706</v>
      </c>
      <c r="TS1" s="44" t="s">
        <v>707</v>
      </c>
      <c r="TT1" s="44" t="s">
        <v>708</v>
      </c>
      <c r="TU1" s="44" t="s">
        <v>709</v>
      </c>
      <c r="TV1" s="44" t="s">
        <v>710</v>
      </c>
      <c r="TW1" s="44" t="s">
        <v>711</v>
      </c>
      <c r="TX1" s="44" t="s">
        <v>712</v>
      </c>
      <c r="TY1" s="44" t="s">
        <v>713</v>
      </c>
      <c r="TZ1" s="44" t="s">
        <v>714</v>
      </c>
      <c r="UA1" s="44" t="s">
        <v>715</v>
      </c>
      <c r="UB1" s="44" t="s">
        <v>716</v>
      </c>
      <c r="UC1" s="44" t="s">
        <v>717</v>
      </c>
      <c r="UD1" s="44" t="s">
        <v>718</v>
      </c>
      <c r="UE1" s="44" t="s">
        <v>719</v>
      </c>
      <c r="UF1" s="44" t="s">
        <v>720</v>
      </c>
      <c r="UG1" s="44" t="s">
        <v>721</v>
      </c>
      <c r="UH1" s="44" t="s">
        <v>722</v>
      </c>
      <c r="UI1" s="44" t="s">
        <v>723</v>
      </c>
      <c r="UJ1" s="44" t="s">
        <v>724</v>
      </c>
      <c r="UK1" s="44" t="s">
        <v>725</v>
      </c>
      <c r="UL1" s="44" t="s">
        <v>726</v>
      </c>
      <c r="UM1" s="44" t="s">
        <v>727</v>
      </c>
      <c r="UN1" s="44" t="s">
        <v>728</v>
      </c>
      <c r="UO1" s="44" t="s">
        <v>729</v>
      </c>
      <c r="UP1" s="44" t="s">
        <v>730</v>
      </c>
      <c r="UQ1" s="44" t="s">
        <v>1278</v>
      </c>
      <c r="UR1" s="44" t="s">
        <v>1279</v>
      </c>
      <c r="US1" s="44" t="s">
        <v>731</v>
      </c>
      <c r="UT1" s="45" t="s">
        <v>732</v>
      </c>
      <c r="UU1" s="44" t="s">
        <v>733</v>
      </c>
      <c r="UV1" s="44" t="s">
        <v>734</v>
      </c>
      <c r="UW1" s="45" t="s">
        <v>735</v>
      </c>
      <c r="UX1" s="44" t="s">
        <v>736</v>
      </c>
      <c r="UY1" s="44" t="s">
        <v>737</v>
      </c>
      <c r="UZ1" s="44" t="s">
        <v>738</v>
      </c>
      <c r="VA1" s="44" t="s">
        <v>1042</v>
      </c>
      <c r="VB1" s="44" t="s">
        <v>1043</v>
      </c>
      <c r="VC1" s="44" t="s">
        <v>1045</v>
      </c>
      <c r="VD1" s="44" t="s">
        <v>1046</v>
      </c>
      <c r="VE1" s="44" t="s">
        <v>1102</v>
      </c>
      <c r="VF1" s="44" t="s">
        <v>1103</v>
      </c>
      <c r="VG1" s="44" t="s">
        <v>1104</v>
      </c>
      <c r="VH1" s="44" t="s">
        <v>1105</v>
      </c>
      <c r="VI1" s="44" t="s">
        <v>1106</v>
      </c>
      <c r="VJ1" s="44" t="s">
        <v>1107</v>
      </c>
      <c r="VK1" s="44" t="s">
        <v>1108</v>
      </c>
      <c r="VL1" s="44" t="s">
        <v>1109</v>
      </c>
      <c r="VM1" s="44" t="s">
        <v>1110</v>
      </c>
      <c r="VN1" s="44" t="s">
        <v>1111</v>
      </c>
      <c r="VO1" s="44" t="s">
        <v>1112</v>
      </c>
      <c r="VP1" s="44" t="s">
        <v>1113</v>
      </c>
    </row>
    <row r="2" spans="1:588" ht="30" customHeight="1" x14ac:dyDescent="0.3">
      <c r="A2" s="15" t="s">
        <v>168</v>
      </c>
      <c r="B2" s="36" t="s">
        <v>118</v>
      </c>
      <c r="C2" s="36" t="s">
        <v>120</v>
      </c>
      <c r="D2" s="36">
        <v>100</v>
      </c>
      <c r="E2" s="36" t="s">
        <v>134</v>
      </c>
      <c r="F2" s="95" t="s">
        <v>106</v>
      </c>
      <c r="G2" s="46">
        <v>11034669</v>
      </c>
      <c r="H2" s="46">
        <v>0</v>
      </c>
      <c r="I2" s="46">
        <v>0</v>
      </c>
      <c r="J2" s="46">
        <v>0</v>
      </c>
      <c r="K2" s="46">
        <v>0</v>
      </c>
      <c r="L2" s="46">
        <v>0</v>
      </c>
      <c r="M2" s="46">
        <v>0</v>
      </c>
      <c r="N2" s="46">
        <v>0</v>
      </c>
      <c r="O2" s="46">
        <v>0</v>
      </c>
      <c r="P2" s="46">
        <v>0</v>
      </c>
      <c r="Q2" s="46">
        <v>0</v>
      </c>
      <c r="R2" s="46">
        <v>0</v>
      </c>
      <c r="S2" s="46">
        <v>0</v>
      </c>
      <c r="T2" s="46">
        <v>0</v>
      </c>
      <c r="U2" s="46">
        <v>0</v>
      </c>
      <c r="V2" s="46">
        <v>0</v>
      </c>
      <c r="W2" s="46">
        <v>0</v>
      </c>
      <c r="X2" s="46">
        <v>0</v>
      </c>
      <c r="Y2" s="46">
        <v>0</v>
      </c>
      <c r="Z2" s="46">
        <v>0</v>
      </c>
      <c r="AA2" s="46">
        <v>0</v>
      </c>
      <c r="AB2" s="46">
        <v>0</v>
      </c>
      <c r="AC2" s="46">
        <v>0</v>
      </c>
      <c r="AD2" s="46">
        <v>0</v>
      </c>
      <c r="AE2" s="46">
        <v>0</v>
      </c>
      <c r="AF2" s="46">
        <v>0</v>
      </c>
      <c r="AG2" s="46">
        <v>0</v>
      </c>
      <c r="AH2" s="46">
        <v>267411900</v>
      </c>
      <c r="AI2" s="46">
        <v>0</v>
      </c>
      <c r="AJ2" s="46">
        <v>0</v>
      </c>
      <c r="AK2" s="46">
        <v>0</v>
      </c>
      <c r="AL2" s="46">
        <v>0</v>
      </c>
      <c r="AM2" s="46">
        <v>0</v>
      </c>
      <c r="AN2" s="46">
        <v>0</v>
      </c>
      <c r="AO2" s="46">
        <v>0</v>
      </c>
      <c r="AP2" s="46">
        <v>0</v>
      </c>
      <c r="AQ2" s="46">
        <v>0</v>
      </c>
      <c r="AR2" s="46">
        <v>0</v>
      </c>
      <c r="AS2" s="46">
        <v>0</v>
      </c>
      <c r="AT2" s="46">
        <v>0</v>
      </c>
      <c r="AU2" s="46">
        <v>0</v>
      </c>
      <c r="AV2" s="46">
        <v>0</v>
      </c>
      <c r="AW2" s="46">
        <v>0</v>
      </c>
      <c r="AX2" s="46">
        <v>0</v>
      </c>
      <c r="AY2" s="46">
        <v>0</v>
      </c>
      <c r="AZ2" s="46">
        <v>0</v>
      </c>
      <c r="BA2" s="46">
        <v>0</v>
      </c>
      <c r="BB2" s="46">
        <v>0</v>
      </c>
      <c r="BC2" s="46">
        <v>0</v>
      </c>
      <c r="BD2" s="46">
        <v>0</v>
      </c>
      <c r="BE2" s="46">
        <v>0</v>
      </c>
      <c r="BF2" s="46">
        <v>0</v>
      </c>
      <c r="BG2" s="46">
        <v>0</v>
      </c>
      <c r="BH2" s="46">
        <v>0</v>
      </c>
      <c r="BI2" s="46">
        <v>0</v>
      </c>
      <c r="BJ2" s="46">
        <v>0</v>
      </c>
      <c r="BK2" s="46">
        <v>0</v>
      </c>
      <c r="BL2" s="46">
        <v>0</v>
      </c>
      <c r="BM2" s="46">
        <v>0</v>
      </c>
      <c r="BN2" s="46">
        <v>0</v>
      </c>
      <c r="BO2" s="46">
        <v>0</v>
      </c>
      <c r="BP2" s="46">
        <v>0</v>
      </c>
      <c r="BQ2" s="46">
        <v>0</v>
      </c>
      <c r="BR2" s="46">
        <v>0</v>
      </c>
      <c r="BS2" s="46">
        <v>0</v>
      </c>
      <c r="BT2" s="46">
        <v>0</v>
      </c>
      <c r="BU2" s="46">
        <v>0</v>
      </c>
      <c r="BV2" s="46">
        <v>0</v>
      </c>
      <c r="BW2" s="46">
        <v>0</v>
      </c>
      <c r="BX2" s="46">
        <v>0</v>
      </c>
      <c r="BY2" s="46">
        <v>0</v>
      </c>
      <c r="BZ2" s="46">
        <v>0</v>
      </c>
      <c r="CA2" s="46">
        <v>0</v>
      </c>
      <c r="CB2" s="46">
        <v>0</v>
      </c>
      <c r="CC2" s="46">
        <v>0</v>
      </c>
      <c r="CD2" s="46">
        <v>0</v>
      </c>
      <c r="CE2" s="46">
        <v>0</v>
      </c>
      <c r="CF2" s="46">
        <v>0</v>
      </c>
      <c r="CG2" s="46">
        <v>0</v>
      </c>
      <c r="CH2" s="46">
        <v>0</v>
      </c>
      <c r="CI2" s="46">
        <v>0</v>
      </c>
      <c r="CJ2" s="46">
        <v>0</v>
      </c>
      <c r="CK2" s="46">
        <v>0</v>
      </c>
      <c r="CL2" s="46">
        <v>0</v>
      </c>
      <c r="CM2" s="46">
        <v>0</v>
      </c>
      <c r="CN2" s="46">
        <v>0</v>
      </c>
      <c r="CO2" s="46">
        <v>0</v>
      </c>
      <c r="CP2" s="46">
        <v>0</v>
      </c>
      <c r="CQ2" s="46">
        <v>0</v>
      </c>
      <c r="CR2" s="46">
        <v>0</v>
      </c>
      <c r="CS2" s="46">
        <v>0</v>
      </c>
      <c r="CT2" s="46">
        <v>0</v>
      </c>
      <c r="CU2" s="46">
        <v>0</v>
      </c>
      <c r="CV2" s="46">
        <v>0</v>
      </c>
      <c r="CW2" s="46">
        <v>0</v>
      </c>
      <c r="CX2" s="46">
        <v>0</v>
      </c>
      <c r="CY2" s="46">
        <v>0</v>
      </c>
      <c r="CZ2" s="46">
        <v>0</v>
      </c>
      <c r="DA2" s="46">
        <v>0</v>
      </c>
      <c r="DB2" s="46">
        <v>0</v>
      </c>
      <c r="DC2" s="46">
        <v>0</v>
      </c>
      <c r="DD2" s="46">
        <v>0</v>
      </c>
      <c r="DE2" s="46">
        <v>0</v>
      </c>
      <c r="DF2" s="46">
        <v>0</v>
      </c>
      <c r="DG2" s="46">
        <v>0</v>
      </c>
      <c r="DH2" s="46">
        <v>0</v>
      </c>
      <c r="DI2" s="46">
        <v>0</v>
      </c>
      <c r="DJ2" s="46">
        <v>0</v>
      </c>
      <c r="DK2" s="46">
        <v>0</v>
      </c>
      <c r="DL2" s="46">
        <v>0</v>
      </c>
      <c r="DM2" s="46">
        <v>0</v>
      </c>
      <c r="DN2" s="46">
        <v>0</v>
      </c>
      <c r="DO2" s="46">
        <v>0</v>
      </c>
      <c r="DP2" s="46">
        <v>0</v>
      </c>
      <c r="DQ2" s="46">
        <v>0</v>
      </c>
      <c r="DR2" s="46">
        <v>0</v>
      </c>
      <c r="DS2" s="46">
        <v>0</v>
      </c>
      <c r="DT2" s="46">
        <v>0</v>
      </c>
      <c r="DU2" s="46">
        <v>0</v>
      </c>
      <c r="DV2" s="46">
        <v>0</v>
      </c>
      <c r="DW2" s="46">
        <v>0</v>
      </c>
      <c r="DX2" s="46">
        <v>0</v>
      </c>
      <c r="DY2" s="46">
        <v>0</v>
      </c>
      <c r="DZ2" s="46">
        <v>0</v>
      </c>
      <c r="EA2" s="46">
        <v>0</v>
      </c>
      <c r="EB2" s="46">
        <v>0</v>
      </c>
      <c r="EC2" s="46">
        <v>0</v>
      </c>
      <c r="ED2" s="46">
        <v>0</v>
      </c>
      <c r="EE2" s="46">
        <v>0</v>
      </c>
      <c r="EF2" s="46">
        <v>0</v>
      </c>
      <c r="EG2" s="46">
        <v>0</v>
      </c>
      <c r="EH2" s="46">
        <v>0</v>
      </c>
      <c r="EI2" s="46">
        <v>0</v>
      </c>
      <c r="EJ2" s="46">
        <v>0</v>
      </c>
      <c r="EK2" s="46">
        <v>0</v>
      </c>
      <c r="EL2" s="46">
        <v>0</v>
      </c>
      <c r="EM2" s="46">
        <v>0</v>
      </c>
      <c r="EN2" s="46">
        <v>0</v>
      </c>
      <c r="EO2" s="46">
        <v>0</v>
      </c>
      <c r="EP2" s="46">
        <v>0</v>
      </c>
      <c r="EQ2" s="46">
        <v>0</v>
      </c>
      <c r="ER2" s="46">
        <v>0</v>
      </c>
      <c r="ES2" s="46">
        <v>0</v>
      </c>
      <c r="ET2" s="46">
        <v>0</v>
      </c>
      <c r="EU2" s="46">
        <v>0</v>
      </c>
      <c r="EV2" s="46">
        <v>0</v>
      </c>
      <c r="EW2" s="46">
        <v>0</v>
      </c>
      <c r="EX2" s="46">
        <v>0</v>
      </c>
      <c r="EY2" s="46">
        <v>0</v>
      </c>
      <c r="EZ2" s="46">
        <v>0</v>
      </c>
      <c r="FA2" s="46">
        <v>0</v>
      </c>
      <c r="FB2" s="46">
        <v>0</v>
      </c>
      <c r="FC2" s="46">
        <v>0</v>
      </c>
      <c r="FD2" s="46">
        <v>0</v>
      </c>
      <c r="FE2" s="46">
        <v>0</v>
      </c>
      <c r="FF2" s="46">
        <v>0</v>
      </c>
      <c r="FG2" s="46">
        <v>0</v>
      </c>
      <c r="FH2" s="46">
        <v>0</v>
      </c>
      <c r="FI2" s="46">
        <v>0</v>
      </c>
      <c r="FJ2" s="46">
        <v>0</v>
      </c>
      <c r="FK2" s="46">
        <v>0</v>
      </c>
      <c r="FL2" s="46">
        <v>0</v>
      </c>
      <c r="FM2" s="46">
        <v>0</v>
      </c>
      <c r="FN2" s="46">
        <v>0</v>
      </c>
      <c r="FO2" s="46">
        <v>0</v>
      </c>
      <c r="FP2" s="46">
        <v>0</v>
      </c>
      <c r="FQ2" s="46">
        <v>0</v>
      </c>
      <c r="FR2" s="46">
        <v>0</v>
      </c>
      <c r="FS2" s="46">
        <v>0</v>
      </c>
      <c r="FT2" s="46">
        <v>0</v>
      </c>
      <c r="FU2" s="46">
        <v>0</v>
      </c>
      <c r="FV2" s="46">
        <v>0</v>
      </c>
      <c r="FW2" s="46">
        <v>0</v>
      </c>
      <c r="FX2" s="46">
        <v>0</v>
      </c>
      <c r="FY2" s="46">
        <v>0</v>
      </c>
      <c r="FZ2" s="46">
        <v>0</v>
      </c>
      <c r="GA2" s="46">
        <v>0</v>
      </c>
      <c r="GB2" s="46">
        <v>0</v>
      </c>
      <c r="GC2" s="46">
        <v>0</v>
      </c>
      <c r="GD2" s="46">
        <v>0</v>
      </c>
      <c r="GE2" s="46">
        <v>0</v>
      </c>
      <c r="GF2" s="46">
        <v>0</v>
      </c>
      <c r="GG2" s="46">
        <v>0</v>
      </c>
      <c r="GH2" s="46">
        <v>0</v>
      </c>
      <c r="GI2" s="46">
        <v>0</v>
      </c>
      <c r="GJ2" s="46">
        <v>0</v>
      </c>
      <c r="GK2" s="46">
        <v>0</v>
      </c>
      <c r="GL2" s="46">
        <v>0</v>
      </c>
      <c r="GM2" s="46">
        <v>0</v>
      </c>
      <c r="GN2" s="46">
        <v>0</v>
      </c>
      <c r="GO2" s="46">
        <v>0</v>
      </c>
      <c r="GP2" s="46">
        <v>0</v>
      </c>
      <c r="GQ2" s="46">
        <v>0</v>
      </c>
      <c r="GR2" s="46">
        <v>0</v>
      </c>
      <c r="GS2" s="46">
        <v>0</v>
      </c>
      <c r="GT2" s="46">
        <v>0</v>
      </c>
      <c r="GU2" s="46">
        <v>0</v>
      </c>
      <c r="GV2" s="46">
        <v>0</v>
      </c>
      <c r="GW2" s="46">
        <v>0</v>
      </c>
      <c r="GX2" s="46">
        <v>0</v>
      </c>
      <c r="GY2" s="46">
        <v>0</v>
      </c>
      <c r="GZ2" s="46">
        <v>0</v>
      </c>
      <c r="HA2" s="46">
        <v>0</v>
      </c>
      <c r="HB2" s="46">
        <v>0</v>
      </c>
      <c r="HC2" s="46">
        <v>0</v>
      </c>
      <c r="HD2" s="46">
        <v>0</v>
      </c>
      <c r="HE2" s="46">
        <v>0</v>
      </c>
      <c r="HF2" s="46">
        <v>0</v>
      </c>
      <c r="HG2" s="46">
        <v>0</v>
      </c>
      <c r="HH2" s="46">
        <v>0</v>
      </c>
      <c r="HI2" s="46">
        <v>0</v>
      </c>
      <c r="HJ2" s="46">
        <v>0</v>
      </c>
      <c r="HK2" s="46">
        <v>0</v>
      </c>
      <c r="HL2" s="46">
        <v>0</v>
      </c>
      <c r="HM2" s="46">
        <v>0</v>
      </c>
      <c r="HN2" s="46">
        <v>0</v>
      </c>
      <c r="HO2" s="46">
        <v>0</v>
      </c>
      <c r="HP2" s="46">
        <v>2551197</v>
      </c>
      <c r="HQ2" s="46">
        <v>0</v>
      </c>
      <c r="HR2" s="46">
        <v>75533218</v>
      </c>
      <c r="HS2" s="46">
        <v>0</v>
      </c>
      <c r="HT2" s="46">
        <v>0</v>
      </c>
      <c r="HU2" s="46">
        <v>13550962</v>
      </c>
      <c r="HV2" s="46">
        <v>0</v>
      </c>
      <c r="HW2" s="46">
        <v>0</v>
      </c>
      <c r="HX2" s="46">
        <v>0</v>
      </c>
      <c r="HY2" s="46">
        <v>0</v>
      </c>
      <c r="HZ2" s="46">
        <v>0</v>
      </c>
      <c r="IA2" s="46">
        <v>0</v>
      </c>
      <c r="IB2" s="46">
        <v>0</v>
      </c>
      <c r="IC2" s="46">
        <v>0</v>
      </c>
      <c r="ID2" s="46">
        <v>0</v>
      </c>
      <c r="IE2" s="46">
        <v>0</v>
      </c>
      <c r="IF2" s="46">
        <v>0</v>
      </c>
      <c r="IG2" s="46">
        <v>0</v>
      </c>
      <c r="IH2" s="46">
        <v>0</v>
      </c>
      <c r="II2" s="46">
        <v>0</v>
      </c>
      <c r="IJ2" s="46">
        <v>0</v>
      </c>
      <c r="IK2" s="46">
        <v>0</v>
      </c>
      <c r="IL2" s="46">
        <v>0</v>
      </c>
      <c r="IM2" s="46">
        <v>0</v>
      </c>
      <c r="IN2" s="46">
        <v>0</v>
      </c>
      <c r="IO2" s="46">
        <v>0</v>
      </c>
      <c r="IP2" s="46">
        <v>-5076723</v>
      </c>
      <c r="IQ2" s="46">
        <v>426988434</v>
      </c>
      <c r="IR2" s="46">
        <v>0</v>
      </c>
      <c r="IS2" s="46">
        <v>2420049</v>
      </c>
      <c r="IT2" s="46">
        <v>0</v>
      </c>
      <c r="IU2" s="46">
        <v>5022214883</v>
      </c>
      <c r="IV2" s="46">
        <v>82082325</v>
      </c>
      <c r="IW2" s="46">
        <v>6270549</v>
      </c>
      <c r="IX2" s="46">
        <v>0</v>
      </c>
      <c r="IY2" s="46">
        <v>0</v>
      </c>
      <c r="IZ2" s="46">
        <v>0</v>
      </c>
      <c r="JA2" s="46">
        <v>0</v>
      </c>
      <c r="JB2" s="46">
        <v>0</v>
      </c>
      <c r="JC2" s="46">
        <v>0</v>
      </c>
      <c r="JD2" s="46">
        <v>0</v>
      </c>
      <c r="JE2" s="46">
        <v>0</v>
      </c>
      <c r="JF2" s="46">
        <v>0</v>
      </c>
      <c r="JG2" s="46">
        <v>0</v>
      </c>
      <c r="JH2" s="46">
        <v>0</v>
      </c>
      <c r="JI2" s="46">
        <v>0</v>
      </c>
      <c r="JJ2" s="46">
        <v>0</v>
      </c>
      <c r="JK2" s="46">
        <v>1254956</v>
      </c>
      <c r="JL2" s="46">
        <v>0</v>
      </c>
      <c r="JM2" s="46">
        <v>0</v>
      </c>
      <c r="JN2" s="46">
        <v>0</v>
      </c>
      <c r="JO2" s="46">
        <v>0</v>
      </c>
      <c r="JP2" s="46">
        <v>0</v>
      </c>
      <c r="JQ2" s="46">
        <v>0</v>
      </c>
      <c r="JR2" s="46">
        <v>108622545</v>
      </c>
      <c r="JS2" s="46">
        <v>0</v>
      </c>
      <c r="JT2" s="46">
        <v>0</v>
      </c>
      <c r="JU2" s="46">
        <v>0</v>
      </c>
      <c r="JV2" s="46">
        <v>0</v>
      </c>
      <c r="JW2" s="46">
        <v>0</v>
      </c>
      <c r="JX2" s="46">
        <v>0</v>
      </c>
      <c r="JY2" s="46">
        <v>0</v>
      </c>
      <c r="JZ2" s="46">
        <v>0</v>
      </c>
      <c r="KA2" s="46">
        <v>0</v>
      </c>
      <c r="KB2" s="46">
        <v>0</v>
      </c>
      <c r="KC2" s="46">
        <v>0</v>
      </c>
      <c r="KD2" s="46">
        <v>0</v>
      </c>
      <c r="KE2" s="46">
        <v>0</v>
      </c>
      <c r="KF2" s="46">
        <v>0</v>
      </c>
      <c r="KG2" s="46">
        <v>0</v>
      </c>
      <c r="KH2" s="46">
        <v>0</v>
      </c>
      <c r="KI2" s="46">
        <v>-123927</v>
      </c>
      <c r="KJ2" s="46">
        <v>237181543</v>
      </c>
      <c r="KK2" s="46">
        <v>0</v>
      </c>
      <c r="KL2" s="46">
        <v>495900</v>
      </c>
      <c r="KM2" s="46">
        <v>0</v>
      </c>
      <c r="KN2" s="46">
        <v>0</v>
      </c>
      <c r="KO2" s="46">
        <v>0</v>
      </c>
      <c r="KP2" s="46">
        <v>0</v>
      </c>
      <c r="KQ2" s="46">
        <v>55201</v>
      </c>
      <c r="KR2" s="46">
        <v>0</v>
      </c>
      <c r="KS2" s="46">
        <v>0</v>
      </c>
      <c r="KT2" s="46">
        <v>0</v>
      </c>
      <c r="KU2" s="46">
        <v>0</v>
      </c>
      <c r="KV2" s="46">
        <v>0</v>
      </c>
      <c r="KW2" s="46">
        <v>0</v>
      </c>
      <c r="KX2" s="46">
        <v>0</v>
      </c>
      <c r="KY2" s="46">
        <v>0</v>
      </c>
      <c r="KZ2" s="46">
        <v>0</v>
      </c>
      <c r="LA2" s="46">
        <v>0</v>
      </c>
      <c r="LB2" s="46">
        <v>0</v>
      </c>
      <c r="LC2" s="46">
        <v>0</v>
      </c>
      <c r="LD2" s="46">
        <v>0</v>
      </c>
      <c r="LE2" s="46">
        <v>0</v>
      </c>
      <c r="LF2" s="46">
        <v>0</v>
      </c>
      <c r="LG2" s="46">
        <v>0</v>
      </c>
      <c r="LH2" s="46">
        <v>0</v>
      </c>
      <c r="LI2" s="46">
        <v>0</v>
      </c>
      <c r="LJ2" s="46">
        <v>5698374</v>
      </c>
      <c r="LK2" s="46">
        <v>18037</v>
      </c>
      <c r="LL2" s="46">
        <v>0</v>
      </c>
      <c r="LM2" s="46">
        <v>830378</v>
      </c>
      <c r="LN2" s="46">
        <v>0</v>
      </c>
      <c r="LO2" s="46">
        <v>0</v>
      </c>
      <c r="LP2" s="46">
        <v>0</v>
      </c>
      <c r="LQ2" s="46">
        <v>0</v>
      </c>
      <c r="LR2" s="46">
        <v>0</v>
      </c>
      <c r="LS2" s="46">
        <v>0</v>
      </c>
      <c r="LT2" s="46">
        <v>0</v>
      </c>
      <c r="LU2" s="46">
        <v>0</v>
      </c>
      <c r="LV2" s="46">
        <v>0</v>
      </c>
      <c r="LW2" s="46">
        <v>0</v>
      </c>
      <c r="LX2" s="46">
        <v>0</v>
      </c>
      <c r="LY2" s="46">
        <v>0</v>
      </c>
      <c r="LZ2" s="46">
        <v>0</v>
      </c>
      <c r="MA2" s="46">
        <v>0</v>
      </c>
      <c r="MB2" s="46">
        <v>19348111</v>
      </c>
      <c r="MC2" s="46">
        <v>36780</v>
      </c>
      <c r="MD2" s="46">
        <v>0</v>
      </c>
      <c r="ME2" s="46">
        <v>244046</v>
      </c>
      <c r="MF2" s="46">
        <v>0</v>
      </c>
      <c r="MG2" s="46">
        <v>0</v>
      </c>
      <c r="MH2" s="46">
        <v>0</v>
      </c>
      <c r="MI2" s="46">
        <v>0</v>
      </c>
      <c r="MJ2" s="46">
        <v>0</v>
      </c>
      <c r="MK2" s="46">
        <v>0</v>
      </c>
      <c r="ML2" s="46">
        <v>0</v>
      </c>
      <c r="MM2" s="46">
        <v>0</v>
      </c>
      <c r="MN2" s="46">
        <v>0</v>
      </c>
      <c r="MO2" s="46">
        <v>0</v>
      </c>
      <c r="MP2" s="46">
        <v>0</v>
      </c>
      <c r="MQ2" s="46">
        <v>0</v>
      </c>
      <c r="MR2" s="46">
        <v>0</v>
      </c>
      <c r="MS2" s="46">
        <v>0</v>
      </c>
      <c r="MT2" s="46">
        <v>186754446</v>
      </c>
      <c r="MU2" s="46">
        <v>296313117</v>
      </c>
      <c r="MV2" s="46">
        <v>0</v>
      </c>
      <c r="MW2" s="46">
        <v>77822066</v>
      </c>
      <c r="MX2" s="46">
        <v>0</v>
      </c>
      <c r="MY2" s="46">
        <v>0</v>
      </c>
      <c r="MZ2" s="46">
        <v>0</v>
      </c>
      <c r="NA2" s="46">
        <v>0</v>
      </c>
      <c r="NB2" s="46">
        <v>0</v>
      </c>
      <c r="NC2" s="46">
        <v>0</v>
      </c>
      <c r="ND2" s="46">
        <v>0</v>
      </c>
      <c r="NE2" s="46">
        <v>0</v>
      </c>
      <c r="NF2" s="46">
        <v>0</v>
      </c>
      <c r="NG2" s="46">
        <v>0</v>
      </c>
      <c r="NH2" s="46">
        <v>0</v>
      </c>
      <c r="NI2" s="46">
        <v>1943857</v>
      </c>
      <c r="NJ2" s="46">
        <v>0</v>
      </c>
      <c r="NK2" s="46">
        <v>0</v>
      </c>
      <c r="NL2" s="46">
        <v>0</v>
      </c>
      <c r="NM2" s="46">
        <v>1633738</v>
      </c>
      <c r="NN2" s="46">
        <v>0</v>
      </c>
      <c r="NO2" s="46">
        <v>305000</v>
      </c>
      <c r="NP2" s="46">
        <v>0</v>
      </c>
      <c r="NQ2" s="46">
        <v>0</v>
      </c>
      <c r="NR2" s="46">
        <v>0</v>
      </c>
      <c r="NS2" s="46">
        <v>0</v>
      </c>
      <c r="NT2" s="46">
        <v>0</v>
      </c>
      <c r="NU2" s="46">
        <v>0</v>
      </c>
      <c r="NV2" s="46">
        <v>0</v>
      </c>
      <c r="NW2" s="46">
        <v>0</v>
      </c>
      <c r="NX2" s="46">
        <v>0</v>
      </c>
      <c r="NY2" s="46">
        <v>0</v>
      </c>
      <c r="NZ2" s="46">
        <v>0</v>
      </c>
      <c r="OA2" s="46">
        <v>0</v>
      </c>
      <c r="OB2" s="46">
        <v>0</v>
      </c>
      <c r="OC2" s="46">
        <v>0</v>
      </c>
      <c r="OD2" s="46">
        <v>0</v>
      </c>
      <c r="OE2" s="46">
        <v>0</v>
      </c>
      <c r="OF2" s="46">
        <v>0</v>
      </c>
      <c r="OG2" s="46">
        <v>0</v>
      </c>
      <c r="OH2" s="46">
        <v>0</v>
      </c>
      <c r="OI2" s="46">
        <v>0</v>
      </c>
      <c r="OJ2" s="46">
        <v>0</v>
      </c>
      <c r="OK2" s="46">
        <v>0</v>
      </c>
      <c r="OL2" s="46">
        <v>0</v>
      </c>
      <c r="OM2" s="46">
        <v>85122</v>
      </c>
      <c r="ON2" s="46">
        <v>627283</v>
      </c>
      <c r="OO2" s="46">
        <v>0</v>
      </c>
      <c r="OP2" s="46">
        <v>0</v>
      </c>
      <c r="OQ2" s="46">
        <v>0</v>
      </c>
      <c r="OR2" s="46">
        <v>1459059</v>
      </c>
      <c r="OS2" s="46">
        <v>8904804</v>
      </c>
      <c r="OT2" s="46">
        <v>413711626</v>
      </c>
      <c r="OU2" s="46">
        <v>0</v>
      </c>
      <c r="OV2" s="46">
        <v>0</v>
      </c>
      <c r="OW2" s="46">
        <v>0</v>
      </c>
      <c r="OX2" s="46">
        <v>0</v>
      </c>
      <c r="OY2" s="46">
        <v>0</v>
      </c>
      <c r="OZ2" s="46">
        <v>0</v>
      </c>
      <c r="PA2" s="46">
        <v>0</v>
      </c>
      <c r="PB2" s="46">
        <v>0</v>
      </c>
      <c r="PC2" s="46">
        <v>0</v>
      </c>
      <c r="PD2" s="46">
        <v>0</v>
      </c>
      <c r="PE2" s="46">
        <v>-12539272</v>
      </c>
      <c r="PF2" s="46">
        <v>245190808</v>
      </c>
      <c r="PG2" s="46">
        <v>0</v>
      </c>
      <c r="PH2" s="46">
        <v>-450714</v>
      </c>
      <c r="PI2" s="46">
        <v>0</v>
      </c>
      <c r="PJ2" s="46">
        <v>-1708969533</v>
      </c>
      <c r="PK2" s="46">
        <v>2785348084</v>
      </c>
      <c r="PL2" s="46">
        <v>411631847</v>
      </c>
      <c r="PM2" s="46">
        <v>12463285</v>
      </c>
      <c r="PN2" s="46">
        <v>0</v>
      </c>
      <c r="PO2" s="46">
        <v>0</v>
      </c>
      <c r="PP2" s="46">
        <v>0</v>
      </c>
      <c r="PQ2" s="46">
        <v>0</v>
      </c>
      <c r="PR2" s="46">
        <v>0</v>
      </c>
      <c r="PS2" s="46">
        <v>0</v>
      </c>
      <c r="PT2" s="46">
        <v>-2796706087</v>
      </c>
      <c r="PU2" s="46">
        <v>0</v>
      </c>
      <c r="PV2" s="46">
        <v>0</v>
      </c>
      <c r="PW2" s="46">
        <v>0</v>
      </c>
      <c r="PX2" s="46">
        <v>0</v>
      </c>
      <c r="PY2" s="46">
        <v>0</v>
      </c>
      <c r="PZ2" s="46">
        <v>0</v>
      </c>
      <c r="QA2" s="46">
        <v>0</v>
      </c>
      <c r="QB2" s="46">
        <v>0</v>
      </c>
      <c r="QC2" s="46">
        <v>0</v>
      </c>
      <c r="QD2" s="46">
        <v>0</v>
      </c>
      <c r="QE2" s="46">
        <v>0</v>
      </c>
      <c r="QF2" s="46">
        <v>4795143</v>
      </c>
      <c r="QG2" s="46">
        <v>358831969</v>
      </c>
      <c r="QH2" s="46">
        <v>0</v>
      </c>
      <c r="QI2" s="46">
        <v>250762</v>
      </c>
      <c r="QJ2" s="46">
        <v>0</v>
      </c>
      <c r="QK2" s="46">
        <v>1633463968</v>
      </c>
      <c r="QL2" s="46">
        <v>25180765</v>
      </c>
      <c r="QM2" s="46">
        <v>0</v>
      </c>
      <c r="QN2" s="46">
        <v>0</v>
      </c>
      <c r="QO2" s="46">
        <v>0</v>
      </c>
      <c r="QP2" s="46">
        <v>0</v>
      </c>
      <c r="QQ2" s="46">
        <v>0</v>
      </c>
      <c r="QR2" s="46">
        <v>0</v>
      </c>
      <c r="QS2" s="46">
        <v>0</v>
      </c>
      <c r="QT2" s="46">
        <v>333086134</v>
      </c>
      <c r="QU2" s="46">
        <v>0</v>
      </c>
      <c r="QV2" s="46">
        <v>0</v>
      </c>
      <c r="QW2" s="46">
        <v>0</v>
      </c>
      <c r="QX2" s="46">
        <v>0</v>
      </c>
      <c r="QY2" s="46">
        <v>0</v>
      </c>
      <c r="QZ2" s="46">
        <v>0</v>
      </c>
      <c r="RA2" s="46">
        <v>0</v>
      </c>
      <c r="RB2" s="46">
        <v>0</v>
      </c>
      <c r="RC2" s="46">
        <v>0</v>
      </c>
      <c r="RD2" s="46">
        <v>0</v>
      </c>
      <c r="RE2" s="46">
        <v>0</v>
      </c>
      <c r="RF2" s="46">
        <v>0</v>
      </c>
      <c r="RG2" s="46">
        <v>0</v>
      </c>
      <c r="RH2" s="46">
        <v>0</v>
      </c>
      <c r="RI2" s="46">
        <v>0</v>
      </c>
      <c r="RJ2" s="46">
        <v>0</v>
      </c>
      <c r="RK2" s="46">
        <v>0</v>
      </c>
      <c r="RL2" s="46">
        <v>0</v>
      </c>
      <c r="RM2" s="46">
        <v>0</v>
      </c>
      <c r="RN2" s="46">
        <v>0</v>
      </c>
      <c r="RO2" s="46">
        <v>-23698836</v>
      </c>
      <c r="RP2" s="46">
        <v>0</v>
      </c>
      <c r="RQ2" s="46">
        <v>0</v>
      </c>
      <c r="RR2" s="46">
        <v>0</v>
      </c>
      <c r="RS2" s="46">
        <v>0</v>
      </c>
      <c r="RT2" s="46">
        <v>0</v>
      </c>
      <c r="RU2" s="46">
        <v>0</v>
      </c>
      <c r="RV2" s="46">
        <v>0</v>
      </c>
      <c r="RW2" s="46">
        <v>0</v>
      </c>
      <c r="RX2" s="46">
        <v>0</v>
      </c>
      <c r="RY2" s="46">
        <v>0</v>
      </c>
      <c r="RZ2" s="46">
        <v>163353952</v>
      </c>
      <c r="SA2" s="46">
        <v>0</v>
      </c>
      <c r="SB2" s="46">
        <v>0</v>
      </c>
      <c r="SC2" s="46">
        <v>0</v>
      </c>
      <c r="SD2" s="46">
        <v>0</v>
      </c>
      <c r="SE2" s="46">
        <v>0</v>
      </c>
      <c r="SF2" s="46">
        <v>0</v>
      </c>
      <c r="SG2" s="46">
        <v>0</v>
      </c>
      <c r="SH2" s="46">
        <v>0</v>
      </c>
      <c r="SI2" s="46">
        <v>0</v>
      </c>
      <c r="SJ2" s="46">
        <v>0</v>
      </c>
      <c r="SK2" s="46">
        <v>0</v>
      </c>
      <c r="SL2" s="46">
        <v>0</v>
      </c>
      <c r="SM2" s="46">
        <v>0</v>
      </c>
      <c r="SN2" s="46">
        <v>0</v>
      </c>
      <c r="SO2" s="46">
        <v>0</v>
      </c>
      <c r="SP2" s="46">
        <v>0</v>
      </c>
      <c r="SQ2" s="46">
        <v>-435064</v>
      </c>
      <c r="SR2" s="46">
        <v>-1914147</v>
      </c>
      <c r="SS2" s="46">
        <v>0</v>
      </c>
      <c r="ST2" s="46">
        <v>0</v>
      </c>
      <c r="SU2" s="46">
        <v>0</v>
      </c>
      <c r="SV2" s="46">
        <v>0</v>
      </c>
      <c r="SW2" s="46">
        <v>-3487993</v>
      </c>
      <c r="SX2" s="46">
        <v>0</v>
      </c>
      <c r="SY2" s="46">
        <v>5837204</v>
      </c>
      <c r="SZ2" s="46">
        <v>0</v>
      </c>
      <c r="TA2" s="46">
        <v>0</v>
      </c>
      <c r="TB2" s="46">
        <v>0</v>
      </c>
      <c r="TC2" s="46">
        <v>0</v>
      </c>
      <c r="TD2" s="46">
        <v>0</v>
      </c>
      <c r="TE2" s="46">
        <v>0</v>
      </c>
      <c r="TF2" s="46">
        <v>0</v>
      </c>
      <c r="TG2" s="46">
        <v>0</v>
      </c>
      <c r="TH2" s="46">
        <v>0</v>
      </c>
      <c r="TI2" s="46">
        <v>0</v>
      </c>
      <c r="TJ2" s="46">
        <v>0</v>
      </c>
      <c r="TK2" s="46">
        <v>0</v>
      </c>
      <c r="TL2" s="46">
        <v>0</v>
      </c>
      <c r="TM2" s="46">
        <v>0</v>
      </c>
      <c r="TN2" s="46">
        <v>0</v>
      </c>
      <c r="TO2" s="46">
        <v>0</v>
      </c>
      <c r="TP2" s="46">
        <v>0</v>
      </c>
      <c r="TQ2" s="46">
        <v>0</v>
      </c>
      <c r="TR2" s="46">
        <v>0</v>
      </c>
      <c r="TS2" s="46">
        <v>0</v>
      </c>
      <c r="TT2" s="46">
        <v>0</v>
      </c>
      <c r="TU2" s="46">
        <v>0</v>
      </c>
      <c r="TV2" s="46">
        <v>0</v>
      </c>
      <c r="TW2" s="46">
        <v>0</v>
      </c>
      <c r="TX2" s="46">
        <v>0</v>
      </c>
      <c r="TY2" s="46">
        <v>0</v>
      </c>
      <c r="TZ2" s="46">
        <v>0</v>
      </c>
      <c r="UA2" s="46">
        <v>0</v>
      </c>
      <c r="UB2" s="46">
        <v>0</v>
      </c>
      <c r="UC2" s="46">
        <v>0</v>
      </c>
      <c r="UD2" s="46">
        <v>0</v>
      </c>
      <c r="UE2" s="46">
        <v>0</v>
      </c>
      <c r="UF2" s="46">
        <v>0</v>
      </c>
      <c r="UG2" s="46">
        <v>6546789</v>
      </c>
      <c r="UH2" s="46">
        <v>0</v>
      </c>
      <c r="UI2" s="46">
        <v>19628937</v>
      </c>
      <c r="UJ2" s="46">
        <v>0</v>
      </c>
      <c r="UK2" s="46">
        <v>560889629</v>
      </c>
      <c r="UL2" s="46">
        <v>1943857</v>
      </c>
      <c r="UM2" s="46">
        <v>1938738</v>
      </c>
      <c r="UN2" s="46">
        <v>0</v>
      </c>
      <c r="UO2" s="46" t="s">
        <v>106</v>
      </c>
      <c r="UP2" s="46" t="s">
        <v>106</v>
      </c>
      <c r="UQ2" s="46"/>
      <c r="UR2" s="46"/>
      <c r="US2" s="8" t="s">
        <v>1247</v>
      </c>
      <c r="UT2" s="47">
        <v>5124994458</v>
      </c>
      <c r="UU2" s="8" t="s">
        <v>1248</v>
      </c>
      <c r="UV2" s="8" t="s">
        <v>1249</v>
      </c>
      <c r="UW2" s="47" t="s">
        <v>1250</v>
      </c>
      <c r="UX2" s="8" t="s">
        <v>1251</v>
      </c>
      <c r="UY2" s="51" t="str" cm="1">
        <f t="array" ref="UY2">IFERROR(_xlfn.IFS(Input[[#This Row],[Type]]="HRI",SUMIFS('FTSE | FTFE'!$P$8:$P$77,'FTSE | FTFE'!$H$8:$H$77,A2),Input[[#This Row],[Type]]="UNIV",SUMIFS('FTSE | FTFE'!$P$104:$P$139,'FTSE | FTFE'!$H$104:$H$139,A2),OR(Input[[#This Row],[Type]]="TSTC",Input[[#This Row],[Type]]="LSC"),SUMIFS('FTSE | FTFE'!$O$88:$O$96,'FTSE | FTFE'!$H$88:$H$96,A2),Input[[#This Row],[Type]]="AHM",SUMIFS(Hidden!$H$42:$H$45,Hidden!$G$42:$G$45,A2)),"N/A")</f>
        <v>N/A</v>
      </c>
      <c r="UZ2" s="51" t="str" cm="1">
        <f t="array" ref="UZ2">IFERROR(_xlfn.IFS(Input[[#This Row],[Type]]="HRI",SUMIFS('FTSE | FTFE'!$Q$8:$Q$77,'FTSE | FTFE'!$H$8:$H$77,A2),Input[[#This Row],[Type]]="UNIV",SUMIFS('FTSE | FTFE'!$Q$104:$Q$139,'FTSE | FTFE'!$H$104:$H$139,A2),OR(Input[[#This Row],[Type]]="TSTC",Input[[#This Row],[Type]]="LSC"),SUMIFS('FTSE | FTFE'!$P$88:$P$96,'FTSE | FTFE'!$H$88:$H$96,A2)),"N/A")</f>
        <v>N/A</v>
      </c>
      <c r="VA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11034669</v>
      </c>
      <c r="VB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267411900</v>
      </c>
      <c r="VC2" s="46">
        <f>SUM(Input[[#This Row],[Fed G&amp;C E&amp;G]],Input[[#This Row],[Fed G&amp;C Desg]],Input[[#This Row],[Fed G&amp;C R Exp]],Input[[#This Row],[Fed G&amp;C Loan]],Input[[#This Row],[Fed G&amp;C Annuity]],Input[[#This Row],[Fed G&amp;C Unexp]],Input[[#This Row],[Fed G&amp;C R of Ind]],Input[[#This Row],[Fed G&amp;C Inv in P]])</f>
        <v>91635377</v>
      </c>
      <c r="VD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5882385735</v>
      </c>
      <c r="VE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2" s="46">
        <f>SUM(Input[[#This Row],[Oth Inc E&amp;G]],Input[[#This Row],[Oth Exp Desg]],Input[[#This Row],[Oth Exp R Exp]],Input[[#This Row],[Oth Exp Loan]],Input[[#This Row],[Oth Exp Annuity]],Input[[#This Row],[Oth Exp Unexp]],Input[[#This Row],[Oth Exp R of Ind]],Input[[#This Row],[Oth Exp Inv in P]])</f>
        <v>424578845</v>
      </c>
      <c r="VH2" s="46">
        <f>SUM(Input[[#This Row],[Instr E&amp;G]],Input[[#This Row],[Instr Desg]],Input[[#This Row],[Instr R Exp]],Input[[#This Row],[Instr Loan]],Input[[#This Row],[Instr Annuity]],Input[[#This Row],[Instr Unexp]],Input[[#This Row],[Instr R of Ind]],Input[[#This Row],[Instr Inv in P]])</f>
        <v>0</v>
      </c>
      <c r="VI2" s="46">
        <f>SUM(Input[[#This Row],[Res E&amp;G]],Input[[#This Row],[Res Desg]],Input[[#This Row],[Res R Exp]],Input[[#This Row],[Res Loan]],Input[[#This Row],[Res Annuity]],Input[[#This Row],[Res Unexp]],Input[[#This Row],[Res R of Ind]],Input[[#This Row],[Res Inv in P]])</f>
        <v>0</v>
      </c>
      <c r="VJ2" s="46">
        <f>SUM(Input[[#This Row],[Acad Sup E&amp;G]],Input[[#This Row],[Acad Sup Desg]],Input[[#This Row],[Acad Sup R Exp]],Input[[#This Row],[Acad Sup Loan]],Input[[#This Row],[Acad Sup Annuity]],Input[[#This Row],[Acad Sup Unexp]],Input[[#This Row],[Acad Sup R of Ind]],Input[[#This Row],[Acad Sup Inv in P]])</f>
        <v>19628937</v>
      </c>
      <c r="VK2" s="46">
        <f>SUM(Input[[#This Row],[Stu Svc E&amp;G]],Input[[#This Row],[Stu Svc Desg]],Input[[#This Row],[Stu Svc R Exp]],Input[[#This Row],[Stu Svc Loan]],Input[[#This Row],[Stu Svc Annuity]],Input[[#This Row],[Stu Svc Unexp]],Input[[#This Row],[Stu Svc R of Ind]],Input[[#This Row],[Stu Svc Inv in P]])</f>
        <v>0</v>
      </c>
      <c r="VL2" s="46">
        <f>SUM(Input[[#This Row],[Inst. Spt E&amp;G]],Input[[#This Row],[Inst. Spt Desg]],Input[[#This Row],[Inst. Spt R Exp]],Input[[#This Row],[Inst. Spt Loan]],Input[[#This Row],[Inst. Spt Annuity]],Input[[#This Row],[Inst. Spt Unexp]],Input[[#This Row],[Inst. Spt R of Ind]],Input[[#This Row],[Inst. Spt Inv in P]])</f>
        <v>560889629</v>
      </c>
      <c r="VM2" s="46">
        <f>SUM(Input[[#This Row],[M&amp;O Plnt E&amp;G]],Input[[#This Row],[M&amp;O Plnt Desg]],Input[[#This Row],[M&amp;O Plnt R Exp]],Input[[#This Row],[M&amp;O Plnt Loan]],Input[[#This Row],[M&amp;O Plnt Annuity]],Input[[#This Row],[M&amp;O Plnt Unexp]],Input[[#This Row],[M&amp;O Plnt R of Ind]],Input[[#This Row],[M&amp;O Plnt Inv in P]])</f>
        <v>1943857</v>
      </c>
      <c r="VN2" s="46">
        <f>SUM(Input[[#This Row],[Schl &amp; Fell E&amp;G]],Input[[#This Row],[Schl &amp; Fell Desg]],Input[[#This Row],[Schl &amp; Fell R Exp]],Input[[#This Row],[Schl &amp; Fell Loan]],Input[[#This Row],[Schl &amp; Fell Annuity]],Input[[#This Row],[Schl &amp; Fell Unexp]],Input[[#This Row],[Schl &amp; Fell R of Ind]],Input[[#This Row],[Schl &amp; Fell Inv in P]])</f>
        <v>1938738</v>
      </c>
      <c r="VO2" s="46">
        <f>SUM(Input[[#This Row],[Cap Out fund E&amp;G]],Input[[#This Row],[Cap Out fund Desg]],Input[[#This Row],[Cap Out fund R Exp]],Input[[#This Row],[Cap Out fund Loan]],Input[[#This Row],[Cap Out fund Annuity]],Input[[#This Row],[Cap Out fund Unexp]],Input[[#This Row],[Cap Out fund R of Ind]],Input[[#This Row],[Cap Out fund Inv in P]])</f>
        <v>0</v>
      </c>
      <c r="VP2" s="46">
        <f>SUM(Input[[#This Row],[Oth Exp E&amp;G]],Input[[#This Row],[Oth Exp Desg]],Input[[#This Row],[Oth Exp R Exp]],Input[[#This Row],[Oth Exp Loan]],Input[[#This Row],[Oth Exp Annuity]],Input[[#This Row],[Oth Exp Unexp]],Input[[#This Row],[Oth Exp R of Ind]],Input[[#This Row],[Oth Exp Inv in P]],Input[[#This Row],[Oth Exp Inv in P]])</f>
        <v>424787894</v>
      </c>
    </row>
    <row r="3" spans="1:588" ht="30" customHeight="1" x14ac:dyDescent="0.3">
      <c r="A3" s="15" t="s">
        <v>29</v>
      </c>
      <c r="B3" s="36" t="s">
        <v>118</v>
      </c>
      <c r="C3" s="36" t="s">
        <v>110</v>
      </c>
      <c r="D3" s="36">
        <v>101</v>
      </c>
      <c r="E3" s="36" t="s">
        <v>134</v>
      </c>
      <c r="F3" s="95" cm="1">
        <f t="array" ref="F3">IFERROR(_xlfn.IFS(Input[[#This Row],[Type]]="HRI",SUMIFS('FTSE | FTFE'!$I$8:$I$77,'FTSE | FTFE'!$H$8:$H$77,A3),Input[[#This Row],[Type]]="UNIV",SUMIFS('FTSE | FTFE'!$I$104:$I$139,'FTSE | FTFE'!$H$104:$H$139,A3),OR(Input[[#This Row],[Type]]="TSTC",Input[[#This Row],[Type]]="LSC"),SUMIFS('FTSE | FTFE'!$I$88:$I$96,'FTSE | FTFE'!$H$88:$H$96,A3)),"N/A")</f>
        <v>3656</v>
      </c>
      <c r="G3" s="46">
        <v>188307471</v>
      </c>
      <c r="H3" s="46">
        <v>0</v>
      </c>
      <c r="I3" s="46">
        <v>0</v>
      </c>
      <c r="J3" s="46">
        <v>0</v>
      </c>
      <c r="K3" s="46">
        <v>0</v>
      </c>
      <c r="L3" s="46">
        <v>0</v>
      </c>
      <c r="M3" s="46">
        <v>0</v>
      </c>
      <c r="N3" s="46">
        <v>0</v>
      </c>
      <c r="O3" s="46">
        <v>0</v>
      </c>
      <c r="P3" s="46">
        <v>31926671</v>
      </c>
      <c r="Q3" s="46">
        <v>36784462</v>
      </c>
      <c r="R3" s="46">
        <v>0</v>
      </c>
      <c r="S3" s="46">
        <v>3344112</v>
      </c>
      <c r="T3" s="46">
        <v>0</v>
      </c>
      <c r="U3" s="46">
        <v>0</v>
      </c>
      <c r="V3" s="46">
        <v>0</v>
      </c>
      <c r="W3" s="46">
        <v>0</v>
      </c>
      <c r="X3" s="46">
        <v>0</v>
      </c>
      <c r="Y3" s="46">
        <v>0</v>
      </c>
      <c r="Z3" s="46">
        <v>0</v>
      </c>
      <c r="AA3" s="46">
        <v>0</v>
      </c>
      <c r="AB3" s="46">
        <v>0</v>
      </c>
      <c r="AC3" s="46">
        <v>0</v>
      </c>
      <c r="AD3" s="46">
        <v>0</v>
      </c>
      <c r="AE3" s="46">
        <v>0</v>
      </c>
      <c r="AF3" s="46">
        <v>0</v>
      </c>
      <c r="AG3" s="46">
        <v>0</v>
      </c>
      <c r="AH3" s="46">
        <v>0</v>
      </c>
      <c r="AI3" s="46">
        <v>0</v>
      </c>
      <c r="AJ3" s="46">
        <v>0</v>
      </c>
      <c r="AK3" s="46">
        <v>0</v>
      </c>
      <c r="AL3" s="46">
        <v>0</v>
      </c>
      <c r="AM3" s="46">
        <v>0</v>
      </c>
      <c r="AN3" s="46">
        <v>0</v>
      </c>
      <c r="AO3" s="46">
        <v>0</v>
      </c>
      <c r="AP3" s="46">
        <v>0</v>
      </c>
      <c r="AQ3" s="46">
        <v>-29645769</v>
      </c>
      <c r="AR3" s="46">
        <v>0</v>
      </c>
      <c r="AS3" s="46">
        <v>0</v>
      </c>
      <c r="AT3" s="46">
        <v>0</v>
      </c>
      <c r="AU3" s="46">
        <v>0</v>
      </c>
      <c r="AV3" s="46">
        <v>0</v>
      </c>
      <c r="AW3" s="46">
        <v>0</v>
      </c>
      <c r="AX3" s="46">
        <v>0</v>
      </c>
      <c r="AY3" s="46">
        <v>0</v>
      </c>
      <c r="AZ3" s="46">
        <v>0</v>
      </c>
      <c r="BA3" s="46">
        <v>-5352431</v>
      </c>
      <c r="BB3" s="46">
        <v>0</v>
      </c>
      <c r="BC3" s="46">
        <v>0</v>
      </c>
      <c r="BD3" s="46">
        <v>0</v>
      </c>
      <c r="BE3" s="46">
        <v>0</v>
      </c>
      <c r="BF3" s="46">
        <v>0</v>
      </c>
      <c r="BG3" s="46">
        <v>0</v>
      </c>
      <c r="BH3" s="46">
        <v>0</v>
      </c>
      <c r="BI3" s="46">
        <v>0</v>
      </c>
      <c r="BJ3" s="46">
        <v>0</v>
      </c>
      <c r="BK3" s="46">
        <v>0</v>
      </c>
      <c r="BL3" s="46">
        <v>0</v>
      </c>
      <c r="BM3" s="46">
        <v>0</v>
      </c>
      <c r="BN3" s="46">
        <v>0</v>
      </c>
      <c r="BO3" s="46">
        <v>0</v>
      </c>
      <c r="BP3" s="46">
        <v>0</v>
      </c>
      <c r="BQ3" s="46">
        <v>0</v>
      </c>
      <c r="BR3" s="46">
        <v>0</v>
      </c>
      <c r="BS3" s="46">
        <v>0</v>
      </c>
      <c r="BT3" s="46">
        <v>0</v>
      </c>
      <c r="BU3" s="46">
        <v>0</v>
      </c>
      <c r="BV3" s="46">
        <v>0</v>
      </c>
      <c r="BW3" s="46">
        <v>0</v>
      </c>
      <c r="BX3" s="46">
        <v>0</v>
      </c>
      <c r="BY3" s="46">
        <v>0</v>
      </c>
      <c r="BZ3" s="46">
        <v>0</v>
      </c>
      <c r="CA3" s="46">
        <v>91915143</v>
      </c>
      <c r="CB3" s="46">
        <v>292144728</v>
      </c>
      <c r="CC3" s="46">
        <v>0</v>
      </c>
      <c r="CD3" s="46">
        <v>0</v>
      </c>
      <c r="CE3" s="46">
        <v>0</v>
      </c>
      <c r="CF3" s="46">
        <v>0</v>
      </c>
      <c r="CG3" s="46">
        <v>0</v>
      </c>
      <c r="CH3" s="46">
        <v>0</v>
      </c>
      <c r="CI3" s="46">
        <v>0</v>
      </c>
      <c r="CJ3" s="46">
        <v>0</v>
      </c>
      <c r="CK3" s="46">
        <v>0</v>
      </c>
      <c r="CL3" s="46">
        <v>0</v>
      </c>
      <c r="CM3" s="46">
        <v>0</v>
      </c>
      <c r="CN3" s="46">
        <v>0</v>
      </c>
      <c r="CO3" s="46">
        <v>0</v>
      </c>
      <c r="CP3" s="46">
        <v>0</v>
      </c>
      <c r="CQ3" s="46">
        <v>0</v>
      </c>
      <c r="CR3" s="46">
        <v>0</v>
      </c>
      <c r="CS3" s="46">
        <v>0</v>
      </c>
      <c r="CT3" s="46">
        <v>0</v>
      </c>
      <c r="CU3" s="46">
        <v>0</v>
      </c>
      <c r="CV3" s="46">
        <v>0</v>
      </c>
      <c r="CW3" s="46">
        <v>0</v>
      </c>
      <c r="CX3" s="46">
        <v>0</v>
      </c>
      <c r="CY3" s="46">
        <v>0</v>
      </c>
      <c r="CZ3" s="46">
        <v>0</v>
      </c>
      <c r="DA3" s="46">
        <v>0</v>
      </c>
      <c r="DB3" s="46">
        <v>-12463538</v>
      </c>
      <c r="DC3" s="46">
        <v>0</v>
      </c>
      <c r="DD3" s="46">
        <v>0</v>
      </c>
      <c r="DE3" s="46">
        <v>0</v>
      </c>
      <c r="DF3" s="46">
        <v>0</v>
      </c>
      <c r="DG3" s="46">
        <v>0</v>
      </c>
      <c r="DH3" s="46">
        <v>0</v>
      </c>
      <c r="DI3" s="46">
        <v>0</v>
      </c>
      <c r="DJ3" s="46">
        <v>0</v>
      </c>
      <c r="DK3" s="46">
        <v>0</v>
      </c>
      <c r="DL3" s="46">
        <v>-2250361</v>
      </c>
      <c r="DM3" s="46">
        <v>0</v>
      </c>
      <c r="DN3" s="46">
        <v>0</v>
      </c>
      <c r="DO3" s="46">
        <v>0</v>
      </c>
      <c r="DP3" s="46">
        <v>0</v>
      </c>
      <c r="DQ3" s="46">
        <v>0</v>
      </c>
      <c r="DR3" s="46">
        <v>0</v>
      </c>
      <c r="DS3" s="46">
        <v>0</v>
      </c>
      <c r="DT3" s="46">
        <v>-79451605</v>
      </c>
      <c r="DU3" s="46">
        <v>-117688438</v>
      </c>
      <c r="DV3" s="46">
        <v>0</v>
      </c>
      <c r="DW3" s="46">
        <v>0</v>
      </c>
      <c r="DX3" s="46">
        <v>0</v>
      </c>
      <c r="DY3" s="46">
        <v>0</v>
      </c>
      <c r="DZ3" s="46">
        <v>0</v>
      </c>
      <c r="EA3" s="46">
        <v>0</v>
      </c>
      <c r="EB3" s="46">
        <v>0</v>
      </c>
      <c r="EC3" s="46">
        <v>1535</v>
      </c>
      <c r="ED3" s="46">
        <v>0</v>
      </c>
      <c r="EE3" s="46">
        <v>0</v>
      </c>
      <c r="EF3" s="46">
        <v>0</v>
      </c>
      <c r="EG3" s="46">
        <v>0</v>
      </c>
      <c r="EH3" s="46">
        <v>0</v>
      </c>
      <c r="EI3" s="46">
        <v>0</v>
      </c>
      <c r="EJ3" s="46">
        <v>0</v>
      </c>
      <c r="EK3" s="46">
        <v>0</v>
      </c>
      <c r="EL3" s="46">
        <v>0</v>
      </c>
      <c r="EM3" s="46">
        <v>-1646902</v>
      </c>
      <c r="EN3" s="46">
        <v>-4528980</v>
      </c>
      <c r="EO3" s="46">
        <v>0</v>
      </c>
      <c r="EP3" s="46">
        <v>0</v>
      </c>
      <c r="EQ3" s="46">
        <v>0</v>
      </c>
      <c r="ER3" s="46">
        <v>0</v>
      </c>
      <c r="ES3" s="46">
        <v>0</v>
      </c>
      <c r="ET3" s="46">
        <v>0</v>
      </c>
      <c r="EU3" s="46">
        <v>0</v>
      </c>
      <c r="EV3" s="46">
        <v>0</v>
      </c>
      <c r="EW3" s="46">
        <v>0</v>
      </c>
      <c r="EX3" s="46">
        <v>0</v>
      </c>
      <c r="EY3" s="46">
        <v>0</v>
      </c>
      <c r="EZ3" s="46">
        <v>0</v>
      </c>
      <c r="FA3" s="46">
        <v>0</v>
      </c>
      <c r="FB3" s="46">
        <v>0</v>
      </c>
      <c r="FC3" s="46">
        <v>0</v>
      </c>
      <c r="FD3" s="46">
        <v>0</v>
      </c>
      <c r="FE3" s="46">
        <v>0</v>
      </c>
      <c r="FF3" s="46">
        <v>0</v>
      </c>
      <c r="FG3" s="46">
        <v>0</v>
      </c>
      <c r="FH3" s="46">
        <v>0</v>
      </c>
      <c r="FI3" s="46">
        <v>0</v>
      </c>
      <c r="FJ3" s="46">
        <v>0</v>
      </c>
      <c r="FK3" s="46">
        <v>0</v>
      </c>
      <c r="FL3" s="46">
        <v>0</v>
      </c>
      <c r="FM3" s="46">
        <v>-4760</v>
      </c>
      <c r="FN3" s="46">
        <v>123361840</v>
      </c>
      <c r="FO3" s="46">
        <v>21945721</v>
      </c>
      <c r="FP3" s="46">
        <v>0</v>
      </c>
      <c r="FQ3" s="46">
        <v>0</v>
      </c>
      <c r="FR3" s="46">
        <v>0</v>
      </c>
      <c r="FS3" s="46">
        <v>0</v>
      </c>
      <c r="FT3" s="46">
        <v>0</v>
      </c>
      <c r="FU3" s="46">
        <v>0</v>
      </c>
      <c r="FV3" s="46">
        <v>0</v>
      </c>
      <c r="FW3" s="46">
        <v>0</v>
      </c>
      <c r="FX3" s="46">
        <v>0</v>
      </c>
      <c r="FY3" s="46">
        <v>0</v>
      </c>
      <c r="FZ3" s="46">
        <v>0</v>
      </c>
      <c r="GA3" s="46">
        <v>0</v>
      </c>
      <c r="GB3" s="46">
        <v>0</v>
      </c>
      <c r="GC3" s="46">
        <v>0</v>
      </c>
      <c r="GD3" s="46">
        <v>0</v>
      </c>
      <c r="GE3" s="46">
        <v>0</v>
      </c>
      <c r="GF3" s="46">
        <v>0</v>
      </c>
      <c r="GG3" s="46">
        <v>0</v>
      </c>
      <c r="GH3" s="46">
        <v>0</v>
      </c>
      <c r="GI3" s="46">
        <v>0</v>
      </c>
      <c r="GJ3" s="46">
        <v>0</v>
      </c>
      <c r="GK3" s="46">
        <v>0</v>
      </c>
      <c r="GL3" s="46">
        <v>0</v>
      </c>
      <c r="GM3" s="46">
        <v>0</v>
      </c>
      <c r="GN3" s="46">
        <v>0</v>
      </c>
      <c r="GO3" s="46">
        <v>0</v>
      </c>
      <c r="GP3" s="46">
        <v>0</v>
      </c>
      <c r="GQ3" s="46">
        <v>0</v>
      </c>
      <c r="GR3" s="46">
        <v>0</v>
      </c>
      <c r="GS3" s="46">
        <v>0</v>
      </c>
      <c r="GT3" s="46">
        <v>0</v>
      </c>
      <c r="GU3" s="46">
        <v>0</v>
      </c>
      <c r="GV3" s="46">
        <v>0</v>
      </c>
      <c r="GW3" s="46">
        <v>0</v>
      </c>
      <c r="GX3" s="46">
        <v>-692419</v>
      </c>
      <c r="GY3" s="46">
        <v>-1904152</v>
      </c>
      <c r="GZ3" s="46">
        <v>0</v>
      </c>
      <c r="HA3" s="46">
        <v>0</v>
      </c>
      <c r="HB3" s="46">
        <v>0</v>
      </c>
      <c r="HC3" s="46">
        <v>0</v>
      </c>
      <c r="HD3" s="46">
        <v>0</v>
      </c>
      <c r="HE3" s="46">
        <v>0</v>
      </c>
      <c r="HF3" s="46">
        <v>4760</v>
      </c>
      <c r="HG3" s="46">
        <v>-49953269</v>
      </c>
      <c r="HH3" s="46">
        <v>1904152</v>
      </c>
      <c r="HI3" s="46">
        <v>0</v>
      </c>
      <c r="HJ3" s="46">
        <v>0</v>
      </c>
      <c r="HK3" s="46">
        <v>0</v>
      </c>
      <c r="HL3" s="46">
        <v>0</v>
      </c>
      <c r="HM3" s="46">
        <v>0</v>
      </c>
      <c r="HN3" s="46">
        <v>0</v>
      </c>
      <c r="HO3" s="46">
        <v>0</v>
      </c>
      <c r="HP3" s="46">
        <v>16498403</v>
      </c>
      <c r="HQ3" s="46">
        <v>0</v>
      </c>
      <c r="HR3" s="46">
        <v>162871681</v>
      </c>
      <c r="HS3" s="46">
        <v>0</v>
      </c>
      <c r="HT3" s="46">
        <v>0</v>
      </c>
      <c r="HU3" s="46">
        <v>0</v>
      </c>
      <c r="HV3" s="46">
        <v>0</v>
      </c>
      <c r="HW3" s="46">
        <v>0</v>
      </c>
      <c r="HX3" s="46">
        <v>0</v>
      </c>
      <c r="HY3" s="46">
        <v>0</v>
      </c>
      <c r="HZ3" s="46">
        <v>0</v>
      </c>
      <c r="IA3" s="46">
        <v>0</v>
      </c>
      <c r="IB3" s="46">
        <v>0</v>
      </c>
      <c r="IC3" s="46">
        <v>0</v>
      </c>
      <c r="ID3" s="46">
        <v>0</v>
      </c>
      <c r="IE3" s="46">
        <v>0</v>
      </c>
      <c r="IF3" s="46">
        <v>0</v>
      </c>
      <c r="IG3" s="46">
        <v>0</v>
      </c>
      <c r="IH3" s="46">
        <v>0</v>
      </c>
      <c r="II3" s="46">
        <v>0</v>
      </c>
      <c r="IJ3" s="46">
        <v>0</v>
      </c>
      <c r="IK3" s="46">
        <v>0</v>
      </c>
      <c r="IL3" s="46">
        <v>0</v>
      </c>
      <c r="IM3" s="46">
        <v>0</v>
      </c>
      <c r="IN3" s="46">
        <v>0</v>
      </c>
      <c r="IO3" s="46">
        <v>0</v>
      </c>
      <c r="IP3" s="46">
        <v>1567800</v>
      </c>
      <c r="IQ3" s="46">
        <v>38639357</v>
      </c>
      <c r="IR3" s="46">
        <v>557654</v>
      </c>
      <c r="IS3" s="46">
        <v>10452911</v>
      </c>
      <c r="IT3" s="46">
        <v>37035</v>
      </c>
      <c r="IU3" s="46">
        <v>12272</v>
      </c>
      <c r="IV3" s="46">
        <v>2771315</v>
      </c>
      <c r="IW3" s="46">
        <v>0</v>
      </c>
      <c r="IX3" s="46">
        <v>0</v>
      </c>
      <c r="IY3" s="46">
        <v>0</v>
      </c>
      <c r="IZ3" s="46">
        <v>111386</v>
      </c>
      <c r="JA3" s="46">
        <v>0</v>
      </c>
      <c r="JB3" s="46">
        <v>837727</v>
      </c>
      <c r="JC3" s="46">
        <v>0</v>
      </c>
      <c r="JD3" s="46">
        <v>0</v>
      </c>
      <c r="JE3" s="46">
        <v>0</v>
      </c>
      <c r="JF3" s="46">
        <v>0</v>
      </c>
      <c r="JG3" s="46">
        <v>0</v>
      </c>
      <c r="JH3" s="46">
        <v>0</v>
      </c>
      <c r="JI3" s="46">
        <v>2785928</v>
      </c>
      <c r="JJ3" s="46">
        <v>0</v>
      </c>
      <c r="JK3" s="46">
        <v>12421217</v>
      </c>
      <c r="JL3" s="46">
        <v>0</v>
      </c>
      <c r="JM3" s="46">
        <v>0</v>
      </c>
      <c r="JN3" s="46">
        <v>-647333</v>
      </c>
      <c r="JO3" s="46">
        <v>0</v>
      </c>
      <c r="JP3" s="46">
        <v>0</v>
      </c>
      <c r="JQ3" s="46">
        <v>168847</v>
      </c>
      <c r="JR3" s="46">
        <v>42883579</v>
      </c>
      <c r="JS3" s="46">
        <v>0</v>
      </c>
      <c r="JT3" s="46">
        <v>-103919</v>
      </c>
      <c r="JU3" s="46">
        <v>0</v>
      </c>
      <c r="JV3" s="46">
        <v>0</v>
      </c>
      <c r="JW3" s="46">
        <v>0</v>
      </c>
      <c r="JX3" s="46">
        <v>0</v>
      </c>
      <c r="JY3" s="46">
        <v>0</v>
      </c>
      <c r="JZ3" s="46">
        <v>0</v>
      </c>
      <c r="KA3" s="46">
        <v>0</v>
      </c>
      <c r="KB3" s="46">
        <v>54634717</v>
      </c>
      <c r="KC3" s="46">
        <v>0</v>
      </c>
      <c r="KD3" s="46">
        <v>0</v>
      </c>
      <c r="KE3" s="46">
        <v>0</v>
      </c>
      <c r="KF3" s="46">
        <v>0</v>
      </c>
      <c r="KG3" s="46">
        <v>0</v>
      </c>
      <c r="KH3" s="46">
        <v>0</v>
      </c>
      <c r="KI3" s="46">
        <v>157030</v>
      </c>
      <c r="KJ3" s="46">
        <v>4985597</v>
      </c>
      <c r="KK3" s="46">
        <v>0</v>
      </c>
      <c r="KL3" s="46">
        <v>3422599</v>
      </c>
      <c r="KM3" s="46">
        <v>116994</v>
      </c>
      <c r="KN3" s="46">
        <v>0</v>
      </c>
      <c r="KO3" s="46">
        <v>4187646</v>
      </c>
      <c r="KP3" s="46">
        <v>0</v>
      </c>
      <c r="KQ3" s="46">
        <v>5254316</v>
      </c>
      <c r="KR3" s="46">
        <v>112033407</v>
      </c>
      <c r="KS3" s="46">
        <v>117964922</v>
      </c>
      <c r="KT3" s="46">
        <v>0</v>
      </c>
      <c r="KU3" s="46">
        <v>6778036</v>
      </c>
      <c r="KV3" s="46">
        <v>0</v>
      </c>
      <c r="KW3" s="46">
        <v>0</v>
      </c>
      <c r="KX3" s="46">
        <v>0</v>
      </c>
      <c r="KY3" s="46">
        <v>0</v>
      </c>
      <c r="KZ3" s="46">
        <v>0</v>
      </c>
      <c r="LA3" s="46">
        <v>55171808</v>
      </c>
      <c r="LB3" s="46">
        <v>35279136</v>
      </c>
      <c r="LC3" s="46">
        <v>0</v>
      </c>
      <c r="LD3" s="46">
        <v>62117330</v>
      </c>
      <c r="LE3" s="46">
        <v>0</v>
      </c>
      <c r="LF3" s="46">
        <v>0</v>
      </c>
      <c r="LG3" s="46">
        <v>0</v>
      </c>
      <c r="LH3" s="46">
        <v>0</v>
      </c>
      <c r="LI3" s="46">
        <v>0</v>
      </c>
      <c r="LJ3" s="46">
        <v>4334703</v>
      </c>
      <c r="LK3" s="46">
        <v>1967851</v>
      </c>
      <c r="LL3" s="46">
        <v>0</v>
      </c>
      <c r="LM3" s="46">
        <v>14641004</v>
      </c>
      <c r="LN3" s="46">
        <v>0</v>
      </c>
      <c r="LO3" s="46">
        <v>0</v>
      </c>
      <c r="LP3" s="46">
        <v>0</v>
      </c>
      <c r="LQ3" s="46">
        <v>0</v>
      </c>
      <c r="LR3" s="46">
        <v>0</v>
      </c>
      <c r="LS3" s="46">
        <v>0</v>
      </c>
      <c r="LT3" s="46">
        <v>0</v>
      </c>
      <c r="LU3" s="46">
        <v>0</v>
      </c>
      <c r="LV3" s="46">
        <v>0</v>
      </c>
      <c r="LW3" s="46">
        <v>0</v>
      </c>
      <c r="LX3" s="46">
        <v>0</v>
      </c>
      <c r="LY3" s="46">
        <v>0</v>
      </c>
      <c r="LZ3" s="46">
        <v>0</v>
      </c>
      <c r="MA3" s="46">
        <v>0</v>
      </c>
      <c r="MB3" s="46">
        <v>31494570</v>
      </c>
      <c r="MC3" s="46">
        <v>33005126</v>
      </c>
      <c r="MD3" s="46">
        <v>0</v>
      </c>
      <c r="ME3" s="46">
        <v>879379</v>
      </c>
      <c r="MF3" s="46">
        <v>0</v>
      </c>
      <c r="MG3" s="46">
        <v>0</v>
      </c>
      <c r="MH3" s="46">
        <v>0</v>
      </c>
      <c r="MI3" s="46">
        <v>0</v>
      </c>
      <c r="MJ3" s="46">
        <v>0</v>
      </c>
      <c r="MK3" s="46">
        <v>11886193</v>
      </c>
      <c r="ML3" s="46">
        <v>88091919</v>
      </c>
      <c r="MM3" s="46">
        <v>0</v>
      </c>
      <c r="MN3" s="46">
        <v>573870</v>
      </c>
      <c r="MO3" s="46">
        <v>-300273</v>
      </c>
      <c r="MP3" s="46">
        <v>0</v>
      </c>
      <c r="MQ3" s="46">
        <v>0</v>
      </c>
      <c r="MR3" s="46">
        <v>0</v>
      </c>
      <c r="MS3" s="46">
        <v>0</v>
      </c>
      <c r="MT3" s="46">
        <v>26923626</v>
      </c>
      <c r="MU3" s="46">
        <v>33042579</v>
      </c>
      <c r="MV3" s="46">
        <v>0</v>
      </c>
      <c r="MW3" s="46">
        <v>639639</v>
      </c>
      <c r="MX3" s="46">
        <v>0</v>
      </c>
      <c r="MY3" s="46">
        <v>0</v>
      </c>
      <c r="MZ3" s="46">
        <v>0</v>
      </c>
      <c r="NA3" s="46">
        <v>0</v>
      </c>
      <c r="NB3" s="46">
        <v>0</v>
      </c>
      <c r="NC3" s="46">
        <v>30771781</v>
      </c>
      <c r="ND3" s="46">
        <v>14850416</v>
      </c>
      <c r="NE3" s="46">
        <v>0</v>
      </c>
      <c r="NF3" s="46">
        <v>22733</v>
      </c>
      <c r="NG3" s="46">
        <v>0</v>
      </c>
      <c r="NH3" s="46">
        <v>0</v>
      </c>
      <c r="NI3" s="46">
        <v>8892453</v>
      </c>
      <c r="NJ3" s="46">
        <v>0</v>
      </c>
      <c r="NK3" s="46">
        <v>0</v>
      </c>
      <c r="NL3" s="46">
        <v>-91534</v>
      </c>
      <c r="NM3" s="46">
        <v>-395311</v>
      </c>
      <c r="NN3" s="46">
        <v>0</v>
      </c>
      <c r="NO3" s="46">
        <v>-4804564</v>
      </c>
      <c r="NP3" s="46">
        <v>0</v>
      </c>
      <c r="NQ3" s="46">
        <v>0</v>
      </c>
      <c r="NR3" s="46">
        <v>0</v>
      </c>
      <c r="NS3" s="46">
        <v>0</v>
      </c>
      <c r="NT3" s="46">
        <v>0</v>
      </c>
      <c r="NU3" s="46">
        <v>0</v>
      </c>
      <c r="NV3" s="46">
        <v>0</v>
      </c>
      <c r="NW3" s="46">
        <v>66464419</v>
      </c>
      <c r="NX3" s="46">
        <v>519439</v>
      </c>
      <c r="NY3" s="46">
        <v>0</v>
      </c>
      <c r="NZ3" s="46">
        <v>0</v>
      </c>
      <c r="OA3" s="46">
        <v>0</v>
      </c>
      <c r="OB3" s="46">
        <v>0</v>
      </c>
      <c r="OC3" s="46">
        <v>0</v>
      </c>
      <c r="OD3" s="46">
        <v>6710814</v>
      </c>
      <c r="OE3" s="46">
        <v>8782136</v>
      </c>
      <c r="OF3" s="46">
        <v>130843</v>
      </c>
      <c r="OG3" s="46">
        <v>6289320</v>
      </c>
      <c r="OH3" s="46">
        <v>0</v>
      </c>
      <c r="OI3" s="46">
        <v>0</v>
      </c>
      <c r="OJ3" s="46">
        <v>0</v>
      </c>
      <c r="OK3" s="46">
        <v>0</v>
      </c>
      <c r="OL3" s="46">
        <v>0</v>
      </c>
      <c r="OM3" s="46">
        <v>0</v>
      </c>
      <c r="ON3" s="46">
        <v>245804</v>
      </c>
      <c r="OO3" s="46">
        <v>208</v>
      </c>
      <c r="OP3" s="46">
        <v>0</v>
      </c>
      <c r="OQ3" s="46">
        <v>58635</v>
      </c>
      <c r="OR3" s="46">
        <v>0</v>
      </c>
      <c r="OS3" s="46">
        <v>0</v>
      </c>
      <c r="OT3" s="46">
        <v>0</v>
      </c>
      <c r="OU3" s="46">
        <v>480729</v>
      </c>
      <c r="OV3" s="46">
        <v>0</v>
      </c>
      <c r="OW3" s="46">
        <v>0</v>
      </c>
      <c r="OX3" s="46">
        <v>0</v>
      </c>
      <c r="OY3" s="46">
        <v>0</v>
      </c>
      <c r="OZ3" s="46">
        <v>0</v>
      </c>
      <c r="PA3" s="46">
        <v>0</v>
      </c>
      <c r="PB3" s="46">
        <v>-211314170</v>
      </c>
      <c r="PC3" s="46">
        <v>0</v>
      </c>
      <c r="PD3" s="46">
        <v>233227282</v>
      </c>
      <c r="PE3" s="46">
        <v>89662370</v>
      </c>
      <c r="PF3" s="46">
        <v>-101692590</v>
      </c>
      <c r="PG3" s="46">
        <v>64514127</v>
      </c>
      <c r="PH3" s="46">
        <v>-116545894</v>
      </c>
      <c r="PI3" s="46">
        <v>-78239</v>
      </c>
      <c r="PJ3" s="46">
        <v>22275169</v>
      </c>
      <c r="PK3" s="46">
        <v>72315146</v>
      </c>
      <c r="PL3" s="46">
        <v>0</v>
      </c>
      <c r="PM3" s="46">
        <v>4960543</v>
      </c>
      <c r="PN3" s="46">
        <v>0</v>
      </c>
      <c r="PO3" s="46">
        <v>0</v>
      </c>
      <c r="PP3" s="46">
        <v>0</v>
      </c>
      <c r="PQ3" s="46">
        <v>0</v>
      </c>
      <c r="PR3" s="46">
        <v>0</v>
      </c>
      <c r="PS3" s="46">
        <v>0</v>
      </c>
      <c r="PT3" s="46">
        <v>170738299</v>
      </c>
      <c r="PU3" s="46">
        <v>0</v>
      </c>
      <c r="PV3" s="46">
        <v>0</v>
      </c>
      <c r="PW3" s="46">
        <v>-16734591</v>
      </c>
      <c r="PX3" s="46">
        <v>-2993355</v>
      </c>
      <c r="PY3" s="46">
        <v>-16909764</v>
      </c>
      <c r="PZ3" s="46">
        <v>0</v>
      </c>
      <c r="QA3" s="46">
        <v>0</v>
      </c>
      <c r="QB3" s="46">
        <v>0</v>
      </c>
      <c r="QC3" s="46">
        <v>0</v>
      </c>
      <c r="QD3" s="46">
        <v>0</v>
      </c>
      <c r="QE3" s="46">
        <v>0</v>
      </c>
      <c r="QF3" s="46">
        <v>0</v>
      </c>
      <c r="QG3" s="46">
        <v>65528626</v>
      </c>
      <c r="QH3" s="46">
        <v>783119</v>
      </c>
      <c r="QI3" s="46">
        <v>3697375</v>
      </c>
      <c r="QJ3" s="46">
        <v>86276</v>
      </c>
      <c r="QK3" s="46">
        <v>11018746</v>
      </c>
      <c r="QL3" s="46">
        <v>6455937</v>
      </c>
      <c r="QM3" s="46">
        <v>0</v>
      </c>
      <c r="QN3" s="46">
        <v>0</v>
      </c>
      <c r="QO3" s="46">
        <v>0</v>
      </c>
      <c r="QP3" s="46">
        <v>0</v>
      </c>
      <c r="QQ3" s="46">
        <v>0</v>
      </c>
      <c r="QR3" s="46">
        <v>0</v>
      </c>
      <c r="QS3" s="46">
        <v>0</v>
      </c>
      <c r="QT3" s="46">
        <v>6937798</v>
      </c>
      <c r="QU3" s="46">
        <v>0</v>
      </c>
      <c r="QV3" s="46">
        <v>0</v>
      </c>
      <c r="QW3" s="46">
        <v>0</v>
      </c>
      <c r="QX3" s="46">
        <v>0</v>
      </c>
      <c r="QY3" s="46">
        <v>0</v>
      </c>
      <c r="QZ3" s="46">
        <v>0</v>
      </c>
      <c r="RA3" s="46">
        <v>0</v>
      </c>
      <c r="RB3" s="46">
        <v>0</v>
      </c>
      <c r="RC3" s="46">
        <v>0</v>
      </c>
      <c r="RD3" s="46">
        <v>0</v>
      </c>
      <c r="RE3" s="46">
        <v>0</v>
      </c>
      <c r="RF3" s="46">
        <v>0</v>
      </c>
      <c r="RG3" s="46">
        <v>0</v>
      </c>
      <c r="RH3" s="46">
        <v>0</v>
      </c>
      <c r="RI3" s="46">
        <v>0</v>
      </c>
      <c r="RJ3" s="46">
        <v>0</v>
      </c>
      <c r="RK3" s="46">
        <v>0</v>
      </c>
      <c r="RL3" s="46">
        <v>0</v>
      </c>
      <c r="RM3" s="46">
        <v>0</v>
      </c>
      <c r="RN3" s="46">
        <v>0</v>
      </c>
      <c r="RO3" s="46">
        <v>-73325499</v>
      </c>
      <c r="RP3" s="46">
        <v>0</v>
      </c>
      <c r="RQ3" s="46">
        <v>0</v>
      </c>
      <c r="RR3" s="46">
        <v>0</v>
      </c>
      <c r="RS3" s="46">
        <v>0</v>
      </c>
      <c r="RT3" s="46">
        <v>0</v>
      </c>
      <c r="RU3" s="46">
        <v>0</v>
      </c>
      <c r="RV3" s="46">
        <v>0</v>
      </c>
      <c r="RW3" s="46">
        <v>0</v>
      </c>
      <c r="RX3" s="46">
        <v>0</v>
      </c>
      <c r="RY3" s="46">
        <v>0</v>
      </c>
      <c r="RZ3" s="46">
        <v>0</v>
      </c>
      <c r="SA3" s="46">
        <v>0</v>
      </c>
      <c r="SB3" s="46">
        <v>0</v>
      </c>
      <c r="SC3" s="46">
        <v>0</v>
      </c>
      <c r="SD3" s="46">
        <v>0</v>
      </c>
      <c r="SE3" s="46">
        <v>0</v>
      </c>
      <c r="SF3" s="46">
        <v>0</v>
      </c>
      <c r="SG3" s="46">
        <v>0</v>
      </c>
      <c r="SH3" s="46">
        <v>0</v>
      </c>
      <c r="SI3" s="46">
        <v>0</v>
      </c>
      <c r="SJ3" s="46">
        <v>0</v>
      </c>
      <c r="SK3" s="46">
        <v>0</v>
      </c>
      <c r="SL3" s="46">
        <v>0</v>
      </c>
      <c r="SM3" s="46">
        <v>0</v>
      </c>
      <c r="SN3" s="46">
        <v>0</v>
      </c>
      <c r="SO3" s="46">
        <v>0</v>
      </c>
      <c r="SP3" s="46">
        <v>442125</v>
      </c>
      <c r="SQ3" s="46">
        <v>0</v>
      </c>
      <c r="SR3" s="46">
        <v>0</v>
      </c>
      <c r="SS3" s="46">
        <v>0</v>
      </c>
      <c r="ST3" s="46">
        <v>0</v>
      </c>
      <c r="SU3" s="46">
        <v>0</v>
      </c>
      <c r="SV3" s="46">
        <v>0</v>
      </c>
      <c r="SW3" s="46">
        <v>0</v>
      </c>
      <c r="SX3" s="46">
        <v>0</v>
      </c>
      <c r="SY3" s="46">
        <v>0</v>
      </c>
      <c r="SZ3" s="46">
        <v>721913</v>
      </c>
      <c r="TA3" s="46">
        <v>18212843</v>
      </c>
      <c r="TB3" s="46">
        <v>143798</v>
      </c>
      <c r="TC3" s="46">
        <v>0</v>
      </c>
      <c r="TD3" s="46">
        <v>379589</v>
      </c>
      <c r="TE3" s="46">
        <v>1597933</v>
      </c>
      <c r="TF3" s="46">
        <v>131037</v>
      </c>
      <c r="TG3" s="46">
        <v>595157</v>
      </c>
      <c r="TH3" s="46">
        <v>0</v>
      </c>
      <c r="TI3" s="46">
        <v>130843</v>
      </c>
      <c r="TJ3" s="46">
        <v>0</v>
      </c>
      <c r="TK3" s="46">
        <v>0</v>
      </c>
      <c r="TL3" s="46">
        <v>0</v>
      </c>
      <c r="TM3" s="46">
        <v>0</v>
      </c>
      <c r="TN3" s="46">
        <v>0</v>
      </c>
      <c r="TO3" s="46">
        <v>0</v>
      </c>
      <c r="TP3" s="46">
        <v>0</v>
      </c>
      <c r="TQ3" s="46">
        <v>0</v>
      </c>
      <c r="TR3" s="46">
        <v>0</v>
      </c>
      <c r="TS3" s="46">
        <v>0</v>
      </c>
      <c r="TT3" s="46">
        <v>0</v>
      </c>
      <c r="TU3" s="46">
        <v>0</v>
      </c>
      <c r="TV3" s="46">
        <v>0</v>
      </c>
      <c r="TW3" s="46">
        <v>0</v>
      </c>
      <c r="TX3" s="46">
        <v>0</v>
      </c>
      <c r="TY3" s="46">
        <v>0</v>
      </c>
      <c r="TZ3" s="46">
        <v>0</v>
      </c>
      <c r="UA3" s="46">
        <v>0</v>
      </c>
      <c r="UB3" s="46">
        <v>0</v>
      </c>
      <c r="UC3" s="46">
        <v>0</v>
      </c>
      <c r="UD3" s="46">
        <v>0</v>
      </c>
      <c r="UE3" s="46">
        <v>236776365</v>
      </c>
      <c r="UF3" s="46">
        <v>152568274</v>
      </c>
      <c r="UG3" s="46">
        <v>20943558</v>
      </c>
      <c r="UH3" s="46">
        <v>0</v>
      </c>
      <c r="UI3" s="46">
        <v>65379075</v>
      </c>
      <c r="UJ3" s="46">
        <v>100251709</v>
      </c>
      <c r="UK3" s="46">
        <v>60605844</v>
      </c>
      <c r="UL3" s="46">
        <v>54537383</v>
      </c>
      <c r="UM3" s="46">
        <v>-5291409</v>
      </c>
      <c r="UN3" s="46">
        <v>66983858</v>
      </c>
      <c r="UO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21913113</v>
      </c>
      <c r="UP3" s="46">
        <f>SUM(Input[[#This Row],[Oth Exp E&amp;G]],Input[[#This Row],[Oth Exp Desg]],Input[[#This Row],[Oth Exp Aux]],Input[[#This Row],[Oth Exp R Exp]],Input[[#This Row],[Oth Exp Loan]],Input[[#This Row],[Oth Exp Annuity]],Input[[#This Row],[Oth Exp Unexp]],Input[[#This Row],[Oth Exp R of Ind]],Input[[#This Row],[Oth Exp Inv in P]])</f>
        <v>785376</v>
      </c>
      <c r="UQ3" s="46"/>
      <c r="UR3" s="46"/>
      <c r="US3" s="8" t="s">
        <v>823</v>
      </c>
      <c r="UT3" s="47">
        <v>8172723330</v>
      </c>
      <c r="UU3" s="8" t="s">
        <v>85</v>
      </c>
      <c r="UV3" s="8" t="s">
        <v>824</v>
      </c>
      <c r="UW3" s="47">
        <v>8172723449</v>
      </c>
      <c r="UX3" s="8" t="s">
        <v>825</v>
      </c>
      <c r="UY3" s="51" cm="1">
        <f t="array" ref="UY3">IFERROR(_xlfn.IFS(Input[[#This Row],[Type]]="HRI",SUMIFS('FTSE | FTFE'!$P$8:$P$77,'FTSE | FTFE'!$H$8:$H$77,A3),Input[[#This Row],[Type]]="UNIV",SUMIFS('FTSE | FTFE'!$P$104:$P$139,'FTSE | FTFE'!$H$104:$H$139,A3),OR(Input[[#This Row],[Type]]="TSTC",Input[[#This Row],[Type]]="LSC"),SUMIFS('FTSE | FTFE'!$O$88:$O$96,'FTSE | FTFE'!$H$88:$H$96,A3),Input[[#This Row],[Type]]="AHM",SUMIFS(Hidden!$H$42:$H$45,Hidden!$G$42:$G$45,A3)),"N/A")</f>
        <v>33319</v>
      </c>
      <c r="UZ3" s="51" cm="1">
        <f t="array" ref="UZ3">IFERROR(_xlfn.IFS(Input[[#This Row],[Type]]="HRI",SUMIFS('FTSE | FTFE'!$Q$8:$Q$77,'FTSE | FTFE'!$H$8:$H$77,A3),Input[[#This Row],[Type]]="UNIV",SUMIFS('FTSE | FTFE'!$Q$104:$Q$139,'FTSE | FTFE'!$H$104:$H$139,A3),OR(Input[[#This Row],[Type]]="TSTC",Input[[#This Row],[Type]]="LSC"),SUMIFS('FTSE | FTFE'!$P$88:$P$96,'FTSE | FTFE'!$H$88:$H$96,A3)),"N/A")</f>
        <v>344</v>
      </c>
      <c r="VA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260362716</v>
      </c>
      <c r="VB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3" s="46">
        <f>SUM(Input[[#This Row],[Fed G&amp;C E&amp;G]],Input[[#This Row],[Fed G&amp;C Desg]],Input[[#This Row],[Fed G&amp;C R Exp]],Input[[#This Row],[Fed G&amp;C Loan]],Input[[#This Row],[Fed G&amp;C Annuity]],Input[[#This Row],[Fed G&amp;C Unexp]],Input[[#This Row],[Fed G&amp;C R of Ind]],Input[[#This Row],[Fed G&amp;C Inv in P]])</f>
        <v>179370084</v>
      </c>
      <c r="VD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130062304</v>
      </c>
      <c r="VE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172205929</v>
      </c>
      <c r="VF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72716152</v>
      </c>
      <c r="VG3" s="46">
        <f>SUM(Input[[#This Row],[Oth Inc E&amp;G]],Input[[#This Row],[Oth Exp Desg]],Input[[#This Row],[Oth Exp R Exp]],Input[[#This Row],[Oth Exp Loan]],Input[[#This Row],[Oth Exp Annuity]],Input[[#This Row],[Oth Exp Unexp]],Input[[#This Row],[Oth Exp R of Ind]],Input[[#This Row],[Oth Exp Inv in P]])</f>
        <v>942198</v>
      </c>
      <c r="VH3" s="46">
        <f>SUM(Input[[#This Row],[Instr E&amp;G]],Input[[#This Row],[Instr Desg]],Input[[#This Row],[Instr R Exp]],Input[[#This Row],[Instr Loan]],Input[[#This Row],[Instr Annuity]],Input[[#This Row],[Instr Unexp]],Input[[#This Row],[Instr R of Ind]],Input[[#This Row],[Instr Inv in P]])</f>
        <v>236776365</v>
      </c>
      <c r="VI3" s="46">
        <f>SUM(Input[[#This Row],[Res E&amp;G]],Input[[#This Row],[Res Desg]],Input[[#This Row],[Res R Exp]],Input[[#This Row],[Res Loan]],Input[[#This Row],[Res Annuity]],Input[[#This Row],[Res Unexp]],Input[[#This Row],[Res R of Ind]],Input[[#This Row],[Res Inv in P]])</f>
        <v>152568274</v>
      </c>
      <c r="VJ3" s="46">
        <f>SUM(Input[[#This Row],[Acad Sup E&amp;G]],Input[[#This Row],[Acad Sup Desg]],Input[[#This Row],[Acad Sup R Exp]],Input[[#This Row],[Acad Sup Loan]],Input[[#This Row],[Acad Sup Annuity]],Input[[#This Row],[Acad Sup Unexp]],Input[[#This Row],[Acad Sup R of Ind]],Input[[#This Row],[Acad Sup Inv in P]])</f>
        <v>65379075</v>
      </c>
      <c r="VK3" s="46">
        <f>SUM(Input[[#This Row],[Stu Svc E&amp;G]],Input[[#This Row],[Stu Svc Desg]],Input[[#This Row],[Stu Svc R Exp]],Input[[#This Row],[Stu Svc Loan]],Input[[#This Row],[Stu Svc Annuity]],Input[[#This Row],[Stu Svc Unexp]],Input[[#This Row],[Stu Svc R of Ind]],Input[[#This Row],[Stu Svc Inv in P]])</f>
        <v>100251709</v>
      </c>
      <c r="VL3" s="46">
        <f>SUM(Input[[#This Row],[Inst. Spt E&amp;G]],Input[[#This Row],[Inst. Spt Desg]],Input[[#This Row],[Inst. Spt R Exp]],Input[[#This Row],[Inst. Spt Loan]],Input[[#This Row],[Inst. Spt Annuity]],Input[[#This Row],[Inst. Spt Unexp]],Input[[#This Row],[Inst. Spt R of Ind]],Input[[#This Row],[Inst. Spt Inv in P]])</f>
        <v>60605844</v>
      </c>
      <c r="VM3" s="46">
        <f>SUM(Input[[#This Row],[M&amp;O Plnt E&amp;G]],Input[[#This Row],[M&amp;O Plnt Desg]],Input[[#This Row],[M&amp;O Plnt R Exp]],Input[[#This Row],[M&amp;O Plnt Loan]],Input[[#This Row],[M&amp;O Plnt Annuity]],Input[[#This Row],[M&amp;O Plnt Unexp]],Input[[#This Row],[M&amp;O Plnt R of Ind]],Input[[#This Row],[M&amp;O Plnt Inv in P]])</f>
        <v>54537383</v>
      </c>
      <c r="VN3" s="46">
        <f>SUM(Input[[#This Row],[Schl &amp; Fell E&amp;G]],Input[[#This Row],[Schl &amp; Fell Desg]],Input[[#This Row],[Schl &amp; Fell R Exp]],Input[[#This Row],[Schl &amp; Fell Loan]],Input[[#This Row],[Schl &amp; Fell Annuity]],Input[[#This Row],[Schl &amp; Fell Unexp]],Input[[#This Row],[Schl &amp; Fell R of Ind]],Input[[#This Row],[Schl &amp; Fell Inv in P]])</f>
        <v>-5291409</v>
      </c>
      <c r="VO3" s="46">
        <f>SUM(Input[[#This Row],[Cap Out fund E&amp;G]],Input[[#This Row],[Cap Out fund Desg]],Input[[#This Row],[Cap Out fund R Exp]],Input[[#This Row],[Cap Out fund Loan]],Input[[#This Row],[Cap Out fund Annuity]],Input[[#This Row],[Cap Out fund Unexp]],Input[[#This Row],[Cap Out fund R of Ind]],Input[[#This Row],[Cap Out fund Inv in P]])</f>
        <v>21782270</v>
      </c>
      <c r="VP3" s="46">
        <f>SUM(Input[[#This Row],[Oth Exp E&amp;G]],Input[[#This Row],[Oth Exp Desg]],Input[[#This Row],[Oth Exp R Exp]],Input[[#This Row],[Oth Exp Loan]],Input[[#This Row],[Oth Exp Annuity]],Input[[#This Row],[Oth Exp Unexp]],Input[[#This Row],[Oth Exp R of Ind]],Input[[#This Row],[Oth Exp Inv in P]],Input[[#This Row],[Oth Exp Inv in P]])</f>
        <v>1265897</v>
      </c>
    </row>
    <row r="4" spans="1:588" ht="30" customHeight="1" x14ac:dyDescent="0.3">
      <c r="A4" s="15" t="s">
        <v>92</v>
      </c>
      <c r="B4" s="36" t="s">
        <v>118</v>
      </c>
      <c r="C4" s="36" t="s">
        <v>115</v>
      </c>
      <c r="D4" s="36">
        <v>102</v>
      </c>
      <c r="E4" s="36" t="s">
        <v>132</v>
      </c>
      <c r="F4" s="95" t="s">
        <v>106</v>
      </c>
      <c r="G4" s="46">
        <v>415244862</v>
      </c>
      <c r="H4" s="46">
        <v>0</v>
      </c>
      <c r="I4" s="46">
        <v>0</v>
      </c>
      <c r="J4" s="46">
        <v>0</v>
      </c>
      <c r="K4" s="46">
        <v>0</v>
      </c>
      <c r="L4" s="46">
        <v>0</v>
      </c>
      <c r="M4" s="46">
        <v>0</v>
      </c>
      <c r="N4" s="46">
        <v>0</v>
      </c>
      <c r="O4" s="46">
        <v>0</v>
      </c>
      <c r="P4" s="46">
        <v>66688675</v>
      </c>
      <c r="Q4" s="46">
        <v>26585255</v>
      </c>
      <c r="R4" s="46">
        <v>0</v>
      </c>
      <c r="S4" s="46">
        <v>21294580</v>
      </c>
      <c r="T4" s="46">
        <v>0</v>
      </c>
      <c r="U4" s="46">
        <v>0</v>
      </c>
      <c r="V4" s="46">
        <v>0</v>
      </c>
      <c r="W4" s="46">
        <v>0</v>
      </c>
      <c r="X4" s="46">
        <v>0</v>
      </c>
      <c r="Y4" s="46">
        <v>0</v>
      </c>
      <c r="Z4" s="46">
        <v>0</v>
      </c>
      <c r="AA4" s="46">
        <v>0</v>
      </c>
      <c r="AB4" s="46">
        <v>0</v>
      </c>
      <c r="AC4" s="46">
        <v>0</v>
      </c>
      <c r="AD4" s="46">
        <v>0</v>
      </c>
      <c r="AE4" s="46">
        <v>0</v>
      </c>
      <c r="AF4" s="46">
        <v>0</v>
      </c>
      <c r="AG4" s="46">
        <v>0</v>
      </c>
      <c r="AH4" s="46">
        <v>524967000</v>
      </c>
      <c r="AI4" s="46">
        <v>0</v>
      </c>
      <c r="AJ4" s="46">
        <v>0</v>
      </c>
      <c r="AK4" s="46">
        <v>0</v>
      </c>
      <c r="AL4" s="46">
        <v>0</v>
      </c>
      <c r="AM4" s="46">
        <v>0</v>
      </c>
      <c r="AN4" s="46">
        <v>0</v>
      </c>
      <c r="AO4" s="46">
        <v>0</v>
      </c>
      <c r="AP4" s="46">
        <v>0</v>
      </c>
      <c r="AQ4" s="46">
        <v>-49737096</v>
      </c>
      <c r="AR4" s="46">
        <v>-20339276</v>
      </c>
      <c r="AS4" s="46">
        <v>0</v>
      </c>
      <c r="AT4" s="46">
        <v>0</v>
      </c>
      <c r="AU4" s="46">
        <v>0</v>
      </c>
      <c r="AV4" s="46">
        <v>0</v>
      </c>
      <c r="AW4" s="46">
        <v>0</v>
      </c>
      <c r="AX4" s="46">
        <v>0</v>
      </c>
      <c r="AY4" s="46">
        <v>0</v>
      </c>
      <c r="AZ4" s="46">
        <v>0</v>
      </c>
      <c r="BA4" s="46">
        <v>0</v>
      </c>
      <c r="BB4" s="46">
        <v>0</v>
      </c>
      <c r="BC4" s="46">
        <v>0</v>
      </c>
      <c r="BD4" s="46">
        <v>0</v>
      </c>
      <c r="BE4" s="46">
        <v>0</v>
      </c>
      <c r="BF4" s="46">
        <v>0</v>
      </c>
      <c r="BG4" s="46">
        <v>0</v>
      </c>
      <c r="BH4" s="46">
        <v>0</v>
      </c>
      <c r="BI4" s="46">
        <v>0</v>
      </c>
      <c r="BJ4" s="46">
        <v>0</v>
      </c>
      <c r="BK4" s="46">
        <v>0</v>
      </c>
      <c r="BL4" s="46">
        <v>0</v>
      </c>
      <c r="BM4" s="46">
        <v>0</v>
      </c>
      <c r="BN4" s="46">
        <v>0</v>
      </c>
      <c r="BO4" s="46">
        <v>0</v>
      </c>
      <c r="BP4" s="46">
        <v>0</v>
      </c>
      <c r="BQ4" s="46">
        <v>0</v>
      </c>
      <c r="BR4" s="46">
        <v>0</v>
      </c>
      <c r="BS4" s="46">
        <v>0</v>
      </c>
      <c r="BT4" s="46">
        <v>0</v>
      </c>
      <c r="BU4" s="46">
        <v>0</v>
      </c>
      <c r="BV4" s="46">
        <v>0</v>
      </c>
      <c r="BW4" s="46">
        <v>0</v>
      </c>
      <c r="BX4" s="46">
        <v>0</v>
      </c>
      <c r="BY4" s="46">
        <v>0</v>
      </c>
      <c r="BZ4" s="46">
        <v>0</v>
      </c>
      <c r="CA4" s="46">
        <v>132287858</v>
      </c>
      <c r="CB4" s="46">
        <v>568767029</v>
      </c>
      <c r="CC4" s="46">
        <v>0</v>
      </c>
      <c r="CD4" s="46">
        <v>0</v>
      </c>
      <c r="CE4" s="46">
        <v>0</v>
      </c>
      <c r="CF4" s="46">
        <v>0</v>
      </c>
      <c r="CG4" s="46">
        <v>0</v>
      </c>
      <c r="CH4" s="46">
        <v>0</v>
      </c>
      <c r="CI4" s="46">
        <v>0</v>
      </c>
      <c r="CJ4" s="46">
        <v>0</v>
      </c>
      <c r="CK4" s="46">
        <v>0</v>
      </c>
      <c r="CL4" s="46">
        <v>0</v>
      </c>
      <c r="CM4" s="46">
        <v>0</v>
      </c>
      <c r="CN4" s="46">
        <v>0</v>
      </c>
      <c r="CO4" s="46">
        <v>0</v>
      </c>
      <c r="CP4" s="46">
        <v>0</v>
      </c>
      <c r="CQ4" s="46">
        <v>0</v>
      </c>
      <c r="CR4" s="46">
        <v>0</v>
      </c>
      <c r="CS4" s="46">
        <v>0</v>
      </c>
      <c r="CT4" s="46">
        <v>0</v>
      </c>
      <c r="CU4" s="46">
        <v>0</v>
      </c>
      <c r="CV4" s="46">
        <v>0</v>
      </c>
      <c r="CW4" s="46">
        <v>0</v>
      </c>
      <c r="CX4" s="46">
        <v>0</v>
      </c>
      <c r="CY4" s="46">
        <v>0</v>
      </c>
      <c r="CZ4" s="46">
        <v>0</v>
      </c>
      <c r="DA4" s="46">
        <v>0</v>
      </c>
      <c r="DB4" s="46">
        <v>-2310587</v>
      </c>
      <c r="DC4" s="46">
        <v>-15693444</v>
      </c>
      <c r="DD4" s="46">
        <v>0</v>
      </c>
      <c r="DE4" s="46">
        <v>0</v>
      </c>
      <c r="DF4" s="46">
        <v>0</v>
      </c>
      <c r="DG4" s="46">
        <v>0</v>
      </c>
      <c r="DH4" s="46">
        <v>0</v>
      </c>
      <c r="DI4" s="46">
        <v>0</v>
      </c>
      <c r="DJ4" s="46">
        <v>0</v>
      </c>
      <c r="DK4" s="46">
        <v>0</v>
      </c>
      <c r="DL4" s="46">
        <v>0</v>
      </c>
      <c r="DM4" s="46">
        <v>0</v>
      </c>
      <c r="DN4" s="46">
        <v>0</v>
      </c>
      <c r="DO4" s="46">
        <v>0</v>
      </c>
      <c r="DP4" s="46">
        <v>0</v>
      </c>
      <c r="DQ4" s="46">
        <v>0</v>
      </c>
      <c r="DR4" s="46">
        <v>0</v>
      </c>
      <c r="DS4" s="46">
        <v>0</v>
      </c>
      <c r="DT4" s="46">
        <v>-129979094</v>
      </c>
      <c r="DU4" s="46">
        <v>-243945661</v>
      </c>
      <c r="DV4" s="46">
        <v>0</v>
      </c>
      <c r="DW4" s="46">
        <v>0</v>
      </c>
      <c r="DX4" s="46">
        <v>0</v>
      </c>
      <c r="DY4" s="46">
        <v>0</v>
      </c>
      <c r="DZ4" s="46">
        <v>0</v>
      </c>
      <c r="EA4" s="46">
        <v>0</v>
      </c>
      <c r="EB4" s="46">
        <v>0</v>
      </c>
      <c r="EC4" s="46">
        <v>0</v>
      </c>
      <c r="ED4" s="46">
        <v>0</v>
      </c>
      <c r="EE4" s="46">
        <v>0</v>
      </c>
      <c r="EF4" s="46">
        <v>0</v>
      </c>
      <c r="EG4" s="46">
        <v>0</v>
      </c>
      <c r="EH4" s="46">
        <v>0</v>
      </c>
      <c r="EI4" s="46">
        <v>0</v>
      </c>
      <c r="EJ4" s="46">
        <v>0</v>
      </c>
      <c r="EK4" s="46">
        <v>0</v>
      </c>
      <c r="EL4" s="46">
        <v>0</v>
      </c>
      <c r="EM4" s="46">
        <v>0</v>
      </c>
      <c r="EN4" s="46">
        <v>0</v>
      </c>
      <c r="EO4" s="46">
        <v>0</v>
      </c>
      <c r="EP4" s="46">
        <v>0</v>
      </c>
      <c r="EQ4" s="46">
        <v>0</v>
      </c>
      <c r="ER4" s="46">
        <v>0</v>
      </c>
      <c r="ES4" s="46">
        <v>0</v>
      </c>
      <c r="ET4" s="46">
        <v>0</v>
      </c>
      <c r="EU4" s="46">
        <v>0</v>
      </c>
      <c r="EV4" s="46">
        <v>0</v>
      </c>
      <c r="EW4" s="46">
        <v>0</v>
      </c>
      <c r="EX4" s="46">
        <v>0</v>
      </c>
      <c r="EY4" s="46">
        <v>0</v>
      </c>
      <c r="EZ4" s="46">
        <v>0</v>
      </c>
      <c r="FA4" s="46">
        <v>0</v>
      </c>
      <c r="FB4" s="46">
        <v>0</v>
      </c>
      <c r="FC4" s="46">
        <v>0</v>
      </c>
      <c r="FD4" s="46">
        <v>0</v>
      </c>
      <c r="FE4" s="46">
        <v>0</v>
      </c>
      <c r="FF4" s="46">
        <v>0</v>
      </c>
      <c r="FG4" s="46">
        <v>0</v>
      </c>
      <c r="FH4" s="46">
        <v>0</v>
      </c>
      <c r="FI4" s="46">
        <v>0</v>
      </c>
      <c r="FJ4" s="46">
        <v>0</v>
      </c>
      <c r="FK4" s="46">
        <v>0</v>
      </c>
      <c r="FL4" s="46">
        <v>0</v>
      </c>
      <c r="FM4" s="46">
        <v>104461</v>
      </c>
      <c r="FN4" s="46">
        <v>54362102</v>
      </c>
      <c r="FO4" s="46">
        <v>49291329</v>
      </c>
      <c r="FP4" s="46">
        <v>0</v>
      </c>
      <c r="FQ4" s="46">
        <v>0</v>
      </c>
      <c r="FR4" s="46">
        <v>0</v>
      </c>
      <c r="FS4" s="46">
        <v>0</v>
      </c>
      <c r="FT4" s="46">
        <v>0</v>
      </c>
      <c r="FU4" s="46">
        <v>0</v>
      </c>
      <c r="FV4" s="46">
        <v>0</v>
      </c>
      <c r="FW4" s="46">
        <v>0</v>
      </c>
      <c r="FX4" s="46">
        <v>0</v>
      </c>
      <c r="FY4" s="46">
        <v>0</v>
      </c>
      <c r="FZ4" s="46">
        <v>0</v>
      </c>
      <c r="GA4" s="46">
        <v>0</v>
      </c>
      <c r="GB4" s="46">
        <v>0</v>
      </c>
      <c r="GC4" s="46">
        <v>0</v>
      </c>
      <c r="GD4" s="46">
        <v>0</v>
      </c>
      <c r="GE4" s="46">
        <v>0</v>
      </c>
      <c r="GF4" s="46">
        <v>0</v>
      </c>
      <c r="GG4" s="46">
        <v>0</v>
      </c>
      <c r="GH4" s="46">
        <v>0</v>
      </c>
      <c r="GI4" s="46">
        <v>0</v>
      </c>
      <c r="GJ4" s="46">
        <v>0</v>
      </c>
      <c r="GK4" s="46">
        <v>0</v>
      </c>
      <c r="GL4" s="46">
        <v>0</v>
      </c>
      <c r="GM4" s="46">
        <v>0</v>
      </c>
      <c r="GN4" s="46">
        <v>0</v>
      </c>
      <c r="GO4" s="46">
        <v>-1135987</v>
      </c>
      <c r="GP4" s="46">
        <v>0</v>
      </c>
      <c r="GQ4" s="46">
        <v>0</v>
      </c>
      <c r="GR4" s="46">
        <v>0</v>
      </c>
      <c r="GS4" s="46">
        <v>0</v>
      </c>
      <c r="GT4" s="46">
        <v>0</v>
      </c>
      <c r="GU4" s="46">
        <v>0</v>
      </c>
      <c r="GV4" s="46">
        <v>0</v>
      </c>
      <c r="GW4" s="46">
        <v>0</v>
      </c>
      <c r="GX4" s="46">
        <v>0</v>
      </c>
      <c r="GY4" s="46">
        <v>0</v>
      </c>
      <c r="GZ4" s="46">
        <v>0</v>
      </c>
      <c r="HA4" s="46">
        <v>0</v>
      </c>
      <c r="HB4" s="46">
        <v>0</v>
      </c>
      <c r="HC4" s="46">
        <v>0</v>
      </c>
      <c r="HD4" s="46">
        <v>0</v>
      </c>
      <c r="HE4" s="46">
        <v>0</v>
      </c>
      <c r="HF4" s="46">
        <v>-102638</v>
      </c>
      <c r="HG4" s="46">
        <v>-23316047</v>
      </c>
      <c r="HH4" s="46">
        <v>0</v>
      </c>
      <c r="HI4" s="46">
        <v>0</v>
      </c>
      <c r="HJ4" s="46">
        <v>0</v>
      </c>
      <c r="HK4" s="46">
        <v>0</v>
      </c>
      <c r="HL4" s="46">
        <v>0</v>
      </c>
      <c r="HM4" s="46">
        <v>0</v>
      </c>
      <c r="HN4" s="46">
        <v>0</v>
      </c>
      <c r="HO4" s="46">
        <v>0</v>
      </c>
      <c r="HP4" s="46">
        <v>187328627</v>
      </c>
      <c r="HQ4" s="46">
        <v>0</v>
      </c>
      <c r="HR4" s="46">
        <v>827251743</v>
      </c>
      <c r="HS4" s="46">
        <v>0</v>
      </c>
      <c r="HT4" s="46">
        <v>0</v>
      </c>
      <c r="HU4" s="46">
        <v>0</v>
      </c>
      <c r="HV4" s="46">
        <v>0</v>
      </c>
      <c r="HW4" s="46">
        <v>0</v>
      </c>
      <c r="HX4" s="46">
        <v>0</v>
      </c>
      <c r="HY4" s="46">
        <v>17431185</v>
      </c>
      <c r="HZ4" s="46">
        <v>0</v>
      </c>
      <c r="IA4" s="46">
        <v>0</v>
      </c>
      <c r="IB4" s="46">
        <v>0</v>
      </c>
      <c r="IC4" s="46">
        <v>0</v>
      </c>
      <c r="ID4" s="46">
        <v>0</v>
      </c>
      <c r="IE4" s="46">
        <v>0</v>
      </c>
      <c r="IF4" s="46">
        <v>0</v>
      </c>
      <c r="IG4" s="46">
        <v>0</v>
      </c>
      <c r="IH4" s="46">
        <v>5534717</v>
      </c>
      <c r="II4" s="46">
        <v>0</v>
      </c>
      <c r="IJ4" s="46">
        <v>0</v>
      </c>
      <c r="IK4" s="46">
        <v>0</v>
      </c>
      <c r="IL4" s="46">
        <v>0</v>
      </c>
      <c r="IM4" s="46">
        <v>0</v>
      </c>
      <c r="IN4" s="46">
        <v>0</v>
      </c>
      <c r="IO4" s="46">
        <v>0</v>
      </c>
      <c r="IP4" s="46">
        <v>9487208</v>
      </c>
      <c r="IQ4" s="46">
        <v>343373236</v>
      </c>
      <c r="IR4" s="46">
        <v>7319200</v>
      </c>
      <c r="IS4" s="46">
        <v>266628967</v>
      </c>
      <c r="IT4" s="46">
        <v>586383</v>
      </c>
      <c r="IU4" s="46">
        <v>368959</v>
      </c>
      <c r="IV4" s="46">
        <v>8707748</v>
      </c>
      <c r="IW4" s="46">
        <v>0</v>
      </c>
      <c r="IX4" s="46">
        <v>0</v>
      </c>
      <c r="IY4" s="46">
        <v>0</v>
      </c>
      <c r="IZ4" s="46">
        <v>35946812</v>
      </c>
      <c r="JA4" s="46">
        <v>0</v>
      </c>
      <c r="JB4" s="46">
        <v>5636855</v>
      </c>
      <c r="JC4" s="46">
        <v>0</v>
      </c>
      <c r="JD4" s="46">
        <v>0</v>
      </c>
      <c r="JE4" s="46">
        <v>0</v>
      </c>
      <c r="JF4" s="46">
        <v>0</v>
      </c>
      <c r="JG4" s="46">
        <v>0</v>
      </c>
      <c r="JH4" s="46">
        <v>0</v>
      </c>
      <c r="JI4" s="46">
        <v>178521832</v>
      </c>
      <c r="JJ4" s="46">
        <v>0</v>
      </c>
      <c r="JK4" s="46">
        <v>604094206</v>
      </c>
      <c r="JL4" s="46">
        <v>0</v>
      </c>
      <c r="JM4" s="46">
        <v>0</v>
      </c>
      <c r="JN4" s="46">
        <v>0</v>
      </c>
      <c r="JO4" s="46">
        <v>0</v>
      </c>
      <c r="JP4" s="46">
        <v>0</v>
      </c>
      <c r="JQ4" s="46">
        <v>2340</v>
      </c>
      <c r="JR4" s="46">
        <v>384441324</v>
      </c>
      <c r="JS4" s="46">
        <v>0</v>
      </c>
      <c r="JT4" s="46">
        <v>64411720</v>
      </c>
      <c r="JU4" s="46">
        <v>0</v>
      </c>
      <c r="JV4" s="46">
        <v>0</v>
      </c>
      <c r="JW4" s="46">
        <v>0</v>
      </c>
      <c r="JX4" s="46">
        <v>0</v>
      </c>
      <c r="JY4" s="46">
        <v>0</v>
      </c>
      <c r="JZ4" s="46">
        <v>0</v>
      </c>
      <c r="KA4" s="46">
        <v>0</v>
      </c>
      <c r="KB4" s="46">
        <v>423230202</v>
      </c>
      <c r="KC4" s="46">
        <v>0</v>
      </c>
      <c r="KD4" s="46">
        <v>0</v>
      </c>
      <c r="KE4" s="46">
        <v>0</v>
      </c>
      <c r="KF4" s="46">
        <v>0</v>
      </c>
      <c r="KG4" s="46">
        <v>0</v>
      </c>
      <c r="KH4" s="46">
        <v>0</v>
      </c>
      <c r="KI4" s="46">
        <v>170549</v>
      </c>
      <c r="KJ4" s="46">
        <v>10205562</v>
      </c>
      <c r="KK4" s="46">
        <v>59516</v>
      </c>
      <c r="KL4" s="46">
        <v>-205916</v>
      </c>
      <c r="KM4" s="46">
        <v>76698</v>
      </c>
      <c r="KN4" s="46">
        <v>0</v>
      </c>
      <c r="KO4" s="46">
        <v>0</v>
      </c>
      <c r="KP4" s="46">
        <v>0</v>
      </c>
      <c r="KQ4" s="46">
        <v>-23646244</v>
      </c>
      <c r="KR4" s="46">
        <v>435190393</v>
      </c>
      <c r="KS4" s="46">
        <v>275935335</v>
      </c>
      <c r="KT4" s="46">
        <v>0</v>
      </c>
      <c r="KU4" s="46">
        <v>71484833</v>
      </c>
      <c r="KV4" s="46">
        <v>0</v>
      </c>
      <c r="KW4" s="46">
        <v>0</v>
      </c>
      <c r="KX4" s="46">
        <v>0</v>
      </c>
      <c r="KY4" s="46">
        <v>0</v>
      </c>
      <c r="KZ4" s="46">
        <v>0</v>
      </c>
      <c r="LA4" s="46">
        <v>84401643</v>
      </c>
      <c r="LB4" s="46">
        <v>82283119</v>
      </c>
      <c r="LC4" s="46">
        <v>0</v>
      </c>
      <c r="LD4" s="46">
        <v>756365390</v>
      </c>
      <c r="LE4" s="46">
        <v>0</v>
      </c>
      <c r="LF4" s="46">
        <v>0</v>
      </c>
      <c r="LG4" s="46">
        <v>0</v>
      </c>
      <c r="LH4" s="46">
        <v>0</v>
      </c>
      <c r="LI4" s="46">
        <v>0</v>
      </c>
      <c r="LJ4" s="46">
        <v>18771538</v>
      </c>
      <c r="LK4" s="46">
        <v>99066102</v>
      </c>
      <c r="LL4" s="46">
        <v>0</v>
      </c>
      <c r="LM4" s="46">
        <v>128628537</v>
      </c>
      <c r="LN4" s="46">
        <v>0</v>
      </c>
      <c r="LO4" s="46">
        <v>0</v>
      </c>
      <c r="LP4" s="46">
        <v>0</v>
      </c>
      <c r="LQ4" s="46">
        <v>0</v>
      </c>
      <c r="LR4" s="46">
        <v>0</v>
      </c>
      <c r="LS4" s="46">
        <v>14393763</v>
      </c>
      <c r="LT4" s="46">
        <v>189772234</v>
      </c>
      <c r="LU4" s="46">
        <v>0</v>
      </c>
      <c r="LV4" s="46">
        <v>908643</v>
      </c>
      <c r="LW4" s="46">
        <v>0</v>
      </c>
      <c r="LX4" s="46">
        <v>0</v>
      </c>
      <c r="LY4" s="46">
        <v>0</v>
      </c>
      <c r="LZ4" s="46">
        <v>0</v>
      </c>
      <c r="MA4" s="46">
        <v>0</v>
      </c>
      <c r="MB4" s="46">
        <v>155882776</v>
      </c>
      <c r="MC4" s="46">
        <v>416436246</v>
      </c>
      <c r="MD4" s="46">
        <v>0</v>
      </c>
      <c r="ME4" s="46">
        <v>100146688</v>
      </c>
      <c r="MF4" s="46">
        <v>0</v>
      </c>
      <c r="MG4" s="46">
        <v>0</v>
      </c>
      <c r="MH4" s="46">
        <v>0</v>
      </c>
      <c r="MI4" s="46">
        <v>0</v>
      </c>
      <c r="MJ4" s="46">
        <v>0</v>
      </c>
      <c r="MK4" s="46">
        <v>18259445</v>
      </c>
      <c r="ML4" s="46">
        <v>30278141</v>
      </c>
      <c r="MM4" s="46">
        <v>0</v>
      </c>
      <c r="MN4" s="46">
        <v>4201663</v>
      </c>
      <c r="MO4" s="46">
        <v>-264208</v>
      </c>
      <c r="MP4" s="46">
        <v>0</v>
      </c>
      <c r="MQ4" s="46">
        <v>0</v>
      </c>
      <c r="MR4" s="46">
        <v>0</v>
      </c>
      <c r="MS4" s="46">
        <v>0</v>
      </c>
      <c r="MT4" s="46">
        <v>111844397</v>
      </c>
      <c r="MU4" s="46">
        <v>216135592</v>
      </c>
      <c r="MV4" s="46">
        <v>0</v>
      </c>
      <c r="MW4" s="46">
        <v>20382238</v>
      </c>
      <c r="MX4" s="46">
        <v>0</v>
      </c>
      <c r="MY4" s="46">
        <v>0</v>
      </c>
      <c r="MZ4" s="46">
        <v>0</v>
      </c>
      <c r="NA4" s="46">
        <v>0</v>
      </c>
      <c r="NB4" s="46">
        <v>0</v>
      </c>
      <c r="NC4" s="46">
        <v>5514466</v>
      </c>
      <c r="ND4" s="46">
        <v>199617817</v>
      </c>
      <c r="NE4" s="46">
        <v>0</v>
      </c>
      <c r="NF4" s="46">
        <v>120424</v>
      </c>
      <c r="NG4" s="46">
        <v>0</v>
      </c>
      <c r="NH4" s="46">
        <v>0</v>
      </c>
      <c r="NI4" s="46">
        <v>99712781</v>
      </c>
      <c r="NJ4" s="46">
        <v>0</v>
      </c>
      <c r="NK4" s="46">
        <v>0</v>
      </c>
      <c r="NL4" s="46">
        <v>27704455</v>
      </c>
      <c r="NM4" s="46">
        <v>1796274</v>
      </c>
      <c r="NN4" s="46">
        <v>0</v>
      </c>
      <c r="NO4" s="46">
        <v>9197926</v>
      </c>
      <c r="NP4" s="46">
        <v>0</v>
      </c>
      <c r="NQ4" s="46">
        <v>0</v>
      </c>
      <c r="NR4" s="46">
        <v>0</v>
      </c>
      <c r="NS4" s="46">
        <v>0</v>
      </c>
      <c r="NT4" s="46">
        <v>0</v>
      </c>
      <c r="NU4" s="46">
        <v>0</v>
      </c>
      <c r="NV4" s="46">
        <v>8370</v>
      </c>
      <c r="NW4" s="46">
        <v>373998503</v>
      </c>
      <c r="NX4" s="46">
        <v>103025324</v>
      </c>
      <c r="NY4" s="46">
        <v>0</v>
      </c>
      <c r="NZ4" s="46">
        <v>0</v>
      </c>
      <c r="OA4" s="46">
        <v>0</v>
      </c>
      <c r="OB4" s="46">
        <v>0</v>
      </c>
      <c r="OC4" s="46">
        <v>0</v>
      </c>
      <c r="OD4" s="46">
        <v>137045449</v>
      </c>
      <c r="OE4" s="46">
        <v>20367528</v>
      </c>
      <c r="OF4" s="46">
        <v>2515064</v>
      </c>
      <c r="OG4" s="46">
        <v>114869377</v>
      </c>
      <c r="OH4" s="46">
        <v>0</v>
      </c>
      <c r="OI4" s="46">
        <v>0</v>
      </c>
      <c r="OJ4" s="46">
        <v>0</v>
      </c>
      <c r="OK4" s="46">
        <v>0</v>
      </c>
      <c r="OL4" s="46">
        <v>0</v>
      </c>
      <c r="OM4" s="46">
        <v>544914</v>
      </c>
      <c r="ON4" s="46">
        <v>2248459</v>
      </c>
      <c r="OO4" s="46">
        <v>10079</v>
      </c>
      <c r="OP4" s="46">
        <v>60165</v>
      </c>
      <c r="OQ4" s="46">
        <v>336646</v>
      </c>
      <c r="OR4" s="46">
        <v>0</v>
      </c>
      <c r="OS4" s="46">
        <v>0</v>
      </c>
      <c r="OT4" s="46">
        <v>0</v>
      </c>
      <c r="OU4" s="46">
        <v>39734</v>
      </c>
      <c r="OV4" s="46">
        <v>0</v>
      </c>
      <c r="OW4" s="46">
        <v>0</v>
      </c>
      <c r="OX4" s="46">
        <v>0</v>
      </c>
      <c r="OY4" s="46">
        <v>0</v>
      </c>
      <c r="OZ4" s="46">
        <v>0</v>
      </c>
      <c r="PA4" s="46">
        <v>0</v>
      </c>
      <c r="PB4" s="46">
        <v>-540043123</v>
      </c>
      <c r="PC4" s="46">
        <v>0</v>
      </c>
      <c r="PD4" s="46">
        <v>0</v>
      </c>
      <c r="PE4" s="46">
        <v>-29544198</v>
      </c>
      <c r="PF4" s="46">
        <v>51168556</v>
      </c>
      <c r="PG4" s="46">
        <v>-70840771</v>
      </c>
      <c r="PH4" s="46">
        <v>-363714541</v>
      </c>
      <c r="PI4" s="46">
        <v>-796866</v>
      </c>
      <c r="PJ4" s="46">
        <v>47045569</v>
      </c>
      <c r="PK4" s="46">
        <v>357837040</v>
      </c>
      <c r="PL4" s="46">
        <v>0</v>
      </c>
      <c r="PM4" s="46">
        <v>16543425</v>
      </c>
      <c r="PN4" s="46">
        <v>0</v>
      </c>
      <c r="PO4" s="46">
        <v>0</v>
      </c>
      <c r="PP4" s="46">
        <v>0</v>
      </c>
      <c r="PQ4" s="46">
        <v>0</v>
      </c>
      <c r="PR4" s="46">
        <v>0</v>
      </c>
      <c r="PS4" s="46">
        <v>0</v>
      </c>
      <c r="PT4" s="46">
        <v>495274098</v>
      </c>
      <c r="PU4" s="46">
        <v>0</v>
      </c>
      <c r="PV4" s="46">
        <v>0</v>
      </c>
      <c r="PW4" s="46">
        <v>-27890960</v>
      </c>
      <c r="PX4" s="46">
        <v>-67760975</v>
      </c>
      <c r="PY4" s="46">
        <v>-51539707</v>
      </c>
      <c r="PZ4" s="46">
        <v>-9456370</v>
      </c>
      <c r="QA4" s="46">
        <v>0</v>
      </c>
      <c r="QB4" s="46">
        <v>0</v>
      </c>
      <c r="QC4" s="46">
        <v>-464135</v>
      </c>
      <c r="QD4" s="46">
        <v>0</v>
      </c>
      <c r="QE4" s="46">
        <v>0</v>
      </c>
      <c r="QF4" s="46">
        <v>9984436</v>
      </c>
      <c r="QG4" s="46">
        <v>68695081</v>
      </c>
      <c r="QH4" s="46">
        <v>13905810</v>
      </c>
      <c r="QI4" s="46">
        <v>34560376</v>
      </c>
      <c r="QJ4" s="46">
        <v>2051327</v>
      </c>
      <c r="QK4" s="46">
        <v>412601458</v>
      </c>
      <c r="QL4" s="46">
        <v>30175523</v>
      </c>
      <c r="QM4" s="46">
        <v>0</v>
      </c>
      <c r="QN4" s="46">
        <v>0</v>
      </c>
      <c r="QO4" s="46">
        <v>0</v>
      </c>
      <c r="QP4" s="46">
        <v>0</v>
      </c>
      <c r="QQ4" s="46">
        <v>0</v>
      </c>
      <c r="QR4" s="46">
        <v>0</v>
      </c>
      <c r="QS4" s="46">
        <v>0</v>
      </c>
      <c r="QT4" s="46">
        <v>139885546</v>
      </c>
      <c r="QU4" s="46">
        <v>0</v>
      </c>
      <c r="QV4" s="46">
        <v>0</v>
      </c>
      <c r="QW4" s="46">
        <v>0</v>
      </c>
      <c r="QX4" s="46">
        <v>0</v>
      </c>
      <c r="QY4" s="46">
        <v>0</v>
      </c>
      <c r="QZ4" s="46">
        <v>0</v>
      </c>
      <c r="RA4" s="46">
        <v>0</v>
      </c>
      <c r="RB4" s="46">
        <v>0</v>
      </c>
      <c r="RC4" s="46">
        <v>0</v>
      </c>
      <c r="RD4" s="46">
        <v>0</v>
      </c>
      <c r="RE4" s="46">
        <v>0</v>
      </c>
      <c r="RF4" s="46">
        <v>0</v>
      </c>
      <c r="RG4" s="46">
        <v>0</v>
      </c>
      <c r="RH4" s="46">
        <v>0</v>
      </c>
      <c r="RI4" s="46">
        <v>0</v>
      </c>
      <c r="RJ4" s="46">
        <v>0</v>
      </c>
      <c r="RK4" s="46">
        <v>0</v>
      </c>
      <c r="RL4" s="46">
        <v>0</v>
      </c>
      <c r="RM4" s="46">
        <v>0</v>
      </c>
      <c r="RN4" s="46">
        <v>0</v>
      </c>
      <c r="RO4" s="46">
        <v>-396404529</v>
      </c>
      <c r="RP4" s="46">
        <v>0</v>
      </c>
      <c r="RQ4" s="46">
        <v>0</v>
      </c>
      <c r="RR4" s="46">
        <v>0</v>
      </c>
      <c r="RS4" s="46">
        <v>0</v>
      </c>
      <c r="RT4" s="46">
        <v>0</v>
      </c>
      <c r="RU4" s="46">
        <v>0</v>
      </c>
      <c r="RV4" s="46">
        <v>0</v>
      </c>
      <c r="RW4" s="46">
        <v>0</v>
      </c>
      <c r="RX4" s="46">
        <v>0</v>
      </c>
      <c r="RY4" s="46">
        <v>0</v>
      </c>
      <c r="RZ4" s="46">
        <v>0</v>
      </c>
      <c r="SA4" s="46">
        <v>0</v>
      </c>
      <c r="SB4" s="46">
        <v>0</v>
      </c>
      <c r="SC4" s="46">
        <v>0</v>
      </c>
      <c r="SD4" s="46">
        <v>0</v>
      </c>
      <c r="SE4" s="46">
        <v>0</v>
      </c>
      <c r="SF4" s="46">
        <v>0</v>
      </c>
      <c r="SG4" s="46">
        <v>0</v>
      </c>
      <c r="SH4" s="46">
        <v>0</v>
      </c>
      <c r="SI4" s="46">
        <v>0</v>
      </c>
      <c r="SJ4" s="46">
        <v>0</v>
      </c>
      <c r="SK4" s="46">
        <v>0</v>
      </c>
      <c r="SL4" s="46">
        <v>0</v>
      </c>
      <c r="SM4" s="46">
        <v>0</v>
      </c>
      <c r="SN4" s="46">
        <v>0</v>
      </c>
      <c r="SO4" s="46">
        <v>0</v>
      </c>
      <c r="SP4" s="46">
        <v>16543973</v>
      </c>
      <c r="SQ4" s="46">
        <v>0</v>
      </c>
      <c r="SR4" s="46">
        <v>0</v>
      </c>
      <c r="SS4" s="46">
        <v>0</v>
      </c>
      <c r="ST4" s="46">
        <v>0</v>
      </c>
      <c r="SU4" s="46">
        <v>0</v>
      </c>
      <c r="SV4" s="46">
        <v>0</v>
      </c>
      <c r="SW4" s="46">
        <v>0</v>
      </c>
      <c r="SX4" s="46">
        <v>0</v>
      </c>
      <c r="SY4" s="46">
        <v>814840541</v>
      </c>
      <c r="SZ4" s="46">
        <v>2012657</v>
      </c>
      <c r="TA4" s="46">
        <v>169930661</v>
      </c>
      <c r="TB4" s="46">
        <v>1076796</v>
      </c>
      <c r="TC4" s="46">
        <v>745563</v>
      </c>
      <c r="TD4" s="46">
        <v>11533908</v>
      </c>
      <c r="TE4" s="46">
        <v>14750</v>
      </c>
      <c r="TF4" s="46">
        <v>7739173</v>
      </c>
      <c r="TG4" s="46">
        <v>78467243</v>
      </c>
      <c r="TH4" s="46">
        <v>169533</v>
      </c>
      <c r="TI4" s="46">
        <v>3107134</v>
      </c>
      <c r="TJ4" s="46">
        <v>22741</v>
      </c>
      <c r="TK4" s="46">
        <v>15251</v>
      </c>
      <c r="TL4" s="46">
        <v>14089134</v>
      </c>
      <c r="TM4" s="46">
        <v>916881</v>
      </c>
      <c r="TN4" s="46">
        <v>0</v>
      </c>
      <c r="TO4" s="46">
        <v>0</v>
      </c>
      <c r="TP4" s="46">
        <v>0</v>
      </c>
      <c r="TQ4" s="46">
        <v>0</v>
      </c>
      <c r="TR4" s="46">
        <v>0</v>
      </c>
      <c r="TS4" s="46">
        <v>0</v>
      </c>
      <c r="TT4" s="46">
        <v>0</v>
      </c>
      <c r="TU4" s="46">
        <v>2664726</v>
      </c>
      <c r="TV4" s="46">
        <v>232950</v>
      </c>
      <c r="TW4" s="46">
        <v>0</v>
      </c>
      <c r="TX4" s="46">
        <v>0</v>
      </c>
      <c r="TY4" s="46">
        <v>0</v>
      </c>
      <c r="TZ4" s="46">
        <v>0</v>
      </c>
      <c r="UA4" s="46">
        <v>0</v>
      </c>
      <c r="UB4" s="46">
        <v>0</v>
      </c>
      <c r="UC4" s="46">
        <v>0</v>
      </c>
      <c r="UD4" s="46">
        <v>0</v>
      </c>
      <c r="UE4" s="46">
        <v>782610561</v>
      </c>
      <c r="UF4" s="46">
        <v>923050152</v>
      </c>
      <c r="UG4" s="46">
        <v>246466177</v>
      </c>
      <c r="UH4" s="46">
        <v>205074640</v>
      </c>
      <c r="UI4" s="46">
        <v>672465710</v>
      </c>
      <c r="UJ4" s="46">
        <v>52475041</v>
      </c>
      <c r="UK4" s="46">
        <v>348362227</v>
      </c>
      <c r="UL4" s="46">
        <v>304965488</v>
      </c>
      <c r="UM4" s="46">
        <v>38698655</v>
      </c>
      <c r="UN4" s="46">
        <v>477032197</v>
      </c>
      <c r="UO4"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274797418</v>
      </c>
      <c r="UP4" s="46">
        <f>SUM(Input[[#This Row],[Oth Exp E&amp;G]],Input[[#This Row],[Oth Exp Desg]],Input[[#This Row],[Oth Exp Aux]],Input[[#This Row],[Oth Exp R Exp]],Input[[#This Row],[Oth Exp Loan]],Input[[#This Row],[Oth Exp Annuity]],Input[[#This Row],[Oth Exp Unexp]],Input[[#This Row],[Oth Exp R of Ind]],Input[[#This Row],[Oth Exp Inv in P]])</f>
        <v>3239997</v>
      </c>
      <c r="UQ4" s="46"/>
      <c r="UR4" s="46"/>
      <c r="US4" s="8" t="s">
        <v>826</v>
      </c>
      <c r="UT4" s="47">
        <v>5124716527</v>
      </c>
      <c r="UU4" s="8" t="s">
        <v>93</v>
      </c>
      <c r="UV4" s="8" t="s">
        <v>827</v>
      </c>
      <c r="UW4" s="47">
        <v>5122323566</v>
      </c>
      <c r="UX4" s="8" t="s">
        <v>828</v>
      </c>
      <c r="UY4" s="51" cm="1">
        <f t="array" ref="UY4">IFERROR(_xlfn.IFS(Input[[#This Row],[Type]]="HRI",SUMIFS('FTSE | FTFE'!$P$8:$P$77,'FTSE | FTFE'!$H$8:$H$77,A4),Input[[#This Row],[Type]]="UNIV",SUMIFS('FTSE | FTFE'!$P$104:$P$139,'FTSE | FTFE'!$H$104:$H$139,A4),OR(Input[[#This Row],[Type]]="TSTC",Input[[#This Row],[Type]]="LSC"),SUMIFS('FTSE | FTFE'!$O$88:$O$96,'FTSE | FTFE'!$H$88:$H$96,A4),Input[[#This Row],[Type]]="AHM",SUMIFS(Hidden!$H$42:$H$45,Hidden!$G$42:$G$45,A4)),"N/A")</f>
        <v>51116</v>
      </c>
      <c r="UZ4" s="51" t="str" cm="1">
        <f t="array" ref="UZ4">IFERROR(_xlfn.IFS(Input[[#This Row],[Type]]="HRI",SUMIFS('FTSE | FTFE'!$Q$8:$Q$77,'FTSE | FTFE'!$H$8:$H$77,A4),Input[[#This Row],[Type]]="UNIV",SUMIFS('FTSE | FTFE'!$Q$104:$Q$139,'FTSE | FTFE'!$H$104:$H$139,A4),OR(Input[[#This Row],[Type]]="TSTC",Input[[#This Row],[Type]]="LSC"),SUMIFS('FTSE | FTFE'!$P$88:$P$96,'FTSE | FTFE'!$H$88:$H$96,A4)),"N/A")</f>
        <v>N/A</v>
      </c>
      <c r="VA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529813372</v>
      </c>
      <c r="VB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524967000</v>
      </c>
      <c r="VC4" s="46">
        <f>SUM(Input[[#This Row],[Fed G&amp;C E&amp;G]],Input[[#This Row],[Fed G&amp;C Desg]],Input[[#This Row],[Fed G&amp;C R Exp]],Input[[#This Row],[Fed G&amp;C Loan]],Input[[#This Row],[Fed G&amp;C Annuity]],Input[[#This Row],[Fed G&amp;C Unexp]],Input[[#This Row],[Fed G&amp;C R of Ind]],Input[[#This Row],[Fed G&amp;C Inv in P]])</f>
        <v>1014580370</v>
      </c>
      <c r="VD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1888808239</v>
      </c>
      <c r="VE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309126101</v>
      </c>
      <c r="VF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29911891</v>
      </c>
      <c r="VG4" s="46">
        <f>SUM(Input[[#This Row],[Oth Inc E&amp;G]],Input[[#This Row],[Oth Exp Desg]],Input[[#This Row],[Oth Exp R Exp]],Input[[#This Row],[Oth Exp Loan]],Input[[#This Row],[Oth Exp Annuity]],Input[[#This Row],[Oth Exp Unexp]],Input[[#This Row],[Oth Exp R of Ind]],Input[[#This Row],[Oth Exp Inv in P]])</f>
        <v>2855553</v>
      </c>
      <c r="VH4" s="46">
        <f>SUM(Input[[#This Row],[Instr E&amp;G]],Input[[#This Row],[Instr Desg]],Input[[#This Row],[Instr R Exp]],Input[[#This Row],[Instr Loan]],Input[[#This Row],[Instr Annuity]],Input[[#This Row],[Instr Unexp]],Input[[#This Row],[Instr R of Ind]],Input[[#This Row],[Instr Inv in P]])</f>
        <v>782610561</v>
      </c>
      <c r="VI4" s="46">
        <f>SUM(Input[[#This Row],[Res E&amp;G]],Input[[#This Row],[Res Desg]],Input[[#This Row],[Res R Exp]],Input[[#This Row],[Res Loan]],Input[[#This Row],[Res Annuity]],Input[[#This Row],[Res Unexp]],Input[[#This Row],[Res R of Ind]],Input[[#This Row],[Res Inv in P]])</f>
        <v>923050152</v>
      </c>
      <c r="VJ4" s="46">
        <f>SUM(Input[[#This Row],[Acad Sup E&amp;G]],Input[[#This Row],[Acad Sup Desg]],Input[[#This Row],[Acad Sup R Exp]],Input[[#This Row],[Acad Sup Loan]],Input[[#This Row],[Acad Sup Annuity]],Input[[#This Row],[Acad Sup Unexp]],Input[[#This Row],[Acad Sup R of Ind]],Input[[#This Row],[Acad Sup Inv in P]])</f>
        <v>672465710</v>
      </c>
      <c r="VK4" s="46">
        <f>SUM(Input[[#This Row],[Stu Svc E&amp;G]],Input[[#This Row],[Stu Svc Desg]],Input[[#This Row],[Stu Svc R Exp]],Input[[#This Row],[Stu Svc Loan]],Input[[#This Row],[Stu Svc Annuity]],Input[[#This Row],[Stu Svc Unexp]],Input[[#This Row],[Stu Svc R of Ind]],Input[[#This Row],[Stu Svc Inv in P]])</f>
        <v>52475041</v>
      </c>
      <c r="VL4" s="46">
        <f>SUM(Input[[#This Row],[Inst. Spt E&amp;G]],Input[[#This Row],[Inst. Spt Desg]],Input[[#This Row],[Inst. Spt R Exp]],Input[[#This Row],[Inst. Spt Loan]],Input[[#This Row],[Inst. Spt Annuity]],Input[[#This Row],[Inst. Spt Unexp]],Input[[#This Row],[Inst. Spt R of Ind]],Input[[#This Row],[Inst. Spt Inv in P]])</f>
        <v>348362227</v>
      </c>
      <c r="VM4" s="46">
        <f>SUM(Input[[#This Row],[M&amp;O Plnt E&amp;G]],Input[[#This Row],[M&amp;O Plnt Desg]],Input[[#This Row],[M&amp;O Plnt R Exp]],Input[[#This Row],[M&amp;O Plnt Loan]],Input[[#This Row],[M&amp;O Plnt Annuity]],Input[[#This Row],[M&amp;O Plnt Unexp]],Input[[#This Row],[M&amp;O Plnt R of Ind]],Input[[#This Row],[M&amp;O Plnt Inv in P]])</f>
        <v>304965488</v>
      </c>
      <c r="VN4" s="46">
        <f>SUM(Input[[#This Row],[Schl &amp; Fell E&amp;G]],Input[[#This Row],[Schl &amp; Fell Desg]],Input[[#This Row],[Schl &amp; Fell R Exp]],Input[[#This Row],[Schl &amp; Fell Loan]],Input[[#This Row],[Schl &amp; Fell Annuity]],Input[[#This Row],[Schl &amp; Fell Unexp]],Input[[#This Row],[Schl &amp; Fell R of Ind]],Input[[#This Row],[Schl &amp; Fell Inv in P]])</f>
        <v>38698655</v>
      </c>
      <c r="VO4" s="46">
        <f>SUM(Input[[#This Row],[Cap Out fund E&amp;G]],Input[[#This Row],[Cap Out fund Desg]],Input[[#This Row],[Cap Out fund R Exp]],Input[[#This Row],[Cap Out fund Loan]],Input[[#This Row],[Cap Out fund Annuity]],Input[[#This Row],[Cap Out fund Unexp]],Input[[#This Row],[Cap Out fund R of Ind]],Input[[#This Row],[Cap Out fund Inv in P]])</f>
        <v>272282354</v>
      </c>
      <c r="VP4" s="46">
        <f>SUM(Input[[#This Row],[Oth Exp E&amp;G]],Input[[#This Row],[Oth Exp Desg]],Input[[#This Row],[Oth Exp R Exp]],Input[[#This Row],[Oth Exp Loan]],Input[[#This Row],[Oth Exp Annuity]],Input[[#This Row],[Oth Exp Unexp]],Input[[#This Row],[Oth Exp R of Ind]],Input[[#This Row],[Oth Exp Inv in P]],Input[[#This Row],[Oth Exp Inv in P]])</f>
        <v>3269652</v>
      </c>
    </row>
    <row r="5" spans="1:588" ht="30" customHeight="1" x14ac:dyDescent="0.3">
      <c r="A5" s="15" t="s">
        <v>40</v>
      </c>
      <c r="B5" s="36" t="s">
        <v>106</v>
      </c>
      <c r="C5" s="36" t="s">
        <v>110</v>
      </c>
      <c r="D5" s="36">
        <v>103</v>
      </c>
      <c r="E5" s="36" t="s">
        <v>134</v>
      </c>
      <c r="F5" s="95" cm="1">
        <f t="array" ref="F5">IFERROR(_xlfn.IFS(Input[[#This Row],[Type]]="HRI",SUMIFS('FTSE | FTFE'!$I$8:$I$77,'FTSE | FTFE'!$H$8:$H$77,A5),Input[[#This Row],[Type]]="UNIV",SUMIFS('FTSE | FTFE'!$I$104:$I$139,'FTSE | FTFE'!$H$104:$H$139,A5),OR(Input[[#This Row],[Type]]="TSTC",Input[[#This Row],[Type]]="LSC"),SUMIFS('FTSE | FTFE'!$I$88:$I$96,'FTSE | FTFE'!$H$88:$H$96,A5)),"N/A")</f>
        <v>3658</v>
      </c>
      <c r="G5" s="46">
        <v>397661754</v>
      </c>
      <c r="H5" s="46">
        <v>0</v>
      </c>
      <c r="I5" s="46">
        <v>0</v>
      </c>
      <c r="J5" s="46">
        <v>0</v>
      </c>
      <c r="K5" s="46">
        <v>0</v>
      </c>
      <c r="L5" s="46">
        <v>0</v>
      </c>
      <c r="M5" s="46">
        <v>0</v>
      </c>
      <c r="N5" s="46">
        <v>0</v>
      </c>
      <c r="O5" s="46">
        <v>0</v>
      </c>
      <c r="P5" s="46">
        <v>66688675</v>
      </c>
      <c r="Q5" s="46">
        <v>26245054</v>
      </c>
      <c r="R5" s="46">
        <v>0</v>
      </c>
      <c r="S5" s="46">
        <v>16543826</v>
      </c>
      <c r="T5" s="46">
        <v>0</v>
      </c>
      <c r="U5" s="46">
        <v>0</v>
      </c>
      <c r="V5" s="46">
        <v>0</v>
      </c>
      <c r="W5" s="46">
        <v>0</v>
      </c>
      <c r="X5" s="46">
        <v>0</v>
      </c>
      <c r="Y5" s="46">
        <v>0</v>
      </c>
      <c r="Z5" s="46">
        <v>0</v>
      </c>
      <c r="AA5" s="46">
        <v>0</v>
      </c>
      <c r="AB5" s="46">
        <v>0</v>
      </c>
      <c r="AC5" s="46">
        <v>0</v>
      </c>
      <c r="AD5" s="46">
        <v>0</v>
      </c>
      <c r="AE5" s="46">
        <v>0</v>
      </c>
      <c r="AF5" s="46">
        <v>0</v>
      </c>
      <c r="AG5" s="46">
        <v>0</v>
      </c>
      <c r="AH5" s="46">
        <v>495917108</v>
      </c>
      <c r="AI5" s="46">
        <v>0</v>
      </c>
      <c r="AJ5" s="46">
        <v>0</v>
      </c>
      <c r="AK5" s="46">
        <v>0</v>
      </c>
      <c r="AL5" s="46">
        <v>0</v>
      </c>
      <c r="AM5" s="46">
        <v>0</v>
      </c>
      <c r="AN5" s="46">
        <v>0</v>
      </c>
      <c r="AO5" s="46">
        <v>0</v>
      </c>
      <c r="AP5" s="46">
        <v>0</v>
      </c>
      <c r="AQ5" s="46">
        <v>-49737096</v>
      </c>
      <c r="AR5" s="46">
        <v>-20339276</v>
      </c>
      <c r="AS5" s="46">
        <v>0</v>
      </c>
      <c r="AT5" s="46">
        <v>0</v>
      </c>
      <c r="AU5" s="46">
        <v>0</v>
      </c>
      <c r="AV5" s="46">
        <v>0</v>
      </c>
      <c r="AW5" s="46">
        <v>0</v>
      </c>
      <c r="AX5" s="46">
        <v>0</v>
      </c>
      <c r="AY5" s="46">
        <v>0</v>
      </c>
      <c r="AZ5" s="46">
        <v>0</v>
      </c>
      <c r="BA5" s="46">
        <v>0</v>
      </c>
      <c r="BB5" s="46">
        <v>0</v>
      </c>
      <c r="BC5" s="46">
        <v>0</v>
      </c>
      <c r="BD5" s="46">
        <v>0</v>
      </c>
      <c r="BE5" s="46">
        <v>0</v>
      </c>
      <c r="BF5" s="46">
        <v>0</v>
      </c>
      <c r="BG5" s="46">
        <v>0</v>
      </c>
      <c r="BH5" s="46">
        <v>0</v>
      </c>
      <c r="BI5" s="46">
        <v>0</v>
      </c>
      <c r="BJ5" s="46">
        <v>0</v>
      </c>
      <c r="BK5" s="46">
        <v>0</v>
      </c>
      <c r="BL5" s="46">
        <v>0</v>
      </c>
      <c r="BM5" s="46">
        <v>0</v>
      </c>
      <c r="BN5" s="46">
        <v>0</v>
      </c>
      <c r="BO5" s="46">
        <v>0</v>
      </c>
      <c r="BP5" s="46">
        <v>0</v>
      </c>
      <c r="BQ5" s="46">
        <v>0</v>
      </c>
      <c r="BR5" s="46">
        <v>0</v>
      </c>
      <c r="BS5" s="46">
        <v>0</v>
      </c>
      <c r="BT5" s="46">
        <v>0</v>
      </c>
      <c r="BU5" s="46">
        <v>0</v>
      </c>
      <c r="BV5" s="46">
        <v>0</v>
      </c>
      <c r="BW5" s="46">
        <v>0</v>
      </c>
      <c r="BX5" s="46">
        <v>0</v>
      </c>
      <c r="BY5" s="46">
        <v>0</v>
      </c>
      <c r="BZ5" s="46">
        <v>0</v>
      </c>
      <c r="CA5" s="46">
        <v>130866158</v>
      </c>
      <c r="CB5" s="46">
        <v>566202995</v>
      </c>
      <c r="CC5" s="46">
        <v>0</v>
      </c>
      <c r="CD5" s="46">
        <v>0</v>
      </c>
      <c r="CE5" s="46">
        <v>0</v>
      </c>
      <c r="CF5" s="46">
        <v>0</v>
      </c>
      <c r="CG5" s="46">
        <v>0</v>
      </c>
      <c r="CH5" s="46">
        <v>0</v>
      </c>
      <c r="CI5" s="46">
        <v>0</v>
      </c>
      <c r="CJ5" s="46">
        <v>0</v>
      </c>
      <c r="CK5" s="46">
        <v>0</v>
      </c>
      <c r="CL5" s="46">
        <v>0</v>
      </c>
      <c r="CM5" s="46">
        <v>0</v>
      </c>
      <c r="CN5" s="46">
        <v>0</v>
      </c>
      <c r="CO5" s="46">
        <v>0</v>
      </c>
      <c r="CP5" s="46">
        <v>0</v>
      </c>
      <c r="CQ5" s="46">
        <v>0</v>
      </c>
      <c r="CR5" s="46">
        <v>0</v>
      </c>
      <c r="CS5" s="46">
        <v>0</v>
      </c>
      <c r="CT5" s="46">
        <v>0</v>
      </c>
      <c r="CU5" s="46">
        <v>0</v>
      </c>
      <c r="CV5" s="46">
        <v>0</v>
      </c>
      <c r="CW5" s="46">
        <v>0</v>
      </c>
      <c r="CX5" s="46">
        <v>0</v>
      </c>
      <c r="CY5" s="46">
        <v>0</v>
      </c>
      <c r="CZ5" s="46">
        <v>0</v>
      </c>
      <c r="DA5" s="46">
        <v>0</v>
      </c>
      <c r="DB5" s="46">
        <v>-2310587</v>
      </c>
      <c r="DC5" s="46">
        <v>-15693444</v>
      </c>
      <c r="DD5" s="46">
        <v>0</v>
      </c>
      <c r="DE5" s="46">
        <v>0</v>
      </c>
      <c r="DF5" s="46">
        <v>0</v>
      </c>
      <c r="DG5" s="46">
        <v>0</v>
      </c>
      <c r="DH5" s="46">
        <v>0</v>
      </c>
      <c r="DI5" s="46">
        <v>0</v>
      </c>
      <c r="DJ5" s="46">
        <v>0</v>
      </c>
      <c r="DK5" s="46">
        <v>0</v>
      </c>
      <c r="DL5" s="46">
        <v>0</v>
      </c>
      <c r="DM5" s="46">
        <v>0</v>
      </c>
      <c r="DN5" s="46">
        <v>0</v>
      </c>
      <c r="DO5" s="46">
        <v>0</v>
      </c>
      <c r="DP5" s="46">
        <v>0</v>
      </c>
      <c r="DQ5" s="46">
        <v>0</v>
      </c>
      <c r="DR5" s="46">
        <v>0</v>
      </c>
      <c r="DS5" s="46">
        <v>0</v>
      </c>
      <c r="DT5" s="46">
        <v>-128582206</v>
      </c>
      <c r="DU5" s="46">
        <v>-242845940</v>
      </c>
      <c r="DV5" s="46">
        <v>0</v>
      </c>
      <c r="DW5" s="46">
        <v>0</v>
      </c>
      <c r="DX5" s="46">
        <v>0</v>
      </c>
      <c r="DY5" s="46">
        <v>0</v>
      </c>
      <c r="DZ5" s="46">
        <v>0</v>
      </c>
      <c r="EA5" s="46">
        <v>0</v>
      </c>
      <c r="EB5" s="46">
        <v>0</v>
      </c>
      <c r="EC5" s="46">
        <v>0</v>
      </c>
      <c r="ED5" s="46">
        <v>0</v>
      </c>
      <c r="EE5" s="46">
        <v>0</v>
      </c>
      <c r="EF5" s="46">
        <v>0</v>
      </c>
      <c r="EG5" s="46">
        <v>0</v>
      </c>
      <c r="EH5" s="46">
        <v>0</v>
      </c>
      <c r="EI5" s="46">
        <v>0</v>
      </c>
      <c r="EJ5" s="46">
        <v>0</v>
      </c>
      <c r="EK5" s="46">
        <v>0</v>
      </c>
      <c r="EL5" s="46">
        <v>0</v>
      </c>
      <c r="EM5" s="46">
        <v>0</v>
      </c>
      <c r="EN5" s="46">
        <v>0</v>
      </c>
      <c r="EO5" s="46">
        <v>0</v>
      </c>
      <c r="EP5" s="46">
        <v>0</v>
      </c>
      <c r="EQ5" s="46">
        <v>0</v>
      </c>
      <c r="ER5" s="46">
        <v>0</v>
      </c>
      <c r="ES5" s="46">
        <v>0</v>
      </c>
      <c r="ET5" s="46">
        <v>0</v>
      </c>
      <c r="EU5" s="46">
        <v>0</v>
      </c>
      <c r="EV5" s="46">
        <v>0</v>
      </c>
      <c r="EW5" s="46">
        <v>0</v>
      </c>
      <c r="EX5" s="46">
        <v>0</v>
      </c>
      <c r="EY5" s="46">
        <v>0</v>
      </c>
      <c r="EZ5" s="46">
        <v>0</v>
      </c>
      <c r="FA5" s="46">
        <v>0</v>
      </c>
      <c r="FB5" s="46">
        <v>0</v>
      </c>
      <c r="FC5" s="46">
        <v>0</v>
      </c>
      <c r="FD5" s="46">
        <v>0</v>
      </c>
      <c r="FE5" s="46">
        <v>0</v>
      </c>
      <c r="FF5" s="46">
        <v>0</v>
      </c>
      <c r="FG5" s="46">
        <v>0</v>
      </c>
      <c r="FH5" s="46">
        <v>0</v>
      </c>
      <c r="FI5" s="46">
        <v>0</v>
      </c>
      <c r="FJ5" s="46">
        <v>0</v>
      </c>
      <c r="FK5" s="46">
        <v>0</v>
      </c>
      <c r="FL5" s="46">
        <v>0</v>
      </c>
      <c r="FM5" s="46">
        <v>104461</v>
      </c>
      <c r="FN5" s="46">
        <v>53537102</v>
      </c>
      <c r="FO5" s="46">
        <v>49291329</v>
      </c>
      <c r="FP5" s="46">
        <v>0</v>
      </c>
      <c r="FQ5" s="46">
        <v>0</v>
      </c>
      <c r="FR5" s="46">
        <v>0</v>
      </c>
      <c r="FS5" s="46">
        <v>0</v>
      </c>
      <c r="FT5" s="46">
        <v>0</v>
      </c>
      <c r="FU5" s="46">
        <v>0</v>
      </c>
      <c r="FV5" s="46">
        <v>0</v>
      </c>
      <c r="FW5" s="46">
        <v>0</v>
      </c>
      <c r="FX5" s="46">
        <v>0</v>
      </c>
      <c r="FY5" s="46">
        <v>0</v>
      </c>
      <c r="FZ5" s="46">
        <v>0</v>
      </c>
      <c r="GA5" s="46">
        <v>0</v>
      </c>
      <c r="GB5" s="46">
        <v>0</v>
      </c>
      <c r="GC5" s="46">
        <v>0</v>
      </c>
      <c r="GD5" s="46">
        <v>0</v>
      </c>
      <c r="GE5" s="46">
        <v>0</v>
      </c>
      <c r="GF5" s="46">
        <v>0</v>
      </c>
      <c r="GG5" s="46">
        <v>0</v>
      </c>
      <c r="GH5" s="46">
        <v>0</v>
      </c>
      <c r="GI5" s="46">
        <v>0</v>
      </c>
      <c r="GJ5" s="46">
        <v>0</v>
      </c>
      <c r="GK5" s="46">
        <v>0</v>
      </c>
      <c r="GL5" s="46">
        <v>0</v>
      </c>
      <c r="GM5" s="46">
        <v>0</v>
      </c>
      <c r="GN5" s="46">
        <v>0</v>
      </c>
      <c r="GO5" s="46">
        <v>-1135987</v>
      </c>
      <c r="GP5" s="46">
        <v>0</v>
      </c>
      <c r="GQ5" s="46">
        <v>0</v>
      </c>
      <c r="GR5" s="46">
        <v>0</v>
      </c>
      <c r="GS5" s="46">
        <v>0</v>
      </c>
      <c r="GT5" s="46">
        <v>0</v>
      </c>
      <c r="GU5" s="46">
        <v>0</v>
      </c>
      <c r="GV5" s="46">
        <v>0</v>
      </c>
      <c r="GW5" s="46">
        <v>0</v>
      </c>
      <c r="GX5" s="46">
        <v>0</v>
      </c>
      <c r="GY5" s="46">
        <v>0</v>
      </c>
      <c r="GZ5" s="46">
        <v>0</v>
      </c>
      <c r="HA5" s="46">
        <v>0</v>
      </c>
      <c r="HB5" s="46">
        <v>0</v>
      </c>
      <c r="HC5" s="46">
        <v>0</v>
      </c>
      <c r="HD5" s="46">
        <v>0</v>
      </c>
      <c r="HE5" s="46">
        <v>0</v>
      </c>
      <c r="HF5" s="46">
        <v>-102638</v>
      </c>
      <c r="HG5" s="46">
        <v>-22962202</v>
      </c>
      <c r="HH5" s="46">
        <v>0</v>
      </c>
      <c r="HI5" s="46">
        <v>0</v>
      </c>
      <c r="HJ5" s="46">
        <v>0</v>
      </c>
      <c r="HK5" s="46">
        <v>0</v>
      </c>
      <c r="HL5" s="46">
        <v>0</v>
      </c>
      <c r="HM5" s="46">
        <v>0</v>
      </c>
      <c r="HN5" s="46">
        <v>0</v>
      </c>
      <c r="HO5" s="46">
        <v>0</v>
      </c>
      <c r="HP5" s="46">
        <v>187328627</v>
      </c>
      <c r="HQ5" s="46">
        <v>0</v>
      </c>
      <c r="HR5" s="46">
        <v>805201911</v>
      </c>
      <c r="HS5" s="46">
        <v>0</v>
      </c>
      <c r="HT5" s="46">
        <v>0</v>
      </c>
      <c r="HU5" s="46">
        <v>0</v>
      </c>
      <c r="HV5" s="46">
        <v>0</v>
      </c>
      <c r="HW5" s="46">
        <v>0</v>
      </c>
      <c r="HX5" s="46">
        <v>0</v>
      </c>
      <c r="HY5" s="46">
        <v>0</v>
      </c>
      <c r="HZ5" s="46">
        <v>0</v>
      </c>
      <c r="IA5" s="46">
        <v>0</v>
      </c>
      <c r="IB5" s="46">
        <v>0</v>
      </c>
      <c r="IC5" s="46">
        <v>0</v>
      </c>
      <c r="ID5" s="46">
        <v>0</v>
      </c>
      <c r="IE5" s="46">
        <v>0</v>
      </c>
      <c r="IF5" s="46">
        <v>0</v>
      </c>
      <c r="IG5" s="46">
        <v>0</v>
      </c>
      <c r="IH5" s="46">
        <v>0</v>
      </c>
      <c r="II5" s="46">
        <v>0</v>
      </c>
      <c r="IJ5" s="46">
        <v>0</v>
      </c>
      <c r="IK5" s="46">
        <v>0</v>
      </c>
      <c r="IL5" s="46">
        <v>0</v>
      </c>
      <c r="IM5" s="46">
        <v>0</v>
      </c>
      <c r="IN5" s="46">
        <v>0</v>
      </c>
      <c r="IO5" s="46">
        <v>0</v>
      </c>
      <c r="IP5" s="46">
        <v>9487208</v>
      </c>
      <c r="IQ5" s="46">
        <v>341355277</v>
      </c>
      <c r="IR5" s="46">
        <v>7319200</v>
      </c>
      <c r="IS5" s="46">
        <v>263249811</v>
      </c>
      <c r="IT5" s="46">
        <v>586383</v>
      </c>
      <c r="IU5" s="46">
        <v>369479</v>
      </c>
      <c r="IV5" s="46">
        <v>8707748</v>
      </c>
      <c r="IW5" s="46">
        <v>0</v>
      </c>
      <c r="IX5" s="46">
        <v>0</v>
      </c>
      <c r="IY5" s="46">
        <v>0</v>
      </c>
      <c r="IZ5" s="46">
        <v>946812</v>
      </c>
      <c r="JA5" s="46">
        <v>0</v>
      </c>
      <c r="JB5" s="46">
        <v>5458523</v>
      </c>
      <c r="JC5" s="46">
        <v>0</v>
      </c>
      <c r="JD5" s="46">
        <v>0</v>
      </c>
      <c r="JE5" s="46">
        <v>0</v>
      </c>
      <c r="JF5" s="46">
        <v>0</v>
      </c>
      <c r="JG5" s="46">
        <v>0</v>
      </c>
      <c r="JH5" s="46">
        <v>0</v>
      </c>
      <c r="JI5" s="46">
        <v>12444944</v>
      </c>
      <c r="JJ5" s="46">
        <v>0</v>
      </c>
      <c r="JK5" s="46">
        <v>556925824</v>
      </c>
      <c r="JL5" s="46">
        <v>0</v>
      </c>
      <c r="JM5" s="46">
        <v>0</v>
      </c>
      <c r="JN5" s="46">
        <v>0</v>
      </c>
      <c r="JO5" s="46">
        <v>0</v>
      </c>
      <c r="JP5" s="46">
        <v>0</v>
      </c>
      <c r="JQ5" s="46">
        <v>2340</v>
      </c>
      <c r="JR5" s="46">
        <v>381622919</v>
      </c>
      <c r="JS5" s="46">
        <v>0</v>
      </c>
      <c r="JT5" s="46">
        <v>64411720</v>
      </c>
      <c r="JU5" s="46">
        <v>0</v>
      </c>
      <c r="JV5" s="46">
        <v>0</v>
      </c>
      <c r="JW5" s="46">
        <v>0</v>
      </c>
      <c r="JX5" s="46">
        <v>0</v>
      </c>
      <c r="JY5" s="46">
        <v>0</v>
      </c>
      <c r="JZ5" s="46">
        <v>0</v>
      </c>
      <c r="KA5" s="46">
        <v>0</v>
      </c>
      <c r="KB5" s="46">
        <v>417067276</v>
      </c>
      <c r="KC5" s="46">
        <v>0</v>
      </c>
      <c r="KD5" s="46">
        <v>0</v>
      </c>
      <c r="KE5" s="46">
        <v>0</v>
      </c>
      <c r="KF5" s="46">
        <v>0</v>
      </c>
      <c r="KG5" s="46">
        <v>0</v>
      </c>
      <c r="KH5" s="46">
        <v>0</v>
      </c>
      <c r="KI5" s="46">
        <v>170549</v>
      </c>
      <c r="KJ5" s="46">
        <v>9039170</v>
      </c>
      <c r="KK5" s="46">
        <v>59516</v>
      </c>
      <c r="KL5" s="46">
        <v>-205916</v>
      </c>
      <c r="KM5" s="46">
        <v>76698</v>
      </c>
      <c r="KN5" s="46">
        <v>0</v>
      </c>
      <c r="KO5" s="46">
        <v>0</v>
      </c>
      <c r="KP5" s="46">
        <v>0</v>
      </c>
      <c r="KQ5" s="46">
        <v>-23689404</v>
      </c>
      <c r="KR5" s="46">
        <v>434502126</v>
      </c>
      <c r="KS5" s="46">
        <v>269136035</v>
      </c>
      <c r="KT5" s="46">
        <v>0</v>
      </c>
      <c r="KU5" s="46">
        <v>70477399</v>
      </c>
      <c r="KV5" s="46">
        <v>0</v>
      </c>
      <c r="KW5" s="46">
        <v>0</v>
      </c>
      <c r="KX5" s="46">
        <v>0</v>
      </c>
      <c r="KY5" s="46">
        <v>0</v>
      </c>
      <c r="KZ5" s="46">
        <v>0</v>
      </c>
      <c r="LA5" s="46">
        <v>75712657</v>
      </c>
      <c r="LB5" s="46">
        <v>72788628</v>
      </c>
      <c r="LC5" s="46">
        <v>0</v>
      </c>
      <c r="LD5" s="46">
        <v>725480317</v>
      </c>
      <c r="LE5" s="46">
        <v>0</v>
      </c>
      <c r="LF5" s="46">
        <v>0</v>
      </c>
      <c r="LG5" s="46">
        <v>0</v>
      </c>
      <c r="LH5" s="46">
        <v>0</v>
      </c>
      <c r="LI5" s="46">
        <v>0</v>
      </c>
      <c r="LJ5" s="46">
        <v>16589416</v>
      </c>
      <c r="LK5" s="46">
        <v>98149028</v>
      </c>
      <c r="LL5" s="46">
        <v>0</v>
      </c>
      <c r="LM5" s="46">
        <v>120073126</v>
      </c>
      <c r="LN5" s="46">
        <v>0</v>
      </c>
      <c r="LO5" s="46">
        <v>0</v>
      </c>
      <c r="LP5" s="46">
        <v>0</v>
      </c>
      <c r="LQ5" s="46">
        <v>0</v>
      </c>
      <c r="LR5" s="46">
        <v>0</v>
      </c>
      <c r="LS5" s="46">
        <v>0</v>
      </c>
      <c r="LT5" s="46">
        <v>0</v>
      </c>
      <c r="LU5" s="46">
        <v>0</v>
      </c>
      <c r="LV5" s="46">
        <v>0</v>
      </c>
      <c r="LW5" s="46">
        <v>0</v>
      </c>
      <c r="LX5" s="46">
        <v>0</v>
      </c>
      <c r="LY5" s="46">
        <v>0</v>
      </c>
      <c r="LZ5" s="46">
        <v>0</v>
      </c>
      <c r="MA5" s="46">
        <v>0</v>
      </c>
      <c r="MB5" s="46">
        <v>127533727</v>
      </c>
      <c r="MC5" s="46">
        <v>380849893</v>
      </c>
      <c r="MD5" s="46">
        <v>0</v>
      </c>
      <c r="ME5" s="46">
        <v>98425593</v>
      </c>
      <c r="MF5" s="46">
        <v>0</v>
      </c>
      <c r="MG5" s="46">
        <v>0</v>
      </c>
      <c r="MH5" s="46">
        <v>0</v>
      </c>
      <c r="MI5" s="46">
        <v>0</v>
      </c>
      <c r="MJ5" s="46">
        <v>0</v>
      </c>
      <c r="MK5" s="46">
        <v>18259445</v>
      </c>
      <c r="ML5" s="46">
        <v>30278141</v>
      </c>
      <c r="MM5" s="46">
        <v>0</v>
      </c>
      <c r="MN5" s="46">
        <v>4191896</v>
      </c>
      <c r="MO5" s="46">
        <v>-264208</v>
      </c>
      <c r="MP5" s="46">
        <v>0</v>
      </c>
      <c r="MQ5" s="46">
        <v>0</v>
      </c>
      <c r="MR5" s="46">
        <v>0</v>
      </c>
      <c r="MS5" s="46">
        <v>0</v>
      </c>
      <c r="MT5" s="46">
        <v>100785427</v>
      </c>
      <c r="MU5" s="46">
        <v>195208821</v>
      </c>
      <c r="MV5" s="46">
        <v>0</v>
      </c>
      <c r="MW5" s="46">
        <v>19224468</v>
      </c>
      <c r="MX5" s="46">
        <v>0</v>
      </c>
      <c r="MY5" s="46">
        <v>0</v>
      </c>
      <c r="MZ5" s="46">
        <v>0</v>
      </c>
      <c r="NA5" s="46">
        <v>0</v>
      </c>
      <c r="NB5" s="46">
        <v>0</v>
      </c>
      <c r="NC5" s="46">
        <v>153496</v>
      </c>
      <c r="ND5" s="46">
        <v>199617817</v>
      </c>
      <c r="NE5" s="46">
        <v>0</v>
      </c>
      <c r="NF5" s="46">
        <v>120424</v>
      </c>
      <c r="NG5" s="46">
        <v>0</v>
      </c>
      <c r="NH5" s="46">
        <v>0</v>
      </c>
      <c r="NI5" s="46">
        <v>99477083</v>
      </c>
      <c r="NJ5" s="46">
        <v>0</v>
      </c>
      <c r="NK5" s="46">
        <v>0</v>
      </c>
      <c r="NL5" s="46">
        <v>27480217</v>
      </c>
      <c r="NM5" s="46">
        <v>1240991</v>
      </c>
      <c r="NN5" s="46">
        <v>0</v>
      </c>
      <c r="NO5" s="46">
        <v>7618897</v>
      </c>
      <c r="NP5" s="46">
        <v>0</v>
      </c>
      <c r="NQ5" s="46">
        <v>0</v>
      </c>
      <c r="NR5" s="46">
        <v>0</v>
      </c>
      <c r="NS5" s="46">
        <v>0</v>
      </c>
      <c r="NT5" s="46">
        <v>0</v>
      </c>
      <c r="NU5" s="46">
        <v>0</v>
      </c>
      <c r="NV5" s="46">
        <v>8370</v>
      </c>
      <c r="NW5" s="46">
        <v>372627790</v>
      </c>
      <c r="NX5" s="46">
        <v>103025324</v>
      </c>
      <c r="NY5" s="46">
        <v>0</v>
      </c>
      <c r="NZ5" s="46">
        <v>0</v>
      </c>
      <c r="OA5" s="46">
        <v>0</v>
      </c>
      <c r="OB5" s="46">
        <v>0</v>
      </c>
      <c r="OC5" s="46">
        <v>0</v>
      </c>
      <c r="OD5" s="46">
        <v>136579675</v>
      </c>
      <c r="OE5" s="46">
        <v>20008392</v>
      </c>
      <c r="OF5" s="46">
        <v>2515064</v>
      </c>
      <c r="OG5" s="46">
        <v>114606796</v>
      </c>
      <c r="OH5" s="46">
        <v>0</v>
      </c>
      <c r="OI5" s="46">
        <v>0</v>
      </c>
      <c r="OJ5" s="46">
        <v>0</v>
      </c>
      <c r="OK5" s="46">
        <v>0</v>
      </c>
      <c r="OL5" s="46">
        <v>0</v>
      </c>
      <c r="OM5" s="46">
        <v>544914</v>
      </c>
      <c r="ON5" s="46">
        <v>2248459</v>
      </c>
      <c r="OO5" s="46">
        <v>10079</v>
      </c>
      <c r="OP5" s="46">
        <v>60165</v>
      </c>
      <c r="OQ5" s="46">
        <v>336646</v>
      </c>
      <c r="OR5" s="46">
        <v>0</v>
      </c>
      <c r="OS5" s="46">
        <v>0</v>
      </c>
      <c r="OT5" s="46">
        <v>0</v>
      </c>
      <c r="OU5" s="46">
        <v>39734</v>
      </c>
      <c r="OV5" s="46">
        <v>0</v>
      </c>
      <c r="OW5" s="46">
        <v>0</v>
      </c>
      <c r="OX5" s="46">
        <v>0</v>
      </c>
      <c r="OY5" s="46">
        <v>0</v>
      </c>
      <c r="OZ5" s="46">
        <v>0</v>
      </c>
      <c r="PA5" s="46">
        <v>0</v>
      </c>
      <c r="PB5" s="46">
        <v>-535582521</v>
      </c>
      <c r="PC5" s="46">
        <v>0</v>
      </c>
      <c r="PD5" s="46">
        <v>0</v>
      </c>
      <c r="PE5" s="46">
        <v>-26935319</v>
      </c>
      <c r="PF5" s="46">
        <v>14039380</v>
      </c>
      <c r="PG5" s="46">
        <v>-70840771</v>
      </c>
      <c r="PH5" s="46">
        <v>-363780554</v>
      </c>
      <c r="PI5" s="46">
        <v>-796866</v>
      </c>
      <c r="PJ5" s="46">
        <v>46887819</v>
      </c>
      <c r="PK5" s="46">
        <v>357837040</v>
      </c>
      <c r="PL5" s="46">
        <v>0</v>
      </c>
      <c r="PM5" s="46">
        <v>16543425</v>
      </c>
      <c r="PN5" s="46">
        <v>0</v>
      </c>
      <c r="PO5" s="46">
        <v>0</v>
      </c>
      <c r="PP5" s="46">
        <v>0</v>
      </c>
      <c r="PQ5" s="46">
        <v>0</v>
      </c>
      <c r="PR5" s="46">
        <v>0</v>
      </c>
      <c r="PS5" s="46">
        <v>0</v>
      </c>
      <c r="PT5" s="46">
        <v>492264098</v>
      </c>
      <c r="PU5" s="46">
        <v>0</v>
      </c>
      <c r="PV5" s="46">
        <v>0</v>
      </c>
      <c r="PW5" s="46">
        <v>-21369647</v>
      </c>
      <c r="PX5" s="46">
        <v>-62373636</v>
      </c>
      <c r="PY5" s="46">
        <v>-49083042</v>
      </c>
      <c r="PZ5" s="46">
        <v>-9456370</v>
      </c>
      <c r="QA5" s="46">
        <v>0</v>
      </c>
      <c r="QB5" s="46">
        <v>0</v>
      </c>
      <c r="QC5" s="46">
        <v>-464135</v>
      </c>
      <c r="QD5" s="46">
        <v>0</v>
      </c>
      <c r="QE5" s="46">
        <v>0</v>
      </c>
      <c r="QF5" s="46">
        <v>9984436</v>
      </c>
      <c r="QG5" s="46">
        <v>68695081</v>
      </c>
      <c r="QH5" s="46">
        <v>13905810</v>
      </c>
      <c r="QI5" s="46">
        <v>34560376</v>
      </c>
      <c r="QJ5" s="46">
        <v>2051327</v>
      </c>
      <c r="QK5" s="46">
        <v>409250770</v>
      </c>
      <c r="QL5" s="46">
        <v>30175523</v>
      </c>
      <c r="QM5" s="46">
        <v>0</v>
      </c>
      <c r="QN5" s="46">
        <v>0</v>
      </c>
      <c r="QO5" s="46">
        <v>0</v>
      </c>
      <c r="QP5" s="46">
        <v>0</v>
      </c>
      <c r="QQ5" s="46">
        <v>0</v>
      </c>
      <c r="QR5" s="46">
        <v>0</v>
      </c>
      <c r="QS5" s="46">
        <v>0</v>
      </c>
      <c r="QT5" s="46">
        <v>137260668</v>
      </c>
      <c r="QU5" s="46">
        <v>0</v>
      </c>
      <c r="QV5" s="46">
        <v>0</v>
      </c>
      <c r="QW5" s="46">
        <v>0</v>
      </c>
      <c r="QX5" s="46">
        <v>0</v>
      </c>
      <c r="QY5" s="46">
        <v>0</v>
      </c>
      <c r="QZ5" s="46">
        <v>0</v>
      </c>
      <c r="RA5" s="46">
        <v>0</v>
      </c>
      <c r="RB5" s="46">
        <v>0</v>
      </c>
      <c r="RC5" s="46">
        <v>0</v>
      </c>
      <c r="RD5" s="46">
        <v>0</v>
      </c>
      <c r="RE5" s="46">
        <v>0</v>
      </c>
      <c r="RF5" s="46">
        <v>0</v>
      </c>
      <c r="RG5" s="46">
        <v>0</v>
      </c>
      <c r="RH5" s="46">
        <v>0</v>
      </c>
      <c r="RI5" s="46">
        <v>0</v>
      </c>
      <c r="RJ5" s="46">
        <v>0</v>
      </c>
      <c r="RK5" s="46">
        <v>0</v>
      </c>
      <c r="RL5" s="46">
        <v>0</v>
      </c>
      <c r="RM5" s="46">
        <v>0</v>
      </c>
      <c r="RN5" s="46">
        <v>0</v>
      </c>
      <c r="RO5" s="46">
        <v>-372949491</v>
      </c>
      <c r="RP5" s="46">
        <v>0</v>
      </c>
      <c r="RQ5" s="46">
        <v>0</v>
      </c>
      <c r="RR5" s="46">
        <v>0</v>
      </c>
      <c r="RS5" s="46">
        <v>0</v>
      </c>
      <c r="RT5" s="46">
        <v>0</v>
      </c>
      <c r="RU5" s="46">
        <v>0</v>
      </c>
      <c r="RV5" s="46">
        <v>0</v>
      </c>
      <c r="RW5" s="46">
        <v>0</v>
      </c>
      <c r="RX5" s="46">
        <v>0</v>
      </c>
      <c r="RY5" s="46">
        <v>0</v>
      </c>
      <c r="RZ5" s="46">
        <v>0</v>
      </c>
      <c r="SA5" s="46">
        <v>0</v>
      </c>
      <c r="SB5" s="46">
        <v>0</v>
      </c>
      <c r="SC5" s="46">
        <v>0</v>
      </c>
      <c r="SD5" s="46">
        <v>0</v>
      </c>
      <c r="SE5" s="46">
        <v>0</v>
      </c>
      <c r="SF5" s="46">
        <v>0</v>
      </c>
      <c r="SG5" s="46">
        <v>0</v>
      </c>
      <c r="SH5" s="46">
        <v>0</v>
      </c>
      <c r="SI5" s="46">
        <v>0</v>
      </c>
      <c r="SJ5" s="46">
        <v>0</v>
      </c>
      <c r="SK5" s="46">
        <v>0</v>
      </c>
      <c r="SL5" s="46">
        <v>0</v>
      </c>
      <c r="SM5" s="46">
        <v>0</v>
      </c>
      <c r="SN5" s="46">
        <v>0</v>
      </c>
      <c r="SO5" s="46">
        <v>0</v>
      </c>
      <c r="SP5" s="46">
        <v>16543973</v>
      </c>
      <c r="SQ5" s="46">
        <v>0</v>
      </c>
      <c r="SR5" s="46">
        <v>0</v>
      </c>
      <c r="SS5" s="46">
        <v>0</v>
      </c>
      <c r="ST5" s="46">
        <v>0</v>
      </c>
      <c r="SU5" s="46">
        <v>0</v>
      </c>
      <c r="SV5" s="46">
        <v>0</v>
      </c>
      <c r="SW5" s="46">
        <v>0</v>
      </c>
      <c r="SX5" s="46">
        <v>0</v>
      </c>
      <c r="SY5" s="46">
        <v>809292447</v>
      </c>
      <c r="SZ5" s="46">
        <v>2012657</v>
      </c>
      <c r="TA5" s="46">
        <v>169732943</v>
      </c>
      <c r="TB5" s="46">
        <v>1076796</v>
      </c>
      <c r="TC5" s="46">
        <v>0</v>
      </c>
      <c r="TD5" s="46">
        <v>11404752</v>
      </c>
      <c r="TE5" s="46">
        <v>14750</v>
      </c>
      <c r="TF5" s="46">
        <v>7724119</v>
      </c>
      <c r="TG5" s="46">
        <v>78467243</v>
      </c>
      <c r="TH5" s="46">
        <v>169533</v>
      </c>
      <c r="TI5" s="46">
        <v>3107134</v>
      </c>
      <c r="TJ5" s="46">
        <v>22741</v>
      </c>
      <c r="TK5" s="46">
        <v>4451</v>
      </c>
      <c r="TL5" s="46">
        <v>8159567</v>
      </c>
      <c r="TM5" s="46">
        <v>-706273</v>
      </c>
      <c r="TN5" s="46">
        <v>0</v>
      </c>
      <c r="TO5" s="46">
        <v>0</v>
      </c>
      <c r="TP5" s="46">
        <v>0</v>
      </c>
      <c r="TQ5" s="46">
        <v>0</v>
      </c>
      <c r="TR5" s="46">
        <v>0</v>
      </c>
      <c r="TS5" s="46">
        <v>0</v>
      </c>
      <c r="TT5" s="46">
        <v>0</v>
      </c>
      <c r="TU5" s="46">
        <v>2664726</v>
      </c>
      <c r="TV5" s="46">
        <v>232950</v>
      </c>
      <c r="TW5" s="46">
        <v>0</v>
      </c>
      <c r="TX5" s="46">
        <v>0</v>
      </c>
      <c r="TY5" s="46">
        <v>0</v>
      </c>
      <c r="TZ5" s="46">
        <v>0</v>
      </c>
      <c r="UA5" s="46">
        <v>0</v>
      </c>
      <c r="UB5" s="46">
        <v>0</v>
      </c>
      <c r="UC5" s="46">
        <v>0</v>
      </c>
      <c r="UD5" s="46">
        <v>0</v>
      </c>
      <c r="UE5" s="46">
        <v>774115560</v>
      </c>
      <c r="UF5" s="46">
        <v>873981602</v>
      </c>
      <c r="UG5" s="46">
        <v>234811570</v>
      </c>
      <c r="UH5" s="46">
        <v>0</v>
      </c>
      <c r="UI5" s="46">
        <v>606809213</v>
      </c>
      <c r="UJ5" s="46">
        <v>52465274</v>
      </c>
      <c r="UK5" s="46">
        <v>315218716</v>
      </c>
      <c r="UL5" s="46">
        <v>299368820</v>
      </c>
      <c r="UM5" s="46">
        <v>36340105</v>
      </c>
      <c r="UN5" s="46">
        <v>475661484</v>
      </c>
      <c r="UO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273709927</v>
      </c>
      <c r="UP5" s="46">
        <f>SUM(Input[[#This Row],[Oth Exp E&amp;G]],Input[[#This Row],[Oth Exp Desg]],Input[[#This Row],[Oth Exp Aux]],Input[[#This Row],[Oth Exp R Exp]],Input[[#This Row],[Oth Exp Loan]],Input[[#This Row],[Oth Exp Annuity]],Input[[#This Row],[Oth Exp Unexp]],Input[[#This Row],[Oth Exp R of Ind]],Input[[#This Row],[Oth Exp Inv in P]])</f>
        <v>3239997</v>
      </c>
      <c r="UQ5" s="46"/>
      <c r="UR5" s="46"/>
      <c r="US5" s="8" t="s">
        <v>826</v>
      </c>
      <c r="UT5" s="47">
        <v>5124716527</v>
      </c>
      <c r="UU5" s="8" t="s">
        <v>93</v>
      </c>
      <c r="UV5" s="8" t="s">
        <v>827</v>
      </c>
      <c r="UW5" s="47">
        <v>5122323566</v>
      </c>
      <c r="UX5" s="8" t="s">
        <v>828</v>
      </c>
      <c r="UY5" s="51" cm="1">
        <f t="array" ref="UY5">IFERROR(_xlfn.IFS(Input[[#This Row],[Type]]="HRI",SUMIFS('FTSE | FTFE'!$P$8:$P$77,'FTSE | FTFE'!$H$8:$H$77,A5),Input[[#This Row],[Type]]="UNIV",SUMIFS('FTSE | FTFE'!$P$104:$P$139,'FTSE | FTFE'!$H$104:$H$139,A5),OR(Input[[#This Row],[Type]]="TSTC",Input[[#This Row],[Type]]="LSC"),SUMIFS('FTSE | FTFE'!$O$88:$O$96,'FTSE | FTFE'!$H$88:$H$96,A5),Input[[#This Row],[Type]]="AHM",SUMIFS(Hidden!$H$42:$H$45,Hidden!$G$42:$G$45,A5)),"N/A")</f>
        <v>50913</v>
      </c>
      <c r="UZ5" s="51" cm="1">
        <f t="array" ref="UZ5">IFERROR(_xlfn.IFS(Input[[#This Row],[Type]]="HRI",SUMIFS('FTSE | FTFE'!$Q$8:$Q$77,'FTSE | FTFE'!$H$8:$H$77,A5),Input[[#This Row],[Type]]="UNIV",SUMIFS('FTSE | FTFE'!$Q$104:$Q$139,'FTSE | FTFE'!$H$104:$H$139,A5),OR(Input[[#This Row],[Type]]="TSTC",Input[[#This Row],[Type]]="LSC"),SUMIFS('FTSE | FTFE'!$P$88:$P$96,'FTSE | FTFE'!$H$88:$H$96,A5)),"N/A")</f>
        <v>1622</v>
      </c>
      <c r="VA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507139309</v>
      </c>
      <c r="VB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495917108</v>
      </c>
      <c r="VC5" s="46">
        <f>SUM(Input[[#This Row],[Fed G&amp;C E&amp;G]],Input[[#This Row],[Fed G&amp;C Desg]],Input[[#This Row],[Fed G&amp;C R Exp]],Input[[#This Row],[Fed G&amp;C Loan]],Input[[#This Row],[Fed G&amp;C Annuity]],Input[[#This Row],[Fed G&amp;C Unexp]],Input[[#This Row],[Fed G&amp;C R of Ind]],Input[[#This Row],[Fed G&amp;C Inv in P]])</f>
        <v>992530538</v>
      </c>
      <c r="VD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1630960085</v>
      </c>
      <c r="VE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307636976</v>
      </c>
      <c r="VF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29440736</v>
      </c>
      <c r="VG5" s="46">
        <f>SUM(Input[[#This Row],[Oth Inc E&amp;G]],Input[[#This Row],[Oth Exp Desg]],Input[[#This Row],[Oth Exp R Exp]],Input[[#This Row],[Oth Exp Loan]],Input[[#This Row],[Oth Exp Annuity]],Input[[#This Row],[Oth Exp Unexp]],Input[[#This Row],[Oth Exp R of Ind]],Input[[#This Row],[Oth Exp Inv in P]])</f>
        <v>2855553</v>
      </c>
      <c r="VH5" s="46">
        <f>SUM(Input[[#This Row],[Instr E&amp;G]],Input[[#This Row],[Instr Desg]],Input[[#This Row],[Instr R Exp]],Input[[#This Row],[Instr Loan]],Input[[#This Row],[Instr Annuity]],Input[[#This Row],[Instr Unexp]],Input[[#This Row],[Instr R of Ind]],Input[[#This Row],[Instr Inv in P]])</f>
        <v>774115560</v>
      </c>
      <c r="VI5" s="46">
        <f>SUM(Input[[#This Row],[Res E&amp;G]],Input[[#This Row],[Res Desg]],Input[[#This Row],[Res R Exp]],Input[[#This Row],[Res Loan]],Input[[#This Row],[Res Annuity]],Input[[#This Row],[Res Unexp]],Input[[#This Row],[Res R of Ind]],Input[[#This Row],[Res Inv in P]])</f>
        <v>873981602</v>
      </c>
      <c r="VJ5" s="46">
        <f>SUM(Input[[#This Row],[Acad Sup E&amp;G]],Input[[#This Row],[Acad Sup Desg]],Input[[#This Row],[Acad Sup R Exp]],Input[[#This Row],[Acad Sup Loan]],Input[[#This Row],[Acad Sup Annuity]],Input[[#This Row],[Acad Sup Unexp]],Input[[#This Row],[Acad Sup R of Ind]],Input[[#This Row],[Acad Sup Inv in P]])</f>
        <v>606809213</v>
      </c>
      <c r="VK5" s="46">
        <f>SUM(Input[[#This Row],[Stu Svc E&amp;G]],Input[[#This Row],[Stu Svc Desg]],Input[[#This Row],[Stu Svc R Exp]],Input[[#This Row],[Stu Svc Loan]],Input[[#This Row],[Stu Svc Annuity]],Input[[#This Row],[Stu Svc Unexp]],Input[[#This Row],[Stu Svc R of Ind]],Input[[#This Row],[Stu Svc Inv in P]])</f>
        <v>52465274</v>
      </c>
      <c r="VL5" s="46">
        <f>SUM(Input[[#This Row],[Inst. Spt E&amp;G]],Input[[#This Row],[Inst. Spt Desg]],Input[[#This Row],[Inst. Spt R Exp]],Input[[#This Row],[Inst. Spt Loan]],Input[[#This Row],[Inst. Spt Annuity]],Input[[#This Row],[Inst. Spt Unexp]],Input[[#This Row],[Inst. Spt R of Ind]],Input[[#This Row],[Inst. Spt Inv in P]])</f>
        <v>315218716</v>
      </c>
      <c r="VM5" s="46">
        <f>SUM(Input[[#This Row],[M&amp;O Plnt E&amp;G]],Input[[#This Row],[M&amp;O Plnt Desg]],Input[[#This Row],[M&amp;O Plnt R Exp]],Input[[#This Row],[M&amp;O Plnt Loan]],Input[[#This Row],[M&amp;O Plnt Annuity]],Input[[#This Row],[M&amp;O Plnt Unexp]],Input[[#This Row],[M&amp;O Plnt R of Ind]],Input[[#This Row],[M&amp;O Plnt Inv in P]])</f>
        <v>299368820</v>
      </c>
      <c r="VN5" s="46">
        <f>SUM(Input[[#This Row],[Schl &amp; Fell E&amp;G]],Input[[#This Row],[Schl &amp; Fell Desg]],Input[[#This Row],[Schl &amp; Fell R Exp]],Input[[#This Row],[Schl &amp; Fell Loan]],Input[[#This Row],[Schl &amp; Fell Annuity]],Input[[#This Row],[Schl &amp; Fell Unexp]],Input[[#This Row],[Schl &amp; Fell R of Ind]],Input[[#This Row],[Schl &amp; Fell Inv in P]])</f>
        <v>36340105</v>
      </c>
      <c r="VO5" s="46">
        <f>SUM(Input[[#This Row],[Cap Out fund E&amp;G]],Input[[#This Row],[Cap Out fund Desg]],Input[[#This Row],[Cap Out fund R Exp]],Input[[#This Row],[Cap Out fund Loan]],Input[[#This Row],[Cap Out fund Annuity]],Input[[#This Row],[Cap Out fund Unexp]],Input[[#This Row],[Cap Out fund R of Ind]],Input[[#This Row],[Cap Out fund Inv in P]])</f>
        <v>271194863</v>
      </c>
      <c r="VP5" s="46">
        <f>SUM(Input[[#This Row],[Oth Exp E&amp;G]],Input[[#This Row],[Oth Exp Desg]],Input[[#This Row],[Oth Exp R Exp]],Input[[#This Row],[Oth Exp Loan]],Input[[#This Row],[Oth Exp Annuity]],Input[[#This Row],[Oth Exp Unexp]],Input[[#This Row],[Oth Exp R of Ind]],Input[[#This Row],[Oth Exp Inv in P]],Input[[#This Row],[Oth Exp Inv in P]])</f>
        <v>3269652</v>
      </c>
    </row>
    <row r="6" spans="1:588" ht="30" customHeight="1" x14ac:dyDescent="0.3">
      <c r="A6" s="15" t="s">
        <v>52</v>
      </c>
      <c r="B6" s="36" t="s">
        <v>118</v>
      </c>
      <c r="C6" s="36" t="s">
        <v>110</v>
      </c>
      <c r="D6" s="36">
        <v>104</v>
      </c>
      <c r="E6" s="36" t="s">
        <v>132</v>
      </c>
      <c r="F6" s="95" cm="1">
        <f t="array" ref="F6">IFERROR(_xlfn.IFS(Input[[#This Row],[Type]]="HRI",SUMIFS('FTSE | FTFE'!$I$8:$I$77,'FTSE | FTFE'!$H$8:$H$77,A6),Input[[#This Row],[Type]]="UNIV",SUMIFS('FTSE | FTFE'!$I$104:$I$139,'FTSE | FTFE'!$H$104:$H$139,A6),OR(Input[[#This Row],[Type]]="TSTC",Input[[#This Row],[Type]]="LSC"),SUMIFS('FTSE | FTFE'!$I$88:$I$96,'FTSE | FTFE'!$H$88:$H$96,A6)),"N/A")</f>
        <v>9741</v>
      </c>
      <c r="G6" s="46">
        <v>189515609</v>
      </c>
      <c r="H6" s="46">
        <v>0</v>
      </c>
      <c r="I6" s="46">
        <v>0</v>
      </c>
      <c r="J6" s="46">
        <v>0</v>
      </c>
      <c r="K6" s="46">
        <v>0</v>
      </c>
      <c r="L6" s="46">
        <v>0</v>
      </c>
      <c r="M6" s="46">
        <v>0</v>
      </c>
      <c r="N6" s="46">
        <v>0</v>
      </c>
      <c r="O6" s="46">
        <v>0</v>
      </c>
      <c r="P6" s="46">
        <v>19169243</v>
      </c>
      <c r="Q6" s="46">
        <v>102557111</v>
      </c>
      <c r="R6" s="46">
        <v>0</v>
      </c>
      <c r="S6" s="46">
        <v>2933141</v>
      </c>
      <c r="T6" s="46">
        <v>0</v>
      </c>
      <c r="U6" s="46">
        <v>0</v>
      </c>
      <c r="V6" s="46">
        <v>0</v>
      </c>
      <c r="W6" s="46">
        <v>0</v>
      </c>
      <c r="X6" s="46">
        <v>0</v>
      </c>
      <c r="Y6" s="46">
        <v>0</v>
      </c>
      <c r="Z6" s="46">
        <v>0</v>
      </c>
      <c r="AA6" s="46">
        <v>0</v>
      </c>
      <c r="AB6" s="46">
        <v>0</v>
      </c>
      <c r="AC6" s="46">
        <v>0</v>
      </c>
      <c r="AD6" s="46">
        <v>0</v>
      </c>
      <c r="AE6" s="46">
        <v>0</v>
      </c>
      <c r="AF6" s="46">
        <v>0</v>
      </c>
      <c r="AG6" s="46">
        <v>0</v>
      </c>
      <c r="AH6" s="46">
        <v>0</v>
      </c>
      <c r="AI6" s="46">
        <v>0</v>
      </c>
      <c r="AJ6" s="46">
        <v>0</v>
      </c>
      <c r="AK6" s="46">
        <v>0</v>
      </c>
      <c r="AL6" s="46">
        <v>0</v>
      </c>
      <c r="AM6" s="46">
        <v>0</v>
      </c>
      <c r="AN6" s="46">
        <v>0</v>
      </c>
      <c r="AO6" s="46">
        <v>0</v>
      </c>
      <c r="AP6" s="46">
        <v>0</v>
      </c>
      <c r="AQ6" s="46">
        <v>-24117484</v>
      </c>
      <c r="AR6" s="46">
        <v>-25435573</v>
      </c>
      <c r="AS6" s="46">
        <v>0</v>
      </c>
      <c r="AT6" s="46">
        <v>0</v>
      </c>
      <c r="AU6" s="46">
        <v>0</v>
      </c>
      <c r="AV6" s="46">
        <v>0</v>
      </c>
      <c r="AW6" s="46">
        <v>0</v>
      </c>
      <c r="AX6" s="46">
        <v>0</v>
      </c>
      <c r="AY6" s="46">
        <v>0</v>
      </c>
      <c r="AZ6" s="46">
        <v>0</v>
      </c>
      <c r="BA6" s="46">
        <v>0</v>
      </c>
      <c r="BB6" s="46">
        <v>0</v>
      </c>
      <c r="BC6" s="46">
        <v>0</v>
      </c>
      <c r="BD6" s="46">
        <v>0</v>
      </c>
      <c r="BE6" s="46">
        <v>0</v>
      </c>
      <c r="BF6" s="46">
        <v>0</v>
      </c>
      <c r="BG6" s="46">
        <v>0</v>
      </c>
      <c r="BH6" s="46">
        <v>0</v>
      </c>
      <c r="BI6" s="46">
        <v>0</v>
      </c>
      <c r="BJ6" s="46">
        <v>0</v>
      </c>
      <c r="BK6" s="46">
        <v>0</v>
      </c>
      <c r="BL6" s="46">
        <v>0</v>
      </c>
      <c r="BM6" s="46">
        <v>0</v>
      </c>
      <c r="BN6" s="46">
        <v>0</v>
      </c>
      <c r="BO6" s="46">
        <v>0</v>
      </c>
      <c r="BP6" s="46">
        <v>0</v>
      </c>
      <c r="BQ6" s="46">
        <v>0</v>
      </c>
      <c r="BR6" s="46">
        <v>0</v>
      </c>
      <c r="BS6" s="46">
        <v>0</v>
      </c>
      <c r="BT6" s="46">
        <v>0</v>
      </c>
      <c r="BU6" s="46">
        <v>0</v>
      </c>
      <c r="BV6" s="46">
        <v>0</v>
      </c>
      <c r="BW6" s="46">
        <v>0</v>
      </c>
      <c r="BX6" s="46">
        <v>0</v>
      </c>
      <c r="BY6" s="46">
        <v>0</v>
      </c>
      <c r="BZ6" s="46">
        <v>0</v>
      </c>
      <c r="CA6" s="46">
        <v>62144615</v>
      </c>
      <c r="CB6" s="46">
        <v>310564924</v>
      </c>
      <c r="CC6" s="46">
        <v>0</v>
      </c>
      <c r="CD6" s="46">
        <v>0</v>
      </c>
      <c r="CE6" s="46">
        <v>0</v>
      </c>
      <c r="CF6" s="46">
        <v>0</v>
      </c>
      <c r="CG6" s="46">
        <v>0</v>
      </c>
      <c r="CH6" s="46">
        <v>0</v>
      </c>
      <c r="CI6" s="46">
        <v>0</v>
      </c>
      <c r="CJ6" s="46">
        <v>0</v>
      </c>
      <c r="CK6" s="46">
        <v>0</v>
      </c>
      <c r="CL6" s="46">
        <v>0</v>
      </c>
      <c r="CM6" s="46">
        <v>0</v>
      </c>
      <c r="CN6" s="46">
        <v>0</v>
      </c>
      <c r="CO6" s="46">
        <v>0</v>
      </c>
      <c r="CP6" s="46">
        <v>0</v>
      </c>
      <c r="CQ6" s="46">
        <v>0</v>
      </c>
      <c r="CR6" s="46">
        <v>0</v>
      </c>
      <c r="CS6" s="46">
        <v>0</v>
      </c>
      <c r="CT6" s="46">
        <v>0</v>
      </c>
      <c r="CU6" s="46">
        <v>0</v>
      </c>
      <c r="CV6" s="46">
        <v>0</v>
      </c>
      <c r="CW6" s="46">
        <v>0</v>
      </c>
      <c r="CX6" s="46">
        <v>0</v>
      </c>
      <c r="CY6" s="46">
        <v>0</v>
      </c>
      <c r="CZ6" s="46">
        <v>0</v>
      </c>
      <c r="DA6" s="46">
        <v>0</v>
      </c>
      <c r="DB6" s="46">
        <v>-557151</v>
      </c>
      <c r="DC6" s="46">
        <v>-7314246</v>
      </c>
      <c r="DD6" s="46">
        <v>0</v>
      </c>
      <c r="DE6" s="46">
        <v>0</v>
      </c>
      <c r="DF6" s="46">
        <v>0</v>
      </c>
      <c r="DG6" s="46">
        <v>0</v>
      </c>
      <c r="DH6" s="46">
        <v>0</v>
      </c>
      <c r="DI6" s="46">
        <v>0</v>
      </c>
      <c r="DJ6" s="46">
        <v>0</v>
      </c>
      <c r="DK6" s="46">
        <v>0</v>
      </c>
      <c r="DL6" s="46">
        <v>0</v>
      </c>
      <c r="DM6" s="46">
        <v>0</v>
      </c>
      <c r="DN6" s="46">
        <v>0</v>
      </c>
      <c r="DO6" s="46">
        <v>0</v>
      </c>
      <c r="DP6" s="46">
        <v>0</v>
      </c>
      <c r="DQ6" s="46">
        <v>0</v>
      </c>
      <c r="DR6" s="46">
        <v>0</v>
      </c>
      <c r="DS6" s="46">
        <v>0</v>
      </c>
      <c r="DT6" s="46">
        <v>-25045787</v>
      </c>
      <c r="DU6" s="46">
        <v>-131935507</v>
      </c>
      <c r="DV6" s="46">
        <v>0</v>
      </c>
      <c r="DW6" s="46">
        <v>0</v>
      </c>
      <c r="DX6" s="46">
        <v>0</v>
      </c>
      <c r="DY6" s="46">
        <v>0</v>
      </c>
      <c r="DZ6" s="46">
        <v>0</v>
      </c>
      <c r="EA6" s="46">
        <v>0</v>
      </c>
      <c r="EB6" s="46">
        <v>0</v>
      </c>
      <c r="EC6" s="46">
        <v>0</v>
      </c>
      <c r="ED6" s="46">
        <v>-135559</v>
      </c>
      <c r="EE6" s="46">
        <v>-50222</v>
      </c>
      <c r="EF6" s="46">
        <v>0</v>
      </c>
      <c r="EG6" s="46">
        <v>0</v>
      </c>
      <c r="EH6" s="46">
        <v>0</v>
      </c>
      <c r="EI6" s="46">
        <v>0</v>
      </c>
      <c r="EJ6" s="46">
        <v>0</v>
      </c>
      <c r="EK6" s="46">
        <v>0</v>
      </c>
      <c r="EL6" s="46">
        <v>0</v>
      </c>
      <c r="EM6" s="46">
        <v>0</v>
      </c>
      <c r="EN6" s="46">
        <v>0</v>
      </c>
      <c r="EO6" s="46">
        <v>0</v>
      </c>
      <c r="EP6" s="46">
        <v>0</v>
      </c>
      <c r="EQ6" s="46">
        <v>0</v>
      </c>
      <c r="ER6" s="46">
        <v>0</v>
      </c>
      <c r="ES6" s="46">
        <v>0</v>
      </c>
      <c r="ET6" s="46">
        <v>0</v>
      </c>
      <c r="EU6" s="46">
        <v>0</v>
      </c>
      <c r="EV6" s="46">
        <v>0</v>
      </c>
      <c r="EW6" s="46">
        <v>0</v>
      </c>
      <c r="EX6" s="46">
        <v>0</v>
      </c>
      <c r="EY6" s="46">
        <v>0</v>
      </c>
      <c r="EZ6" s="46">
        <v>0</v>
      </c>
      <c r="FA6" s="46">
        <v>0</v>
      </c>
      <c r="FB6" s="46">
        <v>0</v>
      </c>
      <c r="FC6" s="46">
        <v>0</v>
      </c>
      <c r="FD6" s="46">
        <v>0</v>
      </c>
      <c r="FE6" s="46">
        <v>0</v>
      </c>
      <c r="FF6" s="46">
        <v>0</v>
      </c>
      <c r="FG6" s="46">
        <v>0</v>
      </c>
      <c r="FH6" s="46">
        <v>0</v>
      </c>
      <c r="FI6" s="46">
        <v>0</v>
      </c>
      <c r="FJ6" s="46">
        <v>0</v>
      </c>
      <c r="FK6" s="46">
        <v>0</v>
      </c>
      <c r="FL6" s="46">
        <v>0</v>
      </c>
      <c r="FM6" s="46">
        <v>519059</v>
      </c>
      <c r="FN6" s="46">
        <v>89846044</v>
      </c>
      <c r="FO6" s="46">
        <v>33208449</v>
      </c>
      <c r="FP6" s="46">
        <v>0</v>
      </c>
      <c r="FQ6" s="46">
        <v>0</v>
      </c>
      <c r="FR6" s="46">
        <v>0</v>
      </c>
      <c r="FS6" s="46">
        <v>0</v>
      </c>
      <c r="FT6" s="46">
        <v>0</v>
      </c>
      <c r="FU6" s="46">
        <v>0</v>
      </c>
      <c r="FV6" s="46">
        <v>0</v>
      </c>
      <c r="FW6" s="46">
        <v>0</v>
      </c>
      <c r="FX6" s="46">
        <v>0</v>
      </c>
      <c r="FY6" s="46">
        <v>0</v>
      </c>
      <c r="FZ6" s="46">
        <v>0</v>
      </c>
      <c r="GA6" s="46">
        <v>0</v>
      </c>
      <c r="GB6" s="46">
        <v>0</v>
      </c>
      <c r="GC6" s="46">
        <v>0</v>
      </c>
      <c r="GD6" s="46">
        <v>0</v>
      </c>
      <c r="GE6" s="46">
        <v>0</v>
      </c>
      <c r="GF6" s="46">
        <v>0</v>
      </c>
      <c r="GG6" s="46">
        <v>0</v>
      </c>
      <c r="GH6" s="46">
        <v>0</v>
      </c>
      <c r="GI6" s="46">
        <v>0</v>
      </c>
      <c r="GJ6" s="46">
        <v>0</v>
      </c>
      <c r="GK6" s="46">
        <v>0</v>
      </c>
      <c r="GL6" s="46">
        <v>0</v>
      </c>
      <c r="GM6" s="46">
        <v>0</v>
      </c>
      <c r="GN6" s="46">
        <v>0</v>
      </c>
      <c r="GO6" s="46">
        <v>0</v>
      </c>
      <c r="GP6" s="46">
        <v>-663368</v>
      </c>
      <c r="GQ6" s="46">
        <v>0</v>
      </c>
      <c r="GR6" s="46">
        <v>0</v>
      </c>
      <c r="GS6" s="46">
        <v>0</v>
      </c>
      <c r="GT6" s="46">
        <v>0</v>
      </c>
      <c r="GU6" s="46">
        <v>0</v>
      </c>
      <c r="GV6" s="46">
        <v>0</v>
      </c>
      <c r="GW6" s="46">
        <v>0</v>
      </c>
      <c r="GX6" s="46">
        <v>0</v>
      </c>
      <c r="GY6" s="46">
        <v>0</v>
      </c>
      <c r="GZ6" s="46">
        <v>0</v>
      </c>
      <c r="HA6" s="46">
        <v>0</v>
      </c>
      <c r="HB6" s="46">
        <v>0</v>
      </c>
      <c r="HC6" s="46">
        <v>0</v>
      </c>
      <c r="HD6" s="46">
        <v>0</v>
      </c>
      <c r="HE6" s="46">
        <v>0</v>
      </c>
      <c r="HF6" s="46">
        <v>0</v>
      </c>
      <c r="HG6" s="46">
        <v>0</v>
      </c>
      <c r="HH6" s="46">
        <v>-6331043</v>
      </c>
      <c r="HI6" s="46">
        <v>0</v>
      </c>
      <c r="HJ6" s="46">
        <v>0</v>
      </c>
      <c r="HK6" s="46">
        <v>0</v>
      </c>
      <c r="HL6" s="46">
        <v>0</v>
      </c>
      <c r="HM6" s="46">
        <v>0</v>
      </c>
      <c r="HN6" s="46">
        <v>0</v>
      </c>
      <c r="HO6" s="46">
        <v>0</v>
      </c>
      <c r="HP6" s="46">
        <v>24881114</v>
      </c>
      <c r="HQ6" s="46">
        <v>0</v>
      </c>
      <c r="HR6" s="46">
        <v>115042864</v>
      </c>
      <c r="HS6" s="46">
        <v>0</v>
      </c>
      <c r="HT6" s="46">
        <v>0</v>
      </c>
      <c r="HU6" s="46">
        <v>0</v>
      </c>
      <c r="HV6" s="46">
        <v>0</v>
      </c>
      <c r="HW6" s="46">
        <v>0</v>
      </c>
      <c r="HX6" s="46">
        <v>0</v>
      </c>
      <c r="HY6" s="46">
        <v>0</v>
      </c>
      <c r="HZ6" s="46">
        <v>0</v>
      </c>
      <c r="IA6" s="46">
        <v>0</v>
      </c>
      <c r="IB6" s="46">
        <v>0</v>
      </c>
      <c r="IC6" s="46">
        <v>0</v>
      </c>
      <c r="ID6" s="46">
        <v>0</v>
      </c>
      <c r="IE6" s="46">
        <v>0</v>
      </c>
      <c r="IF6" s="46">
        <v>0</v>
      </c>
      <c r="IG6" s="46">
        <v>0</v>
      </c>
      <c r="IH6" s="46">
        <v>0</v>
      </c>
      <c r="II6" s="46">
        <v>0</v>
      </c>
      <c r="IJ6" s="46">
        <v>0</v>
      </c>
      <c r="IK6" s="46">
        <v>0</v>
      </c>
      <c r="IL6" s="46">
        <v>0</v>
      </c>
      <c r="IM6" s="46">
        <v>0</v>
      </c>
      <c r="IN6" s="46">
        <v>0</v>
      </c>
      <c r="IO6" s="46">
        <v>0</v>
      </c>
      <c r="IP6" s="46">
        <v>1618462</v>
      </c>
      <c r="IQ6" s="46">
        <v>60929866</v>
      </c>
      <c r="IR6" s="46">
        <v>7106</v>
      </c>
      <c r="IS6" s="46">
        <v>27248010</v>
      </c>
      <c r="IT6" s="46">
        <v>2965</v>
      </c>
      <c r="IU6" s="46">
        <v>-605</v>
      </c>
      <c r="IV6" s="46">
        <v>0</v>
      </c>
      <c r="IW6" s="46">
        <v>0</v>
      </c>
      <c r="IX6" s="46">
        <v>0</v>
      </c>
      <c r="IY6" s="46">
        <v>0</v>
      </c>
      <c r="IZ6" s="46">
        <v>0</v>
      </c>
      <c r="JA6" s="46">
        <v>0</v>
      </c>
      <c r="JB6" s="46">
        <v>25000</v>
      </c>
      <c r="JC6" s="46">
        <v>0</v>
      </c>
      <c r="JD6" s="46">
        <v>0</v>
      </c>
      <c r="JE6" s="46">
        <v>0</v>
      </c>
      <c r="JF6" s="46">
        <v>0</v>
      </c>
      <c r="JG6" s="46">
        <v>0</v>
      </c>
      <c r="JH6" s="46">
        <v>0</v>
      </c>
      <c r="JI6" s="46">
        <v>2509344</v>
      </c>
      <c r="JJ6" s="46">
        <v>0</v>
      </c>
      <c r="JK6" s="46">
        <v>34638977</v>
      </c>
      <c r="JL6" s="46">
        <v>0</v>
      </c>
      <c r="JM6" s="46">
        <v>0</v>
      </c>
      <c r="JN6" s="46">
        <v>63000</v>
      </c>
      <c r="JO6" s="46">
        <v>0</v>
      </c>
      <c r="JP6" s="46">
        <v>0</v>
      </c>
      <c r="JQ6" s="46">
        <v>8602010</v>
      </c>
      <c r="JR6" s="46">
        <v>32472866</v>
      </c>
      <c r="JS6" s="46">
        <v>0</v>
      </c>
      <c r="JT6" s="46">
        <v>3542258</v>
      </c>
      <c r="JU6" s="46">
        <v>0</v>
      </c>
      <c r="JV6" s="46">
        <v>0</v>
      </c>
      <c r="JW6" s="46">
        <v>0</v>
      </c>
      <c r="JX6" s="46">
        <v>0</v>
      </c>
      <c r="JY6" s="46">
        <v>0</v>
      </c>
      <c r="JZ6" s="46">
        <v>0</v>
      </c>
      <c r="KA6" s="46">
        <v>0</v>
      </c>
      <c r="KB6" s="46">
        <v>60594739</v>
      </c>
      <c r="KC6" s="46">
        <v>0</v>
      </c>
      <c r="KD6" s="46">
        <v>0</v>
      </c>
      <c r="KE6" s="46">
        <v>0</v>
      </c>
      <c r="KF6" s="46">
        <v>0</v>
      </c>
      <c r="KG6" s="46">
        <v>0</v>
      </c>
      <c r="KH6" s="46">
        <v>0</v>
      </c>
      <c r="KI6" s="46">
        <v>12720</v>
      </c>
      <c r="KJ6" s="46">
        <v>9618883</v>
      </c>
      <c r="KK6" s="46">
        <v>0</v>
      </c>
      <c r="KL6" s="46">
        <v>2181416</v>
      </c>
      <c r="KM6" s="46">
        <v>1125</v>
      </c>
      <c r="KN6" s="46">
        <v>0</v>
      </c>
      <c r="KO6" s="46">
        <v>63404</v>
      </c>
      <c r="KP6" s="46">
        <v>0</v>
      </c>
      <c r="KQ6" s="46">
        <v>0</v>
      </c>
      <c r="KR6" s="46">
        <v>141094142</v>
      </c>
      <c r="KS6" s="46">
        <v>109907106</v>
      </c>
      <c r="KT6" s="46">
        <v>0</v>
      </c>
      <c r="KU6" s="46">
        <v>1578161</v>
      </c>
      <c r="KV6" s="46">
        <v>0</v>
      </c>
      <c r="KW6" s="46">
        <v>0</v>
      </c>
      <c r="KX6" s="46">
        <v>0</v>
      </c>
      <c r="KY6" s="46">
        <v>0</v>
      </c>
      <c r="KZ6" s="46">
        <v>0</v>
      </c>
      <c r="LA6" s="46">
        <v>17479702</v>
      </c>
      <c r="LB6" s="46">
        <v>38005531</v>
      </c>
      <c r="LC6" s="46">
        <v>0</v>
      </c>
      <c r="LD6" s="46">
        <v>95990450</v>
      </c>
      <c r="LE6" s="46">
        <v>0</v>
      </c>
      <c r="LF6" s="46">
        <v>0</v>
      </c>
      <c r="LG6" s="46">
        <v>0</v>
      </c>
      <c r="LH6" s="46">
        <v>0</v>
      </c>
      <c r="LI6" s="46">
        <v>0</v>
      </c>
      <c r="LJ6" s="46">
        <v>4456940</v>
      </c>
      <c r="LK6" s="46">
        <v>5711774</v>
      </c>
      <c r="LL6" s="46">
        <v>0</v>
      </c>
      <c r="LM6" s="46">
        <v>4386098</v>
      </c>
      <c r="LN6" s="46">
        <v>0</v>
      </c>
      <c r="LO6" s="46">
        <v>0</v>
      </c>
      <c r="LP6" s="46">
        <v>0</v>
      </c>
      <c r="LQ6" s="46">
        <v>0</v>
      </c>
      <c r="LR6" s="46">
        <v>0</v>
      </c>
      <c r="LS6" s="46">
        <v>0</v>
      </c>
      <c r="LT6" s="46">
        <v>0</v>
      </c>
      <c r="LU6" s="46">
        <v>0</v>
      </c>
      <c r="LV6" s="46">
        <v>0</v>
      </c>
      <c r="LW6" s="46">
        <v>0</v>
      </c>
      <c r="LX6" s="46">
        <v>0</v>
      </c>
      <c r="LY6" s="46">
        <v>0</v>
      </c>
      <c r="LZ6" s="46">
        <v>0</v>
      </c>
      <c r="MA6" s="46">
        <v>0</v>
      </c>
      <c r="MB6" s="46">
        <v>29915536</v>
      </c>
      <c r="MC6" s="46">
        <v>72020362</v>
      </c>
      <c r="MD6" s="46">
        <v>0</v>
      </c>
      <c r="ME6" s="46">
        <v>4475143</v>
      </c>
      <c r="MF6" s="46">
        <v>0</v>
      </c>
      <c r="MG6" s="46">
        <v>0</v>
      </c>
      <c r="MH6" s="46">
        <v>0</v>
      </c>
      <c r="MI6" s="46">
        <v>0</v>
      </c>
      <c r="MJ6" s="46">
        <v>0</v>
      </c>
      <c r="MK6" s="46">
        <v>281467</v>
      </c>
      <c r="ML6" s="46">
        <v>27277267</v>
      </c>
      <c r="MM6" s="46">
        <v>0</v>
      </c>
      <c r="MN6" s="46">
        <v>578114</v>
      </c>
      <c r="MO6" s="46">
        <v>628367</v>
      </c>
      <c r="MP6" s="46">
        <v>0</v>
      </c>
      <c r="MQ6" s="46">
        <v>0</v>
      </c>
      <c r="MR6" s="46">
        <v>0</v>
      </c>
      <c r="MS6" s="46">
        <v>0</v>
      </c>
      <c r="MT6" s="46">
        <v>16235916</v>
      </c>
      <c r="MU6" s="46">
        <v>38807987</v>
      </c>
      <c r="MV6" s="46">
        <v>0</v>
      </c>
      <c r="MW6" s="46">
        <v>2015514</v>
      </c>
      <c r="MX6" s="46">
        <v>0</v>
      </c>
      <c r="MY6" s="46">
        <v>0</v>
      </c>
      <c r="MZ6" s="46">
        <v>0</v>
      </c>
      <c r="NA6" s="46">
        <v>0</v>
      </c>
      <c r="NB6" s="46">
        <v>0</v>
      </c>
      <c r="NC6" s="46">
        <v>21364093</v>
      </c>
      <c r="ND6" s="46">
        <v>38987645</v>
      </c>
      <c r="NE6" s="46">
        <v>0</v>
      </c>
      <c r="NF6" s="46">
        <v>610190</v>
      </c>
      <c r="NG6" s="46">
        <v>0</v>
      </c>
      <c r="NH6" s="46">
        <v>0</v>
      </c>
      <c r="NI6" s="46">
        <v>2810841</v>
      </c>
      <c r="NJ6" s="46">
        <v>0</v>
      </c>
      <c r="NK6" s="46">
        <v>0</v>
      </c>
      <c r="NL6" s="46">
        <v>4123885</v>
      </c>
      <c r="NM6" s="46">
        <v>20666205</v>
      </c>
      <c r="NN6" s="46">
        <v>0</v>
      </c>
      <c r="NO6" s="46">
        <v>11419838</v>
      </c>
      <c r="NP6" s="46">
        <v>0</v>
      </c>
      <c r="NQ6" s="46">
        <v>0</v>
      </c>
      <c r="NR6" s="46">
        <v>0</v>
      </c>
      <c r="NS6" s="46">
        <v>0</v>
      </c>
      <c r="NT6" s="46">
        <v>0</v>
      </c>
      <c r="NU6" s="46">
        <v>0</v>
      </c>
      <c r="NV6" s="46">
        <v>0</v>
      </c>
      <c r="NW6" s="46">
        <v>59174743</v>
      </c>
      <c r="NX6" s="46">
        <v>0</v>
      </c>
      <c r="NY6" s="46">
        <v>0</v>
      </c>
      <c r="NZ6" s="46">
        <v>0</v>
      </c>
      <c r="OA6" s="46">
        <v>0</v>
      </c>
      <c r="OB6" s="46">
        <v>0</v>
      </c>
      <c r="OC6" s="46">
        <v>0</v>
      </c>
      <c r="OD6" s="46">
        <v>339163</v>
      </c>
      <c r="OE6" s="46">
        <v>12841366</v>
      </c>
      <c r="OF6" s="46">
        <v>1994432</v>
      </c>
      <c r="OG6" s="46">
        <v>9945400</v>
      </c>
      <c r="OH6" s="46">
        <v>0</v>
      </c>
      <c r="OI6" s="46">
        <v>0</v>
      </c>
      <c r="OJ6" s="46">
        <v>0</v>
      </c>
      <c r="OK6" s="46">
        <v>0</v>
      </c>
      <c r="OL6" s="46">
        <v>0</v>
      </c>
      <c r="OM6" s="46">
        <v>0</v>
      </c>
      <c r="ON6" s="46">
        <v>514244</v>
      </c>
      <c r="OO6" s="46">
        <v>1047</v>
      </c>
      <c r="OP6" s="46">
        <v>0</v>
      </c>
      <c r="OQ6" s="46">
        <v>0</v>
      </c>
      <c r="OR6" s="46">
        <v>0</v>
      </c>
      <c r="OS6" s="46">
        <v>36305</v>
      </c>
      <c r="OT6" s="46">
        <v>0</v>
      </c>
      <c r="OU6" s="46">
        <v>1163150</v>
      </c>
      <c r="OV6" s="46">
        <v>0</v>
      </c>
      <c r="OW6" s="46">
        <v>0</v>
      </c>
      <c r="OX6" s="46">
        <v>0</v>
      </c>
      <c r="OY6" s="46">
        <v>0</v>
      </c>
      <c r="OZ6" s="46">
        <v>0</v>
      </c>
      <c r="PA6" s="46">
        <v>0</v>
      </c>
      <c r="PB6" s="46">
        <v>-210039149</v>
      </c>
      <c r="PC6" s="46">
        <v>0</v>
      </c>
      <c r="PD6" s="46">
        <v>0</v>
      </c>
      <c r="PE6" s="46">
        <v>-1616676</v>
      </c>
      <c r="PF6" s="46">
        <v>20226046</v>
      </c>
      <c r="PG6" s="46">
        <v>6087479</v>
      </c>
      <c r="PH6" s="46">
        <v>-47992277</v>
      </c>
      <c r="PI6" s="46">
        <v>521221</v>
      </c>
      <c r="PJ6" s="46">
        <v>7479510</v>
      </c>
      <c r="PK6" s="46">
        <v>25617397</v>
      </c>
      <c r="PL6" s="46">
        <v>0</v>
      </c>
      <c r="PM6" s="46">
        <v>8048252</v>
      </c>
      <c r="PN6" s="46">
        <v>0</v>
      </c>
      <c r="PO6" s="46">
        <v>0</v>
      </c>
      <c r="PP6" s="46">
        <v>0</v>
      </c>
      <c r="PQ6" s="46">
        <v>0</v>
      </c>
      <c r="PR6" s="46">
        <v>0</v>
      </c>
      <c r="PS6" s="46">
        <v>0</v>
      </c>
      <c r="PT6" s="46">
        <v>202693988</v>
      </c>
      <c r="PU6" s="46">
        <v>0</v>
      </c>
      <c r="PV6" s="46">
        <v>0</v>
      </c>
      <c r="PW6" s="46">
        <v>-14634461</v>
      </c>
      <c r="PX6" s="46">
        <v>-15003455</v>
      </c>
      <c r="PY6" s="46">
        <v>-24917793</v>
      </c>
      <c r="PZ6" s="46">
        <v>-1823483</v>
      </c>
      <c r="QA6" s="46">
        <v>0</v>
      </c>
      <c r="QB6" s="46">
        <v>0</v>
      </c>
      <c r="QC6" s="46">
        <v>0</v>
      </c>
      <c r="QD6" s="46">
        <v>0</v>
      </c>
      <c r="QE6" s="46">
        <v>0</v>
      </c>
      <c r="QF6" s="46">
        <v>0</v>
      </c>
      <c r="QG6" s="46">
        <v>38629013</v>
      </c>
      <c r="QH6" s="46">
        <v>0</v>
      </c>
      <c r="QI6" s="46">
        <v>0</v>
      </c>
      <c r="QJ6" s="46">
        <v>0</v>
      </c>
      <c r="QK6" s="46">
        <v>50058424</v>
      </c>
      <c r="QL6" s="46">
        <v>0</v>
      </c>
      <c r="QM6" s="46">
        <v>0</v>
      </c>
      <c r="QN6" s="46">
        <v>0</v>
      </c>
      <c r="QO6" s="46">
        <v>0</v>
      </c>
      <c r="QP6" s="46">
        <v>0</v>
      </c>
      <c r="QQ6" s="46">
        <v>0</v>
      </c>
      <c r="QR6" s="46">
        <v>0</v>
      </c>
      <c r="QS6" s="46">
        <v>0</v>
      </c>
      <c r="QT6" s="46">
        <v>13182474</v>
      </c>
      <c r="QU6" s="46">
        <v>0</v>
      </c>
      <c r="QV6" s="46">
        <v>0</v>
      </c>
      <c r="QW6" s="46">
        <v>0</v>
      </c>
      <c r="QX6" s="46">
        <v>0</v>
      </c>
      <c r="QY6" s="46">
        <v>0</v>
      </c>
      <c r="QZ6" s="46">
        <v>0</v>
      </c>
      <c r="RA6" s="46">
        <v>0</v>
      </c>
      <c r="RB6" s="46">
        <v>0</v>
      </c>
      <c r="RC6" s="46">
        <v>0</v>
      </c>
      <c r="RD6" s="46">
        <v>0</v>
      </c>
      <c r="RE6" s="46">
        <v>0</v>
      </c>
      <c r="RF6" s="46">
        <v>0</v>
      </c>
      <c r="RG6" s="46">
        <v>0</v>
      </c>
      <c r="RH6" s="46">
        <v>0</v>
      </c>
      <c r="RI6" s="46">
        <v>0</v>
      </c>
      <c r="RJ6" s="46">
        <v>0</v>
      </c>
      <c r="RK6" s="46">
        <v>0</v>
      </c>
      <c r="RL6" s="46">
        <v>0</v>
      </c>
      <c r="RM6" s="46">
        <v>0</v>
      </c>
      <c r="RN6" s="46">
        <v>0</v>
      </c>
      <c r="RO6" s="46">
        <v>-102699091</v>
      </c>
      <c r="RP6" s="46">
        <v>0</v>
      </c>
      <c r="RQ6" s="46">
        <v>0</v>
      </c>
      <c r="RR6" s="46">
        <v>0</v>
      </c>
      <c r="RS6" s="46">
        <v>0</v>
      </c>
      <c r="RT6" s="46">
        <v>0</v>
      </c>
      <c r="RU6" s="46">
        <v>0</v>
      </c>
      <c r="RV6" s="46">
        <v>0</v>
      </c>
      <c r="RW6" s="46">
        <v>0</v>
      </c>
      <c r="RX6" s="46">
        <v>0</v>
      </c>
      <c r="RY6" s="46">
        <v>0</v>
      </c>
      <c r="RZ6" s="46">
        <v>0</v>
      </c>
      <c r="SA6" s="46">
        <v>0</v>
      </c>
      <c r="SB6" s="46">
        <v>0</v>
      </c>
      <c r="SC6" s="46">
        <v>0</v>
      </c>
      <c r="SD6" s="46">
        <v>0</v>
      </c>
      <c r="SE6" s="46">
        <v>0</v>
      </c>
      <c r="SF6" s="46">
        <v>0</v>
      </c>
      <c r="SG6" s="46">
        <v>0</v>
      </c>
      <c r="SH6" s="46">
        <v>0</v>
      </c>
      <c r="SI6" s="46">
        <v>0</v>
      </c>
      <c r="SJ6" s="46">
        <v>0</v>
      </c>
      <c r="SK6" s="46">
        <v>0</v>
      </c>
      <c r="SL6" s="46">
        <v>0</v>
      </c>
      <c r="SM6" s="46">
        <v>0</v>
      </c>
      <c r="SN6" s="46">
        <v>0</v>
      </c>
      <c r="SO6" s="46">
        <v>0</v>
      </c>
      <c r="SP6" s="46">
        <v>0</v>
      </c>
      <c r="SQ6" s="46">
        <v>0</v>
      </c>
      <c r="SR6" s="46">
        <v>0</v>
      </c>
      <c r="SS6" s="46">
        <v>0</v>
      </c>
      <c r="ST6" s="46">
        <v>0</v>
      </c>
      <c r="SU6" s="46">
        <v>0</v>
      </c>
      <c r="SV6" s="46">
        <v>0</v>
      </c>
      <c r="SW6" s="46">
        <v>0</v>
      </c>
      <c r="SX6" s="46">
        <v>0</v>
      </c>
      <c r="SY6" s="46">
        <v>235159510</v>
      </c>
      <c r="SZ6" s="46">
        <v>707506</v>
      </c>
      <c r="TA6" s="46">
        <v>11728541</v>
      </c>
      <c r="TB6" s="46">
        <v>269630</v>
      </c>
      <c r="TC6" s="46">
        <v>0</v>
      </c>
      <c r="TD6" s="46">
        <v>8141479</v>
      </c>
      <c r="TE6" s="46">
        <v>178959</v>
      </c>
      <c r="TF6" s="46">
        <v>1173475</v>
      </c>
      <c r="TG6" s="46">
        <v>926339</v>
      </c>
      <c r="TH6" s="46">
        <v>0</v>
      </c>
      <c r="TI6" s="46">
        <v>1994432</v>
      </c>
      <c r="TJ6" s="46">
        <v>1856500</v>
      </c>
      <c r="TK6" s="46">
        <v>0</v>
      </c>
      <c r="TL6" s="46">
        <v>1848419</v>
      </c>
      <c r="TM6" s="46">
        <v>253887</v>
      </c>
      <c r="TN6" s="46">
        <v>0</v>
      </c>
      <c r="TO6" s="46">
        <v>0</v>
      </c>
      <c r="TP6" s="46">
        <v>0</v>
      </c>
      <c r="TQ6" s="46">
        <v>0</v>
      </c>
      <c r="TR6" s="46">
        <v>0</v>
      </c>
      <c r="TS6" s="46">
        <v>0</v>
      </c>
      <c r="TT6" s="46">
        <v>0</v>
      </c>
      <c r="TU6" s="46">
        <v>447714</v>
      </c>
      <c r="TV6" s="46">
        <v>0</v>
      </c>
      <c r="TW6" s="46">
        <v>0</v>
      </c>
      <c r="TX6" s="46">
        <v>0</v>
      </c>
      <c r="TY6" s="46">
        <v>0</v>
      </c>
      <c r="TZ6" s="46">
        <v>0</v>
      </c>
      <c r="UA6" s="46">
        <v>0</v>
      </c>
      <c r="UB6" s="46">
        <v>0</v>
      </c>
      <c r="UC6" s="46">
        <v>0</v>
      </c>
      <c r="UD6" s="46">
        <v>0</v>
      </c>
      <c r="UE6" s="46">
        <v>252579409</v>
      </c>
      <c r="UF6" s="46">
        <v>151475683</v>
      </c>
      <c r="UG6" s="46">
        <v>14554812</v>
      </c>
      <c r="UH6" s="46">
        <v>0</v>
      </c>
      <c r="UI6" s="46">
        <v>106411041</v>
      </c>
      <c r="UJ6" s="46">
        <v>28765215</v>
      </c>
      <c r="UK6" s="46">
        <v>57059417</v>
      </c>
      <c r="UL6" s="46">
        <v>63772769</v>
      </c>
      <c r="UM6" s="46">
        <v>36209928</v>
      </c>
      <c r="UN6" s="46">
        <v>59174743</v>
      </c>
      <c r="UO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25120361</v>
      </c>
      <c r="UP6" s="46">
        <f>SUM(Input[[#This Row],[Oth Exp E&amp;G]],Input[[#This Row],[Oth Exp Desg]],Input[[#This Row],[Oth Exp Aux]],Input[[#This Row],[Oth Exp R Exp]],Input[[#This Row],[Oth Exp Loan]],Input[[#This Row],[Oth Exp Annuity]],Input[[#This Row],[Oth Exp Unexp]],Input[[#This Row],[Oth Exp R of Ind]],Input[[#This Row],[Oth Exp Inv in P]])</f>
        <v>1714746</v>
      </c>
      <c r="UQ6" s="46"/>
      <c r="UR6" s="46"/>
      <c r="US6" s="8" t="s">
        <v>829</v>
      </c>
      <c r="UT6" s="47">
        <v>9728832632</v>
      </c>
      <c r="UU6" s="8" t="s">
        <v>97</v>
      </c>
      <c r="UV6" s="8" t="s">
        <v>830</v>
      </c>
      <c r="UW6" s="47" t="s">
        <v>1310</v>
      </c>
      <c r="UX6" s="8" t="s">
        <v>831</v>
      </c>
      <c r="UY6" s="51" cm="1">
        <f t="array" ref="UY6">IFERROR(_xlfn.IFS(Input[[#This Row],[Type]]="HRI",SUMIFS('FTSE | FTFE'!$P$8:$P$77,'FTSE | FTFE'!$H$8:$H$77,A6),Input[[#This Row],[Type]]="UNIV",SUMIFS('FTSE | FTFE'!$P$104:$P$139,'FTSE | FTFE'!$H$104:$H$139,A6),OR(Input[[#This Row],[Type]]="TSTC",Input[[#This Row],[Type]]="LSC"),SUMIFS('FTSE | FTFE'!$O$88:$O$96,'FTSE | FTFE'!$H$88:$H$96,A6),Input[[#This Row],[Type]]="AHM",SUMIFS(Hidden!$H$42:$H$45,Hidden!$G$42:$G$45,A6)),"N/A")</f>
        <v>25477</v>
      </c>
      <c r="UZ6" s="51" cm="1">
        <f t="array" ref="UZ6">IFERROR(_xlfn.IFS(Input[[#This Row],[Type]]="HRI",SUMIFS('FTSE | FTFE'!$Q$8:$Q$77,'FTSE | FTFE'!$H$8:$H$77,A6),Input[[#This Row],[Type]]="UNIV",SUMIFS('FTSE | FTFE'!$Q$104:$Q$139,'FTSE | FTFE'!$H$104:$H$139,A6),OR(Input[[#This Row],[Type]]="TSTC",Input[[#This Row],[Type]]="LSC"),SUMIFS('FTSE | FTFE'!$P$88:$P$96,'FTSE | FTFE'!$H$88:$H$96,A6)),"N/A")</f>
        <v>557</v>
      </c>
      <c r="VA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314175104</v>
      </c>
      <c r="VB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6" s="46">
        <f>SUM(Input[[#This Row],[Fed G&amp;C E&amp;G]],Input[[#This Row],[Fed G&amp;C Desg]],Input[[#This Row],[Fed G&amp;C R Exp]],Input[[#This Row],[Fed G&amp;C Loan]],Input[[#This Row],[Fed G&amp;C Annuity]],Input[[#This Row],[Fed G&amp;C Unexp]],Input[[#This Row],[Fed G&amp;C R of Ind]],Input[[#This Row],[Fed G&amp;C Inv in P]])</f>
        <v>139923978</v>
      </c>
      <c r="VD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183529701</v>
      </c>
      <c r="VE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207856848</v>
      </c>
      <c r="VF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90365103</v>
      </c>
      <c r="VG6" s="46">
        <f>SUM(Input[[#This Row],[Oth Inc E&amp;G]],Input[[#This Row],[Oth Exp Desg]],Input[[#This Row],[Oth Exp R Exp]],Input[[#This Row],[Oth Exp Loan]],Input[[#This Row],[Oth Exp Annuity]],Input[[#This Row],[Oth Exp Unexp]],Input[[#This Row],[Oth Exp R of Ind]],Input[[#This Row],[Oth Exp Inv in P]])</f>
        <v>1726419</v>
      </c>
      <c r="VH6" s="46">
        <f>SUM(Input[[#This Row],[Instr E&amp;G]],Input[[#This Row],[Instr Desg]],Input[[#This Row],[Instr R Exp]],Input[[#This Row],[Instr Loan]],Input[[#This Row],[Instr Annuity]],Input[[#This Row],[Instr Unexp]],Input[[#This Row],[Instr R of Ind]],Input[[#This Row],[Instr Inv in P]])</f>
        <v>252579409</v>
      </c>
      <c r="VI6" s="46">
        <f>SUM(Input[[#This Row],[Res E&amp;G]],Input[[#This Row],[Res Desg]],Input[[#This Row],[Res R Exp]],Input[[#This Row],[Res Loan]],Input[[#This Row],[Res Annuity]],Input[[#This Row],[Res Unexp]],Input[[#This Row],[Res R of Ind]],Input[[#This Row],[Res Inv in P]])</f>
        <v>151475683</v>
      </c>
      <c r="VJ6" s="46">
        <f>SUM(Input[[#This Row],[Acad Sup E&amp;G]],Input[[#This Row],[Acad Sup Desg]],Input[[#This Row],[Acad Sup R Exp]],Input[[#This Row],[Acad Sup Loan]],Input[[#This Row],[Acad Sup Annuity]],Input[[#This Row],[Acad Sup Unexp]],Input[[#This Row],[Acad Sup R of Ind]],Input[[#This Row],[Acad Sup Inv in P]])</f>
        <v>106411041</v>
      </c>
      <c r="VK6" s="46">
        <f>SUM(Input[[#This Row],[Stu Svc E&amp;G]],Input[[#This Row],[Stu Svc Desg]],Input[[#This Row],[Stu Svc R Exp]],Input[[#This Row],[Stu Svc Loan]],Input[[#This Row],[Stu Svc Annuity]],Input[[#This Row],[Stu Svc Unexp]],Input[[#This Row],[Stu Svc R of Ind]],Input[[#This Row],[Stu Svc Inv in P]])</f>
        <v>28765215</v>
      </c>
      <c r="VL6" s="46">
        <f>SUM(Input[[#This Row],[Inst. Spt E&amp;G]],Input[[#This Row],[Inst. Spt Desg]],Input[[#This Row],[Inst. Spt R Exp]],Input[[#This Row],[Inst. Spt Loan]],Input[[#This Row],[Inst. Spt Annuity]],Input[[#This Row],[Inst. Spt Unexp]],Input[[#This Row],[Inst. Spt R of Ind]],Input[[#This Row],[Inst. Spt Inv in P]])</f>
        <v>57059417</v>
      </c>
      <c r="VM6" s="46">
        <f>SUM(Input[[#This Row],[M&amp;O Plnt E&amp;G]],Input[[#This Row],[M&amp;O Plnt Desg]],Input[[#This Row],[M&amp;O Plnt R Exp]],Input[[#This Row],[M&amp;O Plnt Loan]],Input[[#This Row],[M&amp;O Plnt Annuity]],Input[[#This Row],[M&amp;O Plnt Unexp]],Input[[#This Row],[M&amp;O Plnt R of Ind]],Input[[#This Row],[M&amp;O Plnt Inv in P]])</f>
        <v>63772769</v>
      </c>
      <c r="VN6" s="46">
        <f>SUM(Input[[#This Row],[Schl &amp; Fell E&amp;G]],Input[[#This Row],[Schl &amp; Fell Desg]],Input[[#This Row],[Schl &amp; Fell R Exp]],Input[[#This Row],[Schl &amp; Fell Loan]],Input[[#This Row],[Schl &amp; Fell Annuity]],Input[[#This Row],[Schl &amp; Fell Unexp]],Input[[#This Row],[Schl &amp; Fell R of Ind]],Input[[#This Row],[Schl &amp; Fell Inv in P]])</f>
        <v>36209928</v>
      </c>
      <c r="VO6" s="46">
        <f>SUM(Input[[#This Row],[Cap Out fund E&amp;G]],Input[[#This Row],[Cap Out fund Desg]],Input[[#This Row],[Cap Out fund R Exp]],Input[[#This Row],[Cap Out fund Loan]],Input[[#This Row],[Cap Out fund Annuity]],Input[[#This Row],[Cap Out fund Unexp]],Input[[#This Row],[Cap Out fund R of Ind]],Input[[#This Row],[Cap Out fund Inv in P]])</f>
        <v>23125929</v>
      </c>
      <c r="VP6" s="46">
        <f>SUM(Input[[#This Row],[Oth Exp E&amp;G]],Input[[#This Row],[Oth Exp Desg]],Input[[#This Row],[Oth Exp R Exp]],Input[[#This Row],[Oth Exp Loan]],Input[[#This Row],[Oth Exp Annuity]],Input[[#This Row],[Oth Exp Unexp]],Input[[#This Row],[Oth Exp R of Ind]],Input[[#This Row],[Oth Exp Inv in P]],Input[[#This Row],[Oth Exp Inv in P]])</f>
        <v>2876849</v>
      </c>
    </row>
    <row r="7" spans="1:588" ht="30" customHeight="1" x14ac:dyDescent="0.3">
      <c r="A7" s="15" t="s">
        <v>55</v>
      </c>
      <c r="B7" s="36" t="s">
        <v>118</v>
      </c>
      <c r="C7" s="36" t="s">
        <v>110</v>
      </c>
      <c r="D7" s="36">
        <v>105</v>
      </c>
      <c r="E7" s="36" t="s">
        <v>132</v>
      </c>
      <c r="F7" s="95" cm="1">
        <f t="array" ref="F7">IFERROR(_xlfn.IFS(Input[[#This Row],[Type]]="HRI",SUMIFS('FTSE | FTFE'!$I$8:$I$77,'FTSE | FTFE'!$H$8:$H$77,A7),Input[[#This Row],[Type]]="UNIV",SUMIFS('FTSE | FTFE'!$I$104:$I$139,'FTSE | FTFE'!$H$104:$H$139,A7),OR(Input[[#This Row],[Type]]="TSTC",Input[[#This Row],[Type]]="LSC"),SUMIFS('FTSE | FTFE'!$I$88:$I$96,'FTSE | FTFE'!$H$88:$H$96,A7)),"N/A")</f>
        <v>3661</v>
      </c>
      <c r="G7" s="46">
        <v>141890747</v>
      </c>
      <c r="H7" s="46">
        <v>0</v>
      </c>
      <c r="I7" s="46">
        <v>0</v>
      </c>
      <c r="J7" s="46">
        <v>0</v>
      </c>
      <c r="K7" s="46">
        <v>0</v>
      </c>
      <c r="L7" s="46">
        <v>0</v>
      </c>
      <c r="M7" s="46">
        <v>0</v>
      </c>
      <c r="N7" s="46">
        <v>0</v>
      </c>
      <c r="O7" s="46">
        <v>0</v>
      </c>
      <c r="P7" s="46">
        <v>34004817</v>
      </c>
      <c r="Q7" s="46">
        <v>20242213</v>
      </c>
      <c r="R7" s="46">
        <v>0</v>
      </c>
      <c r="S7" s="46">
        <v>2161990</v>
      </c>
      <c r="T7" s="46">
        <v>0</v>
      </c>
      <c r="U7" s="46">
        <v>0</v>
      </c>
      <c r="V7" s="46">
        <v>0</v>
      </c>
      <c r="W7" s="46">
        <v>0</v>
      </c>
      <c r="X7" s="46">
        <v>0</v>
      </c>
      <c r="Y7" s="46">
        <v>0</v>
      </c>
      <c r="Z7" s="46">
        <v>0</v>
      </c>
      <c r="AA7" s="46">
        <v>0</v>
      </c>
      <c r="AB7" s="46">
        <v>0</v>
      </c>
      <c r="AC7" s="46">
        <v>0</v>
      </c>
      <c r="AD7" s="46">
        <v>0</v>
      </c>
      <c r="AE7" s="46">
        <v>0</v>
      </c>
      <c r="AF7" s="46">
        <v>0</v>
      </c>
      <c r="AG7" s="46">
        <v>0</v>
      </c>
      <c r="AH7" s="46">
        <v>0</v>
      </c>
      <c r="AI7" s="46">
        <v>0</v>
      </c>
      <c r="AJ7" s="46">
        <v>0</v>
      </c>
      <c r="AK7" s="46">
        <v>0</v>
      </c>
      <c r="AL7" s="46">
        <v>0</v>
      </c>
      <c r="AM7" s="46">
        <v>0</v>
      </c>
      <c r="AN7" s="46">
        <v>0</v>
      </c>
      <c r="AO7" s="46">
        <v>0</v>
      </c>
      <c r="AP7" s="46">
        <v>0</v>
      </c>
      <c r="AQ7" s="46">
        <v>-21302859</v>
      </c>
      <c r="AR7" s="46">
        <v>-38527</v>
      </c>
      <c r="AS7" s="46">
        <v>0</v>
      </c>
      <c r="AT7" s="46">
        <v>0</v>
      </c>
      <c r="AU7" s="46">
        <v>0</v>
      </c>
      <c r="AV7" s="46">
        <v>0</v>
      </c>
      <c r="AW7" s="46">
        <v>0</v>
      </c>
      <c r="AX7" s="46">
        <v>0</v>
      </c>
      <c r="AY7" s="46">
        <v>0</v>
      </c>
      <c r="AZ7" s="46">
        <v>0</v>
      </c>
      <c r="BA7" s="46">
        <v>0</v>
      </c>
      <c r="BB7" s="46">
        <v>0</v>
      </c>
      <c r="BC7" s="46">
        <v>0</v>
      </c>
      <c r="BD7" s="46">
        <v>0</v>
      </c>
      <c r="BE7" s="46">
        <v>0</v>
      </c>
      <c r="BF7" s="46">
        <v>0</v>
      </c>
      <c r="BG7" s="46">
        <v>0</v>
      </c>
      <c r="BH7" s="46">
        <v>0</v>
      </c>
      <c r="BI7" s="46">
        <v>0</v>
      </c>
      <c r="BJ7" s="46">
        <v>0</v>
      </c>
      <c r="BK7" s="46">
        <v>0</v>
      </c>
      <c r="BL7" s="46">
        <v>0</v>
      </c>
      <c r="BM7" s="46">
        <v>0</v>
      </c>
      <c r="BN7" s="46">
        <v>0</v>
      </c>
      <c r="BO7" s="46">
        <v>0</v>
      </c>
      <c r="BP7" s="46">
        <v>0</v>
      </c>
      <c r="BQ7" s="46">
        <v>0</v>
      </c>
      <c r="BR7" s="46">
        <v>0</v>
      </c>
      <c r="BS7" s="46">
        <v>0</v>
      </c>
      <c r="BT7" s="46">
        <v>0</v>
      </c>
      <c r="BU7" s="46">
        <v>0</v>
      </c>
      <c r="BV7" s="46">
        <v>0</v>
      </c>
      <c r="BW7" s="46">
        <v>0</v>
      </c>
      <c r="BX7" s="46">
        <v>0</v>
      </c>
      <c r="BY7" s="46">
        <v>0</v>
      </c>
      <c r="BZ7" s="46">
        <v>0</v>
      </c>
      <c r="CA7" s="46">
        <v>35832368</v>
      </c>
      <c r="CB7" s="46">
        <v>124696974</v>
      </c>
      <c r="CC7" s="46">
        <v>0</v>
      </c>
      <c r="CD7" s="46">
        <v>0</v>
      </c>
      <c r="CE7" s="46">
        <v>0</v>
      </c>
      <c r="CF7" s="46">
        <v>0</v>
      </c>
      <c r="CG7" s="46">
        <v>0</v>
      </c>
      <c r="CH7" s="46">
        <v>0</v>
      </c>
      <c r="CI7" s="46">
        <v>0</v>
      </c>
      <c r="CJ7" s="46">
        <v>0</v>
      </c>
      <c r="CK7" s="46">
        <v>0</v>
      </c>
      <c r="CL7" s="46">
        <v>0</v>
      </c>
      <c r="CM7" s="46">
        <v>0</v>
      </c>
      <c r="CN7" s="46">
        <v>0</v>
      </c>
      <c r="CO7" s="46">
        <v>0</v>
      </c>
      <c r="CP7" s="46">
        <v>0</v>
      </c>
      <c r="CQ7" s="46">
        <v>0</v>
      </c>
      <c r="CR7" s="46">
        <v>0</v>
      </c>
      <c r="CS7" s="46">
        <v>0</v>
      </c>
      <c r="CT7" s="46">
        <v>0</v>
      </c>
      <c r="CU7" s="46">
        <v>0</v>
      </c>
      <c r="CV7" s="46">
        <v>0</v>
      </c>
      <c r="CW7" s="46">
        <v>0</v>
      </c>
      <c r="CX7" s="46">
        <v>0</v>
      </c>
      <c r="CY7" s="46">
        <v>0</v>
      </c>
      <c r="CZ7" s="46">
        <v>0</v>
      </c>
      <c r="DA7" s="46">
        <v>0</v>
      </c>
      <c r="DB7" s="46">
        <v>-1316212</v>
      </c>
      <c r="DC7" s="46">
        <v>-4573139</v>
      </c>
      <c r="DD7" s="46">
        <v>0</v>
      </c>
      <c r="DE7" s="46">
        <v>0</v>
      </c>
      <c r="DF7" s="46">
        <v>0</v>
      </c>
      <c r="DG7" s="46">
        <v>0</v>
      </c>
      <c r="DH7" s="46">
        <v>0</v>
      </c>
      <c r="DI7" s="46">
        <v>0</v>
      </c>
      <c r="DJ7" s="46">
        <v>0</v>
      </c>
      <c r="DK7" s="46">
        <v>0</v>
      </c>
      <c r="DL7" s="46">
        <v>0</v>
      </c>
      <c r="DM7" s="46">
        <v>0</v>
      </c>
      <c r="DN7" s="46">
        <v>0</v>
      </c>
      <c r="DO7" s="46">
        <v>0</v>
      </c>
      <c r="DP7" s="46">
        <v>0</v>
      </c>
      <c r="DQ7" s="46">
        <v>0</v>
      </c>
      <c r="DR7" s="46">
        <v>0</v>
      </c>
      <c r="DS7" s="46">
        <v>0</v>
      </c>
      <c r="DT7" s="46">
        <v>-20081302</v>
      </c>
      <c r="DU7" s="46">
        <v>-69891962</v>
      </c>
      <c r="DV7" s="46">
        <v>0</v>
      </c>
      <c r="DW7" s="46">
        <v>0</v>
      </c>
      <c r="DX7" s="46">
        <v>0</v>
      </c>
      <c r="DY7" s="46">
        <v>0</v>
      </c>
      <c r="DZ7" s="46">
        <v>0</v>
      </c>
      <c r="EA7" s="46">
        <v>0</v>
      </c>
      <c r="EB7" s="46">
        <v>0</v>
      </c>
      <c r="EC7" s="46">
        <v>0</v>
      </c>
      <c r="ED7" s="46">
        <v>-14105</v>
      </c>
      <c r="EE7" s="46">
        <v>-1350</v>
      </c>
      <c r="EF7" s="46">
        <v>0</v>
      </c>
      <c r="EG7" s="46">
        <v>0</v>
      </c>
      <c r="EH7" s="46">
        <v>0</v>
      </c>
      <c r="EI7" s="46">
        <v>0</v>
      </c>
      <c r="EJ7" s="46">
        <v>0</v>
      </c>
      <c r="EK7" s="46">
        <v>0</v>
      </c>
      <c r="EL7" s="46">
        <v>0</v>
      </c>
      <c r="EM7" s="46">
        <v>0</v>
      </c>
      <c r="EN7" s="46">
        <v>0</v>
      </c>
      <c r="EO7" s="46">
        <v>0</v>
      </c>
      <c r="EP7" s="46">
        <v>0</v>
      </c>
      <c r="EQ7" s="46">
        <v>0</v>
      </c>
      <c r="ER7" s="46">
        <v>0</v>
      </c>
      <c r="ES7" s="46">
        <v>0</v>
      </c>
      <c r="ET7" s="46">
        <v>0</v>
      </c>
      <c r="EU7" s="46">
        <v>0</v>
      </c>
      <c r="EV7" s="46">
        <v>0</v>
      </c>
      <c r="EW7" s="46">
        <v>0</v>
      </c>
      <c r="EX7" s="46">
        <v>0</v>
      </c>
      <c r="EY7" s="46">
        <v>0</v>
      </c>
      <c r="EZ7" s="46">
        <v>0</v>
      </c>
      <c r="FA7" s="46">
        <v>0</v>
      </c>
      <c r="FB7" s="46">
        <v>0</v>
      </c>
      <c r="FC7" s="46">
        <v>0</v>
      </c>
      <c r="FD7" s="46">
        <v>0</v>
      </c>
      <c r="FE7" s="46">
        <v>0</v>
      </c>
      <c r="FF7" s="46">
        <v>0</v>
      </c>
      <c r="FG7" s="46">
        <v>0</v>
      </c>
      <c r="FH7" s="46">
        <v>0</v>
      </c>
      <c r="FI7" s="46">
        <v>0</v>
      </c>
      <c r="FJ7" s="46">
        <v>0</v>
      </c>
      <c r="FK7" s="46">
        <v>0</v>
      </c>
      <c r="FL7" s="46">
        <v>0</v>
      </c>
      <c r="FM7" s="46">
        <v>0</v>
      </c>
      <c r="FN7" s="46">
        <v>49878941</v>
      </c>
      <c r="FO7" s="46">
        <v>12986973</v>
      </c>
      <c r="FP7" s="46">
        <v>0</v>
      </c>
      <c r="FQ7" s="46">
        <v>0</v>
      </c>
      <c r="FR7" s="46">
        <v>0</v>
      </c>
      <c r="FS7" s="46">
        <v>0</v>
      </c>
      <c r="FT7" s="46">
        <v>0</v>
      </c>
      <c r="FU7" s="46">
        <v>0</v>
      </c>
      <c r="FV7" s="46">
        <v>0</v>
      </c>
      <c r="FW7" s="46">
        <v>0</v>
      </c>
      <c r="FX7" s="46">
        <v>0</v>
      </c>
      <c r="FY7" s="46">
        <v>0</v>
      </c>
      <c r="FZ7" s="46">
        <v>0</v>
      </c>
      <c r="GA7" s="46">
        <v>0</v>
      </c>
      <c r="GB7" s="46">
        <v>0</v>
      </c>
      <c r="GC7" s="46">
        <v>0</v>
      </c>
      <c r="GD7" s="46">
        <v>0</v>
      </c>
      <c r="GE7" s="46">
        <v>0</v>
      </c>
      <c r="GF7" s="46">
        <v>0</v>
      </c>
      <c r="GG7" s="46">
        <v>0</v>
      </c>
      <c r="GH7" s="46">
        <v>0</v>
      </c>
      <c r="GI7" s="46">
        <v>0</v>
      </c>
      <c r="GJ7" s="46">
        <v>0</v>
      </c>
      <c r="GK7" s="46">
        <v>0</v>
      </c>
      <c r="GL7" s="46">
        <v>0</v>
      </c>
      <c r="GM7" s="46">
        <v>0</v>
      </c>
      <c r="GN7" s="46">
        <v>0</v>
      </c>
      <c r="GO7" s="46">
        <v>-1781301</v>
      </c>
      <c r="GP7" s="46">
        <v>-162988</v>
      </c>
      <c r="GQ7" s="46">
        <v>0</v>
      </c>
      <c r="GR7" s="46">
        <v>0</v>
      </c>
      <c r="GS7" s="46">
        <v>0</v>
      </c>
      <c r="GT7" s="46">
        <v>0</v>
      </c>
      <c r="GU7" s="46">
        <v>0</v>
      </c>
      <c r="GV7" s="46">
        <v>0</v>
      </c>
      <c r="GW7" s="46">
        <v>0</v>
      </c>
      <c r="GX7" s="46">
        <v>0</v>
      </c>
      <c r="GY7" s="46">
        <v>0</v>
      </c>
      <c r="GZ7" s="46">
        <v>0</v>
      </c>
      <c r="HA7" s="46">
        <v>0</v>
      </c>
      <c r="HB7" s="46">
        <v>0</v>
      </c>
      <c r="HC7" s="46">
        <v>0</v>
      </c>
      <c r="HD7" s="46">
        <v>0</v>
      </c>
      <c r="HE7" s="46">
        <v>0</v>
      </c>
      <c r="HF7" s="46">
        <v>0</v>
      </c>
      <c r="HG7" s="46">
        <v>-28002654</v>
      </c>
      <c r="HH7" s="46">
        <v>-7592261</v>
      </c>
      <c r="HI7" s="46">
        <v>0</v>
      </c>
      <c r="HJ7" s="46">
        <v>0</v>
      </c>
      <c r="HK7" s="46">
        <v>0</v>
      </c>
      <c r="HL7" s="46">
        <v>0</v>
      </c>
      <c r="HM7" s="46">
        <v>0</v>
      </c>
      <c r="HN7" s="46">
        <v>0</v>
      </c>
      <c r="HO7" s="46">
        <v>0</v>
      </c>
      <c r="HP7" s="46">
        <v>17805269</v>
      </c>
      <c r="HQ7" s="46">
        <v>0</v>
      </c>
      <c r="HR7" s="46">
        <v>159323987</v>
      </c>
      <c r="HS7" s="46">
        <v>0</v>
      </c>
      <c r="HT7" s="46">
        <v>0</v>
      </c>
      <c r="HU7" s="46">
        <v>0</v>
      </c>
      <c r="HV7" s="46">
        <v>0</v>
      </c>
      <c r="HW7" s="46">
        <v>0</v>
      </c>
      <c r="HX7" s="46">
        <v>0</v>
      </c>
      <c r="HY7" s="46">
        <v>0</v>
      </c>
      <c r="HZ7" s="46">
        <v>0</v>
      </c>
      <c r="IA7" s="46">
        <v>0</v>
      </c>
      <c r="IB7" s="46">
        <v>0</v>
      </c>
      <c r="IC7" s="46">
        <v>0</v>
      </c>
      <c r="ID7" s="46">
        <v>0</v>
      </c>
      <c r="IE7" s="46">
        <v>0</v>
      </c>
      <c r="IF7" s="46">
        <v>0</v>
      </c>
      <c r="IG7" s="46">
        <v>0</v>
      </c>
      <c r="IH7" s="46">
        <v>0</v>
      </c>
      <c r="II7" s="46">
        <v>0</v>
      </c>
      <c r="IJ7" s="46">
        <v>0</v>
      </c>
      <c r="IK7" s="46">
        <v>0</v>
      </c>
      <c r="IL7" s="46">
        <v>0</v>
      </c>
      <c r="IM7" s="46">
        <v>0</v>
      </c>
      <c r="IN7" s="46">
        <v>0</v>
      </c>
      <c r="IO7" s="46">
        <v>0</v>
      </c>
      <c r="IP7" s="46">
        <v>852713</v>
      </c>
      <c r="IQ7" s="46">
        <v>21999825</v>
      </c>
      <c r="IR7" s="46">
        <v>1792153</v>
      </c>
      <c r="IS7" s="46">
        <v>14674457</v>
      </c>
      <c r="IT7" s="46">
        <v>14474</v>
      </c>
      <c r="IU7" s="46">
        <v>26137</v>
      </c>
      <c r="IV7" s="46">
        <v>481942</v>
      </c>
      <c r="IW7" s="46">
        <v>0</v>
      </c>
      <c r="IX7" s="46">
        <v>0</v>
      </c>
      <c r="IY7" s="46">
        <v>0</v>
      </c>
      <c r="IZ7" s="46">
        <v>317950</v>
      </c>
      <c r="JA7" s="46">
        <v>0</v>
      </c>
      <c r="JB7" s="46">
        <v>1592176</v>
      </c>
      <c r="JC7" s="46">
        <v>0</v>
      </c>
      <c r="JD7" s="46">
        <v>0</v>
      </c>
      <c r="JE7" s="46">
        <v>0</v>
      </c>
      <c r="JF7" s="46">
        <v>0</v>
      </c>
      <c r="JG7" s="46">
        <v>0</v>
      </c>
      <c r="JH7" s="46">
        <v>0</v>
      </c>
      <c r="JI7" s="46">
        <v>-11635</v>
      </c>
      <c r="JJ7" s="46">
        <v>0</v>
      </c>
      <c r="JK7" s="46">
        <v>35325158</v>
      </c>
      <c r="JL7" s="46">
        <v>0</v>
      </c>
      <c r="JM7" s="46">
        <v>0</v>
      </c>
      <c r="JN7" s="46">
        <v>0</v>
      </c>
      <c r="JO7" s="46">
        <v>0</v>
      </c>
      <c r="JP7" s="46">
        <v>0</v>
      </c>
      <c r="JQ7" s="46">
        <v>0</v>
      </c>
      <c r="JR7" s="46">
        <v>8553661</v>
      </c>
      <c r="JS7" s="46">
        <v>0</v>
      </c>
      <c r="JT7" s="46">
        <v>1428022</v>
      </c>
      <c r="JU7" s="46">
        <v>0</v>
      </c>
      <c r="JV7" s="46">
        <v>0</v>
      </c>
      <c r="JW7" s="46">
        <v>0</v>
      </c>
      <c r="JX7" s="46">
        <v>0</v>
      </c>
      <c r="JY7" s="46">
        <v>0</v>
      </c>
      <c r="JZ7" s="46">
        <v>0</v>
      </c>
      <c r="KA7" s="46">
        <v>0</v>
      </c>
      <c r="KB7" s="46">
        <v>58101151</v>
      </c>
      <c r="KC7" s="46">
        <v>0</v>
      </c>
      <c r="KD7" s="46">
        <v>0</v>
      </c>
      <c r="KE7" s="46">
        <v>0</v>
      </c>
      <c r="KF7" s="46">
        <v>0</v>
      </c>
      <c r="KG7" s="46">
        <v>0</v>
      </c>
      <c r="KH7" s="46">
        <v>0</v>
      </c>
      <c r="KI7" s="46">
        <v>12923</v>
      </c>
      <c r="KJ7" s="46">
        <v>1397345</v>
      </c>
      <c r="KK7" s="46">
        <v>0</v>
      </c>
      <c r="KL7" s="46">
        <v>162671</v>
      </c>
      <c r="KM7" s="46">
        <v>19045</v>
      </c>
      <c r="KN7" s="46">
        <v>0</v>
      </c>
      <c r="KO7" s="46">
        <v>0</v>
      </c>
      <c r="KP7" s="46">
        <v>0</v>
      </c>
      <c r="KQ7" s="46">
        <v>-28968</v>
      </c>
      <c r="KR7" s="46">
        <v>89765614</v>
      </c>
      <c r="KS7" s="46">
        <v>42047186</v>
      </c>
      <c r="KT7" s="46">
        <v>0</v>
      </c>
      <c r="KU7" s="46">
        <v>1293640</v>
      </c>
      <c r="KV7" s="46">
        <v>0</v>
      </c>
      <c r="KW7" s="46">
        <v>0</v>
      </c>
      <c r="KX7" s="46">
        <v>0</v>
      </c>
      <c r="KY7" s="46">
        <v>0</v>
      </c>
      <c r="KZ7" s="46">
        <v>0</v>
      </c>
      <c r="LA7" s="46">
        <v>36050416</v>
      </c>
      <c r="LB7" s="46">
        <v>21400082</v>
      </c>
      <c r="LC7" s="46">
        <v>0</v>
      </c>
      <c r="LD7" s="46">
        <v>72016079</v>
      </c>
      <c r="LE7" s="46">
        <v>0</v>
      </c>
      <c r="LF7" s="46">
        <v>0</v>
      </c>
      <c r="LG7" s="46">
        <v>0</v>
      </c>
      <c r="LH7" s="46">
        <v>0</v>
      </c>
      <c r="LI7" s="46">
        <v>0</v>
      </c>
      <c r="LJ7" s="46">
        <v>621709</v>
      </c>
      <c r="LK7" s="46">
        <v>974970</v>
      </c>
      <c r="LL7" s="46">
        <v>0</v>
      </c>
      <c r="LM7" s="46">
        <v>6602189</v>
      </c>
      <c r="LN7" s="46">
        <v>0</v>
      </c>
      <c r="LO7" s="46">
        <v>0</v>
      </c>
      <c r="LP7" s="46">
        <v>0</v>
      </c>
      <c r="LQ7" s="46">
        <v>0</v>
      </c>
      <c r="LR7" s="46">
        <v>0</v>
      </c>
      <c r="LS7" s="46">
        <v>0</v>
      </c>
      <c r="LT7" s="46">
        <v>0</v>
      </c>
      <c r="LU7" s="46">
        <v>0</v>
      </c>
      <c r="LV7" s="46">
        <v>0</v>
      </c>
      <c r="LW7" s="46">
        <v>0</v>
      </c>
      <c r="LX7" s="46">
        <v>0</v>
      </c>
      <c r="LY7" s="46">
        <v>0</v>
      </c>
      <c r="LZ7" s="46">
        <v>0</v>
      </c>
      <c r="MA7" s="46">
        <v>0</v>
      </c>
      <c r="MB7" s="46">
        <v>8899125</v>
      </c>
      <c r="MC7" s="46">
        <v>22275517</v>
      </c>
      <c r="MD7" s="46">
        <v>0</v>
      </c>
      <c r="ME7" s="46">
        <v>3140885</v>
      </c>
      <c r="MF7" s="46">
        <v>0</v>
      </c>
      <c r="MG7" s="46">
        <v>0</v>
      </c>
      <c r="MH7" s="46">
        <v>0</v>
      </c>
      <c r="MI7" s="46">
        <v>0</v>
      </c>
      <c r="MJ7" s="46">
        <v>0</v>
      </c>
      <c r="MK7" s="46">
        <v>5704733</v>
      </c>
      <c r="ML7" s="46">
        <v>20360970</v>
      </c>
      <c r="MM7" s="46">
        <v>0</v>
      </c>
      <c r="MN7" s="46">
        <v>1014526</v>
      </c>
      <c r="MO7" s="46">
        <v>414589</v>
      </c>
      <c r="MP7" s="46">
        <v>0</v>
      </c>
      <c r="MQ7" s="46">
        <v>0</v>
      </c>
      <c r="MR7" s="46">
        <v>0</v>
      </c>
      <c r="MS7" s="46">
        <v>0</v>
      </c>
      <c r="MT7" s="46">
        <v>23948665</v>
      </c>
      <c r="MU7" s="46">
        <v>18062039</v>
      </c>
      <c r="MV7" s="46">
        <v>0</v>
      </c>
      <c r="MW7" s="46">
        <v>4448832</v>
      </c>
      <c r="MX7" s="46">
        <v>0</v>
      </c>
      <c r="MY7" s="46">
        <v>0</v>
      </c>
      <c r="MZ7" s="46">
        <v>0</v>
      </c>
      <c r="NA7" s="46">
        <v>0</v>
      </c>
      <c r="NB7" s="46">
        <v>0</v>
      </c>
      <c r="NC7" s="46">
        <v>16161099</v>
      </c>
      <c r="ND7" s="46">
        <v>18371405</v>
      </c>
      <c r="NE7" s="46">
        <v>0</v>
      </c>
      <c r="NF7" s="46">
        <v>422731</v>
      </c>
      <c r="NG7" s="46">
        <v>0</v>
      </c>
      <c r="NH7" s="46">
        <v>0</v>
      </c>
      <c r="NI7" s="46">
        <v>2714588</v>
      </c>
      <c r="NJ7" s="46">
        <v>0</v>
      </c>
      <c r="NK7" s="46">
        <v>0</v>
      </c>
      <c r="NL7" s="46">
        <v>3847309</v>
      </c>
      <c r="NM7" s="46">
        <v>22546098</v>
      </c>
      <c r="NN7" s="46">
        <v>0</v>
      </c>
      <c r="NO7" s="46">
        <v>405384</v>
      </c>
      <c r="NP7" s="46">
        <v>0</v>
      </c>
      <c r="NQ7" s="46">
        <v>0</v>
      </c>
      <c r="NR7" s="46">
        <v>0</v>
      </c>
      <c r="NS7" s="46">
        <v>0</v>
      </c>
      <c r="NT7" s="46">
        <v>0</v>
      </c>
      <c r="NU7" s="46">
        <v>0</v>
      </c>
      <c r="NV7" s="46">
        <v>0</v>
      </c>
      <c r="NW7" s="46">
        <v>72262120</v>
      </c>
      <c r="NX7" s="46">
        <v>1504701</v>
      </c>
      <c r="NY7" s="46">
        <v>0</v>
      </c>
      <c r="NZ7" s="46">
        <v>0</v>
      </c>
      <c r="OA7" s="46">
        <v>0</v>
      </c>
      <c r="OB7" s="46">
        <v>0</v>
      </c>
      <c r="OC7" s="46">
        <v>0</v>
      </c>
      <c r="OD7" s="46">
        <v>0</v>
      </c>
      <c r="OE7" s="46">
        <v>4870623</v>
      </c>
      <c r="OF7" s="46">
        <v>195625</v>
      </c>
      <c r="OG7" s="46">
        <v>3453032</v>
      </c>
      <c r="OH7" s="46">
        <v>0</v>
      </c>
      <c r="OI7" s="46">
        <v>0</v>
      </c>
      <c r="OJ7" s="46">
        <v>0</v>
      </c>
      <c r="OK7" s="46">
        <v>0</v>
      </c>
      <c r="OL7" s="46">
        <v>0</v>
      </c>
      <c r="OM7" s="46">
        <v>0</v>
      </c>
      <c r="ON7" s="46">
        <v>117123</v>
      </c>
      <c r="OO7" s="46">
        <v>0</v>
      </c>
      <c r="OP7" s="46">
        <v>0</v>
      </c>
      <c r="OQ7" s="46">
        <v>0</v>
      </c>
      <c r="OR7" s="46">
        <v>0</v>
      </c>
      <c r="OS7" s="46">
        <v>0</v>
      </c>
      <c r="OT7" s="46">
        <v>0</v>
      </c>
      <c r="OU7" s="46">
        <v>0</v>
      </c>
      <c r="OV7" s="46">
        <v>0</v>
      </c>
      <c r="OW7" s="46">
        <v>0</v>
      </c>
      <c r="OX7" s="46">
        <v>0</v>
      </c>
      <c r="OY7" s="46">
        <v>0</v>
      </c>
      <c r="OZ7" s="46">
        <v>0</v>
      </c>
      <c r="PA7" s="46">
        <v>0</v>
      </c>
      <c r="PB7" s="46">
        <v>-70423619</v>
      </c>
      <c r="PC7" s="46">
        <v>0</v>
      </c>
      <c r="PD7" s="46">
        <v>0</v>
      </c>
      <c r="PE7" s="46">
        <v>11079757</v>
      </c>
      <c r="PF7" s="46">
        <v>70327846</v>
      </c>
      <c r="PG7" s="46">
        <v>17906539</v>
      </c>
      <c r="PH7" s="46">
        <v>-97454967</v>
      </c>
      <c r="PI7" s="46">
        <v>420302</v>
      </c>
      <c r="PJ7" s="46">
        <v>10332852</v>
      </c>
      <c r="PK7" s="46">
        <v>16070945</v>
      </c>
      <c r="PL7" s="46">
        <v>0</v>
      </c>
      <c r="PM7" s="46">
        <v>1890035</v>
      </c>
      <c r="PN7" s="46">
        <v>0</v>
      </c>
      <c r="PO7" s="46">
        <v>0</v>
      </c>
      <c r="PP7" s="46">
        <v>0</v>
      </c>
      <c r="PQ7" s="46">
        <v>0</v>
      </c>
      <c r="PR7" s="46">
        <v>0</v>
      </c>
      <c r="PS7" s="46">
        <v>0</v>
      </c>
      <c r="PT7" s="46">
        <v>84782880</v>
      </c>
      <c r="PU7" s="46">
        <v>0</v>
      </c>
      <c r="PV7" s="46">
        <v>0</v>
      </c>
      <c r="PW7" s="46">
        <v>-17277141</v>
      </c>
      <c r="PX7" s="46">
        <v>-6007819</v>
      </c>
      <c r="PY7" s="46">
        <v>-5008178</v>
      </c>
      <c r="PZ7" s="46">
        <v>-1017563</v>
      </c>
      <c r="QA7" s="46">
        <v>0</v>
      </c>
      <c r="QB7" s="46">
        <v>0</v>
      </c>
      <c r="QC7" s="46">
        <v>0</v>
      </c>
      <c r="QD7" s="46">
        <v>0</v>
      </c>
      <c r="QE7" s="46">
        <v>0</v>
      </c>
      <c r="QF7" s="46">
        <v>0</v>
      </c>
      <c r="QG7" s="46">
        <v>8327907</v>
      </c>
      <c r="QH7" s="46">
        <v>0</v>
      </c>
      <c r="QI7" s="46">
        <v>0</v>
      </c>
      <c r="QJ7" s="46">
        <v>0</v>
      </c>
      <c r="QK7" s="46">
        <v>15706122</v>
      </c>
      <c r="QL7" s="46">
        <v>0</v>
      </c>
      <c r="QM7" s="46">
        <v>0</v>
      </c>
      <c r="QN7" s="46">
        <v>0</v>
      </c>
      <c r="QO7" s="46">
        <v>0</v>
      </c>
      <c r="QP7" s="46">
        <v>0</v>
      </c>
      <c r="QQ7" s="46">
        <v>0</v>
      </c>
      <c r="QR7" s="46">
        <v>0</v>
      </c>
      <c r="QS7" s="46">
        <v>0</v>
      </c>
      <c r="QT7" s="46">
        <v>6960456</v>
      </c>
      <c r="QU7" s="46">
        <v>0</v>
      </c>
      <c r="QV7" s="46">
        <v>0</v>
      </c>
      <c r="QW7" s="46">
        <v>0</v>
      </c>
      <c r="QX7" s="46">
        <v>0</v>
      </c>
      <c r="QY7" s="46">
        <v>0</v>
      </c>
      <c r="QZ7" s="46">
        <v>0</v>
      </c>
      <c r="RA7" s="46">
        <v>0</v>
      </c>
      <c r="RB7" s="46">
        <v>0</v>
      </c>
      <c r="RC7" s="46">
        <v>0</v>
      </c>
      <c r="RD7" s="46">
        <v>0</v>
      </c>
      <c r="RE7" s="46">
        <v>0</v>
      </c>
      <c r="RF7" s="46">
        <v>0</v>
      </c>
      <c r="RG7" s="46">
        <v>0</v>
      </c>
      <c r="RH7" s="46">
        <v>0</v>
      </c>
      <c r="RI7" s="46">
        <v>0</v>
      </c>
      <c r="RJ7" s="46">
        <v>0</v>
      </c>
      <c r="RK7" s="46">
        <v>0</v>
      </c>
      <c r="RL7" s="46">
        <v>0</v>
      </c>
      <c r="RM7" s="46">
        <v>0</v>
      </c>
      <c r="RN7" s="46">
        <v>0</v>
      </c>
      <c r="RO7" s="46">
        <v>-38246131</v>
      </c>
      <c r="RP7" s="46">
        <v>0</v>
      </c>
      <c r="RQ7" s="46">
        <v>0</v>
      </c>
      <c r="RR7" s="46">
        <v>0</v>
      </c>
      <c r="RS7" s="46">
        <v>0</v>
      </c>
      <c r="RT7" s="46">
        <v>0</v>
      </c>
      <c r="RU7" s="46">
        <v>0</v>
      </c>
      <c r="RV7" s="46">
        <v>0</v>
      </c>
      <c r="RW7" s="46">
        <v>0</v>
      </c>
      <c r="RX7" s="46">
        <v>0</v>
      </c>
      <c r="RY7" s="46">
        <v>0</v>
      </c>
      <c r="RZ7" s="46">
        <v>0</v>
      </c>
      <c r="SA7" s="46">
        <v>0</v>
      </c>
      <c r="SB7" s="46">
        <v>0</v>
      </c>
      <c r="SC7" s="46">
        <v>0</v>
      </c>
      <c r="SD7" s="46">
        <v>0</v>
      </c>
      <c r="SE7" s="46">
        <v>0</v>
      </c>
      <c r="SF7" s="46">
        <v>0</v>
      </c>
      <c r="SG7" s="46">
        <v>0</v>
      </c>
      <c r="SH7" s="46">
        <v>0</v>
      </c>
      <c r="SI7" s="46">
        <v>0</v>
      </c>
      <c r="SJ7" s="46">
        <v>0</v>
      </c>
      <c r="SK7" s="46">
        <v>0</v>
      </c>
      <c r="SL7" s="46">
        <v>0</v>
      </c>
      <c r="SM7" s="46">
        <v>0</v>
      </c>
      <c r="SN7" s="46">
        <v>0</v>
      </c>
      <c r="SO7" s="46">
        <v>0</v>
      </c>
      <c r="SP7" s="46">
        <v>0</v>
      </c>
      <c r="SQ7" s="46">
        <v>0</v>
      </c>
      <c r="SR7" s="46">
        <v>0</v>
      </c>
      <c r="SS7" s="46">
        <v>0</v>
      </c>
      <c r="ST7" s="46">
        <v>0</v>
      </c>
      <c r="SU7" s="46">
        <v>0</v>
      </c>
      <c r="SV7" s="46">
        <v>0</v>
      </c>
      <c r="SW7" s="46">
        <v>0</v>
      </c>
      <c r="SX7" s="46">
        <v>0</v>
      </c>
      <c r="SY7" s="46">
        <v>78942899</v>
      </c>
      <c r="SZ7" s="46">
        <v>265721</v>
      </c>
      <c r="TA7" s="46">
        <v>6518718</v>
      </c>
      <c r="TB7" s="46">
        <v>32000</v>
      </c>
      <c r="TC7" s="46">
        <v>0</v>
      </c>
      <c r="TD7" s="46">
        <v>290611</v>
      </c>
      <c r="TE7" s="46">
        <v>14595</v>
      </c>
      <c r="TF7" s="46">
        <v>632651</v>
      </c>
      <c r="TG7" s="46">
        <v>558035</v>
      </c>
      <c r="TH7" s="46">
        <v>0</v>
      </c>
      <c r="TI7" s="46">
        <v>206949</v>
      </c>
      <c r="TJ7" s="46">
        <v>0</v>
      </c>
      <c r="TK7" s="46">
        <v>0</v>
      </c>
      <c r="TL7" s="46">
        <v>768313</v>
      </c>
      <c r="TM7" s="46">
        <v>12000</v>
      </c>
      <c r="TN7" s="46">
        <v>0</v>
      </c>
      <c r="TO7" s="46">
        <v>0</v>
      </c>
      <c r="TP7" s="46">
        <v>0</v>
      </c>
      <c r="TQ7" s="46">
        <v>0</v>
      </c>
      <c r="TR7" s="46">
        <v>0</v>
      </c>
      <c r="TS7" s="46">
        <v>0</v>
      </c>
      <c r="TT7" s="46">
        <v>0</v>
      </c>
      <c r="TU7" s="46">
        <v>353302</v>
      </c>
      <c r="TV7" s="46">
        <v>0</v>
      </c>
      <c r="TW7" s="46">
        <v>0</v>
      </c>
      <c r="TX7" s="46">
        <v>0</v>
      </c>
      <c r="TY7" s="46">
        <v>0</v>
      </c>
      <c r="TZ7" s="46">
        <v>0</v>
      </c>
      <c r="UA7" s="46">
        <v>0</v>
      </c>
      <c r="UB7" s="46">
        <v>0</v>
      </c>
      <c r="UC7" s="46">
        <v>0</v>
      </c>
      <c r="UD7" s="46">
        <v>0</v>
      </c>
      <c r="UE7" s="46">
        <v>133106440</v>
      </c>
      <c r="UF7" s="46">
        <v>129466577</v>
      </c>
      <c r="UG7" s="46">
        <v>8198868</v>
      </c>
      <c r="UH7" s="46">
        <v>0</v>
      </c>
      <c r="UI7" s="46">
        <v>34315527</v>
      </c>
      <c r="UJ7" s="46">
        <v>27494818</v>
      </c>
      <c r="UK7" s="46">
        <v>46459536</v>
      </c>
      <c r="UL7" s="46">
        <v>37669823</v>
      </c>
      <c r="UM7" s="46">
        <v>26798791</v>
      </c>
      <c r="UN7" s="46">
        <v>73766821</v>
      </c>
      <c r="UO7"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8519280</v>
      </c>
      <c r="UP7" s="46">
        <f>SUM(Input[[#This Row],[Oth Exp E&amp;G]],Input[[#This Row],[Oth Exp Desg]],Input[[#This Row],[Oth Exp Aux]],Input[[#This Row],[Oth Exp R Exp]],Input[[#This Row],[Oth Exp Loan]],Input[[#This Row],[Oth Exp Annuity]],Input[[#This Row],[Oth Exp Unexp]],Input[[#This Row],[Oth Exp R of Ind]],Input[[#This Row],[Oth Exp Inv in P]])</f>
        <v>117123</v>
      </c>
      <c r="UQ7" s="46"/>
      <c r="UR7" s="46"/>
      <c r="US7" s="8" t="s">
        <v>832</v>
      </c>
      <c r="UT7" s="47">
        <v>9157475083</v>
      </c>
      <c r="UU7" s="8" t="s">
        <v>105</v>
      </c>
      <c r="UV7" s="8" t="s">
        <v>833</v>
      </c>
      <c r="UW7" s="47">
        <v>9157478034</v>
      </c>
      <c r="UX7" s="8" t="s">
        <v>834</v>
      </c>
      <c r="UY7" s="51" cm="1">
        <f t="array" ref="UY7">IFERROR(_xlfn.IFS(Input[[#This Row],[Type]]="HRI",SUMIFS('FTSE | FTFE'!$P$8:$P$77,'FTSE | FTFE'!$H$8:$H$77,A7),Input[[#This Row],[Type]]="UNIV",SUMIFS('FTSE | FTFE'!$P$104:$P$139,'FTSE | FTFE'!$H$104:$H$139,A7),OR(Input[[#This Row],[Type]]="TSTC",Input[[#This Row],[Type]]="LSC"),SUMIFS('FTSE | FTFE'!$O$88:$O$96,'FTSE | FTFE'!$H$88:$H$96,A7),Input[[#This Row],[Type]]="AHM",SUMIFS(Hidden!$H$42:$H$45,Hidden!$G$42:$G$45,A7)),"N/A")</f>
        <v>20515</v>
      </c>
      <c r="UZ7" s="51" cm="1">
        <f t="array" ref="UZ7">IFERROR(_xlfn.IFS(Input[[#This Row],[Type]]="HRI",SUMIFS('FTSE | FTFE'!$Q$8:$Q$77,'FTSE | FTFE'!$H$8:$H$77,A7),Input[[#This Row],[Type]]="UNIV",SUMIFS('FTSE | FTFE'!$Q$104:$Q$139,'FTSE | FTFE'!$H$104:$H$139,A7),OR(Input[[#This Row],[Type]]="TSTC",Input[[#This Row],[Type]]="LSC"),SUMIFS('FTSE | FTFE'!$P$88:$P$96,'FTSE | FTFE'!$H$88:$H$96,A7)),"N/A")</f>
        <v>313</v>
      </c>
      <c r="VA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198299767</v>
      </c>
      <c r="VB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 s="46">
        <f>SUM(Input[[#This Row],[Fed G&amp;C E&amp;G]],Input[[#This Row],[Fed G&amp;C Desg]],Input[[#This Row],[Fed G&amp;C R Exp]],Input[[#This Row],[Fed G&amp;C Loan]],Input[[#This Row],[Fed G&amp;C Annuity]],Input[[#This Row],[Fed G&amp;C Unexp]],Input[[#This Row],[Fed G&amp;C R of Ind]],Input[[#This Row],[Fed G&amp;C Inv in P]])</f>
        <v>177129256</v>
      </c>
      <c r="VD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86817896</v>
      </c>
      <c r="VE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64666727</v>
      </c>
      <c r="VF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20094986</v>
      </c>
      <c r="VG7" s="46">
        <f>SUM(Input[[#This Row],[Oth Inc E&amp;G]],Input[[#This Row],[Oth Exp Desg]],Input[[#This Row],[Oth Exp R Exp]],Input[[#This Row],[Oth Exp Loan]],Input[[#This Row],[Oth Exp Annuity]],Input[[#This Row],[Oth Exp Unexp]],Input[[#This Row],[Oth Exp R of Ind]],Input[[#This Row],[Oth Exp Inv in P]])</f>
        <v>130046</v>
      </c>
      <c r="VH7" s="46">
        <f>SUM(Input[[#This Row],[Instr E&amp;G]],Input[[#This Row],[Instr Desg]],Input[[#This Row],[Instr R Exp]],Input[[#This Row],[Instr Loan]],Input[[#This Row],[Instr Annuity]],Input[[#This Row],[Instr Unexp]],Input[[#This Row],[Instr R of Ind]],Input[[#This Row],[Instr Inv in P]])</f>
        <v>133106440</v>
      </c>
      <c r="VI7" s="46">
        <f>SUM(Input[[#This Row],[Res E&amp;G]],Input[[#This Row],[Res Desg]],Input[[#This Row],[Res R Exp]],Input[[#This Row],[Res Loan]],Input[[#This Row],[Res Annuity]],Input[[#This Row],[Res Unexp]],Input[[#This Row],[Res R of Ind]],Input[[#This Row],[Res Inv in P]])</f>
        <v>129466577</v>
      </c>
      <c r="VJ7" s="46">
        <f>SUM(Input[[#This Row],[Acad Sup E&amp;G]],Input[[#This Row],[Acad Sup Desg]],Input[[#This Row],[Acad Sup R Exp]],Input[[#This Row],[Acad Sup Loan]],Input[[#This Row],[Acad Sup Annuity]],Input[[#This Row],[Acad Sup Unexp]],Input[[#This Row],[Acad Sup R of Ind]],Input[[#This Row],[Acad Sup Inv in P]])</f>
        <v>34315527</v>
      </c>
      <c r="VK7" s="46">
        <f>SUM(Input[[#This Row],[Stu Svc E&amp;G]],Input[[#This Row],[Stu Svc Desg]],Input[[#This Row],[Stu Svc R Exp]],Input[[#This Row],[Stu Svc Loan]],Input[[#This Row],[Stu Svc Annuity]],Input[[#This Row],[Stu Svc Unexp]],Input[[#This Row],[Stu Svc R of Ind]],Input[[#This Row],[Stu Svc Inv in P]])</f>
        <v>27494818</v>
      </c>
      <c r="VL7" s="46">
        <f>SUM(Input[[#This Row],[Inst. Spt E&amp;G]],Input[[#This Row],[Inst. Spt Desg]],Input[[#This Row],[Inst. Spt R Exp]],Input[[#This Row],[Inst. Spt Loan]],Input[[#This Row],[Inst. Spt Annuity]],Input[[#This Row],[Inst. Spt Unexp]],Input[[#This Row],[Inst. Spt R of Ind]],Input[[#This Row],[Inst. Spt Inv in P]])</f>
        <v>46459536</v>
      </c>
      <c r="VM7" s="46">
        <f>SUM(Input[[#This Row],[M&amp;O Plnt E&amp;G]],Input[[#This Row],[M&amp;O Plnt Desg]],Input[[#This Row],[M&amp;O Plnt R Exp]],Input[[#This Row],[M&amp;O Plnt Loan]],Input[[#This Row],[M&amp;O Plnt Annuity]],Input[[#This Row],[M&amp;O Plnt Unexp]],Input[[#This Row],[M&amp;O Plnt R of Ind]],Input[[#This Row],[M&amp;O Plnt Inv in P]])</f>
        <v>37669823</v>
      </c>
      <c r="VN7" s="46">
        <f>SUM(Input[[#This Row],[Schl &amp; Fell E&amp;G]],Input[[#This Row],[Schl &amp; Fell Desg]],Input[[#This Row],[Schl &amp; Fell R Exp]],Input[[#This Row],[Schl &amp; Fell Loan]],Input[[#This Row],[Schl &amp; Fell Annuity]],Input[[#This Row],[Schl &amp; Fell Unexp]],Input[[#This Row],[Schl &amp; Fell R of Ind]],Input[[#This Row],[Schl &amp; Fell Inv in P]])</f>
        <v>26798791</v>
      </c>
      <c r="VO7" s="46">
        <f>SUM(Input[[#This Row],[Cap Out fund E&amp;G]],Input[[#This Row],[Cap Out fund Desg]],Input[[#This Row],[Cap Out fund R Exp]],Input[[#This Row],[Cap Out fund Loan]],Input[[#This Row],[Cap Out fund Annuity]],Input[[#This Row],[Cap Out fund Unexp]],Input[[#This Row],[Cap Out fund R of Ind]],Input[[#This Row],[Cap Out fund Inv in P]])</f>
        <v>8323655</v>
      </c>
      <c r="VP7" s="46">
        <f>SUM(Input[[#This Row],[Oth Exp E&amp;G]],Input[[#This Row],[Oth Exp Desg]],Input[[#This Row],[Oth Exp R Exp]],Input[[#This Row],[Oth Exp Loan]],Input[[#This Row],[Oth Exp Annuity]],Input[[#This Row],[Oth Exp Unexp]],Input[[#This Row],[Oth Exp R of Ind]],Input[[#This Row],[Oth Exp Inv in P]],Input[[#This Row],[Oth Exp Inv in P]])</f>
        <v>117123</v>
      </c>
    </row>
    <row r="8" spans="1:588" ht="30" customHeight="1" x14ac:dyDescent="0.3">
      <c r="A8" s="15" t="s">
        <v>166</v>
      </c>
      <c r="B8" s="36" t="s">
        <v>118</v>
      </c>
      <c r="C8" s="36" t="s">
        <v>115</v>
      </c>
      <c r="D8" s="36">
        <v>106</v>
      </c>
      <c r="E8" s="36" t="s">
        <v>132</v>
      </c>
      <c r="F8" s="95" t="s">
        <v>106</v>
      </c>
      <c r="G8" s="46">
        <v>194893706</v>
      </c>
      <c r="H8" s="46">
        <v>0</v>
      </c>
      <c r="I8" s="46">
        <v>0</v>
      </c>
      <c r="J8" s="46">
        <v>0</v>
      </c>
      <c r="K8" s="46">
        <v>0</v>
      </c>
      <c r="L8" s="46">
        <v>0</v>
      </c>
      <c r="M8" s="46">
        <v>0</v>
      </c>
      <c r="N8" s="46">
        <v>0</v>
      </c>
      <c r="O8" s="46">
        <v>0</v>
      </c>
      <c r="P8" s="46">
        <v>71246554</v>
      </c>
      <c r="Q8" s="46">
        <v>3607843</v>
      </c>
      <c r="R8" s="46">
        <v>0</v>
      </c>
      <c r="S8" s="46">
        <v>3243800</v>
      </c>
      <c r="T8" s="46">
        <v>0</v>
      </c>
      <c r="U8" s="46">
        <v>0</v>
      </c>
      <c r="V8" s="46">
        <v>0</v>
      </c>
      <c r="W8" s="46">
        <v>0</v>
      </c>
      <c r="X8" s="46">
        <v>0</v>
      </c>
      <c r="Y8" s="46">
        <v>0</v>
      </c>
      <c r="Z8" s="46">
        <v>0</v>
      </c>
      <c r="AA8" s="46">
        <v>0</v>
      </c>
      <c r="AB8" s="46">
        <v>0</v>
      </c>
      <c r="AC8" s="46">
        <v>0</v>
      </c>
      <c r="AD8" s="46">
        <v>0</v>
      </c>
      <c r="AE8" s="46">
        <v>0</v>
      </c>
      <c r="AF8" s="46">
        <v>0</v>
      </c>
      <c r="AG8" s="46">
        <v>0</v>
      </c>
      <c r="AH8" s="46">
        <v>0</v>
      </c>
      <c r="AI8" s="46">
        <v>0</v>
      </c>
      <c r="AJ8" s="46">
        <v>0</v>
      </c>
      <c r="AK8" s="46">
        <v>0</v>
      </c>
      <c r="AL8" s="46">
        <v>0</v>
      </c>
      <c r="AM8" s="46">
        <v>0</v>
      </c>
      <c r="AN8" s="46">
        <v>0</v>
      </c>
      <c r="AO8" s="46">
        <v>0</v>
      </c>
      <c r="AP8" s="46">
        <v>0</v>
      </c>
      <c r="AQ8" s="46">
        <v>-8276638</v>
      </c>
      <c r="AR8" s="46">
        <v>0</v>
      </c>
      <c r="AS8" s="46">
        <v>0</v>
      </c>
      <c r="AT8" s="46">
        <v>0</v>
      </c>
      <c r="AU8" s="46">
        <v>0</v>
      </c>
      <c r="AV8" s="46">
        <v>0</v>
      </c>
      <c r="AW8" s="46">
        <v>0</v>
      </c>
      <c r="AX8" s="46">
        <v>0</v>
      </c>
      <c r="AY8" s="46">
        <v>0</v>
      </c>
      <c r="AZ8" s="46">
        <v>0</v>
      </c>
      <c r="BA8" s="46">
        <v>-13345</v>
      </c>
      <c r="BB8" s="46">
        <v>0</v>
      </c>
      <c r="BC8" s="46">
        <v>0</v>
      </c>
      <c r="BD8" s="46">
        <v>0</v>
      </c>
      <c r="BE8" s="46">
        <v>0</v>
      </c>
      <c r="BF8" s="46">
        <v>0</v>
      </c>
      <c r="BG8" s="46">
        <v>0</v>
      </c>
      <c r="BH8" s="46">
        <v>0</v>
      </c>
      <c r="BI8" s="46">
        <v>0</v>
      </c>
      <c r="BJ8" s="46">
        <v>0</v>
      </c>
      <c r="BK8" s="46">
        <v>0</v>
      </c>
      <c r="BL8" s="46">
        <v>0</v>
      </c>
      <c r="BM8" s="46">
        <v>0</v>
      </c>
      <c r="BN8" s="46">
        <v>0</v>
      </c>
      <c r="BO8" s="46">
        <v>0</v>
      </c>
      <c r="BP8" s="46">
        <v>0</v>
      </c>
      <c r="BQ8" s="46">
        <v>0</v>
      </c>
      <c r="BR8" s="46">
        <v>0</v>
      </c>
      <c r="BS8" s="46">
        <v>0</v>
      </c>
      <c r="BT8" s="46">
        <v>0</v>
      </c>
      <c r="BU8" s="46">
        <v>0</v>
      </c>
      <c r="BV8" s="46">
        <v>0</v>
      </c>
      <c r="BW8" s="46">
        <v>0</v>
      </c>
      <c r="BX8" s="46">
        <v>0</v>
      </c>
      <c r="BY8" s="46">
        <v>0</v>
      </c>
      <c r="BZ8" s="46">
        <v>0</v>
      </c>
      <c r="CA8" s="46">
        <v>48167816</v>
      </c>
      <c r="CB8" s="46">
        <v>209724618</v>
      </c>
      <c r="CC8" s="46">
        <v>0</v>
      </c>
      <c r="CD8" s="46">
        <v>0</v>
      </c>
      <c r="CE8" s="46">
        <v>0</v>
      </c>
      <c r="CF8" s="46">
        <v>0</v>
      </c>
      <c r="CG8" s="46">
        <v>0</v>
      </c>
      <c r="CH8" s="46">
        <v>0</v>
      </c>
      <c r="CI8" s="46">
        <v>0</v>
      </c>
      <c r="CJ8" s="46">
        <v>0</v>
      </c>
      <c r="CK8" s="46">
        <v>0</v>
      </c>
      <c r="CL8" s="46">
        <v>0</v>
      </c>
      <c r="CM8" s="46">
        <v>0</v>
      </c>
      <c r="CN8" s="46">
        <v>0</v>
      </c>
      <c r="CO8" s="46">
        <v>0</v>
      </c>
      <c r="CP8" s="46">
        <v>0</v>
      </c>
      <c r="CQ8" s="46">
        <v>0</v>
      </c>
      <c r="CR8" s="46">
        <v>0</v>
      </c>
      <c r="CS8" s="46">
        <v>0</v>
      </c>
      <c r="CT8" s="46">
        <v>0</v>
      </c>
      <c r="CU8" s="46">
        <v>0</v>
      </c>
      <c r="CV8" s="46">
        <v>0</v>
      </c>
      <c r="CW8" s="46">
        <v>0</v>
      </c>
      <c r="CX8" s="46">
        <v>0</v>
      </c>
      <c r="CY8" s="46">
        <v>0</v>
      </c>
      <c r="CZ8" s="46">
        <v>0</v>
      </c>
      <c r="DA8" s="46">
        <v>0</v>
      </c>
      <c r="DB8" s="46">
        <v>-3547070</v>
      </c>
      <c r="DC8" s="46">
        <v>-7688459</v>
      </c>
      <c r="DD8" s="46">
        <v>0</v>
      </c>
      <c r="DE8" s="46">
        <v>0</v>
      </c>
      <c r="DF8" s="46">
        <v>0</v>
      </c>
      <c r="DG8" s="46">
        <v>0</v>
      </c>
      <c r="DH8" s="46">
        <v>0</v>
      </c>
      <c r="DI8" s="46">
        <v>0</v>
      </c>
      <c r="DJ8" s="46">
        <v>0</v>
      </c>
      <c r="DK8" s="46">
        <v>0</v>
      </c>
      <c r="DL8" s="46">
        <v>0</v>
      </c>
      <c r="DM8" s="46">
        <v>0</v>
      </c>
      <c r="DN8" s="46">
        <v>0</v>
      </c>
      <c r="DO8" s="46">
        <v>0</v>
      </c>
      <c r="DP8" s="46">
        <v>0</v>
      </c>
      <c r="DQ8" s="46">
        <v>0</v>
      </c>
      <c r="DR8" s="46">
        <v>0</v>
      </c>
      <c r="DS8" s="46">
        <v>0</v>
      </c>
      <c r="DT8" s="46">
        <v>-36458687</v>
      </c>
      <c r="DU8" s="46">
        <v>-151973497</v>
      </c>
      <c r="DV8" s="46">
        <v>0</v>
      </c>
      <c r="DW8" s="46">
        <v>0</v>
      </c>
      <c r="DX8" s="46">
        <v>0</v>
      </c>
      <c r="DY8" s="46">
        <v>0</v>
      </c>
      <c r="DZ8" s="46">
        <v>0</v>
      </c>
      <c r="EA8" s="46">
        <v>0</v>
      </c>
      <c r="EB8" s="46">
        <v>0</v>
      </c>
      <c r="EC8" s="46">
        <v>0</v>
      </c>
      <c r="ED8" s="46">
        <v>0</v>
      </c>
      <c r="EE8" s="46">
        <v>0</v>
      </c>
      <c r="EF8" s="46">
        <v>0</v>
      </c>
      <c r="EG8" s="46">
        <v>0</v>
      </c>
      <c r="EH8" s="46">
        <v>0</v>
      </c>
      <c r="EI8" s="46">
        <v>0</v>
      </c>
      <c r="EJ8" s="46">
        <v>0</v>
      </c>
      <c r="EK8" s="46">
        <v>0</v>
      </c>
      <c r="EL8" s="46">
        <v>0</v>
      </c>
      <c r="EM8" s="46">
        <v>0</v>
      </c>
      <c r="EN8" s="46">
        <v>0</v>
      </c>
      <c r="EO8" s="46">
        <v>0</v>
      </c>
      <c r="EP8" s="46">
        <v>0</v>
      </c>
      <c r="EQ8" s="46">
        <v>0</v>
      </c>
      <c r="ER8" s="46">
        <v>0</v>
      </c>
      <c r="ES8" s="46">
        <v>0</v>
      </c>
      <c r="ET8" s="46">
        <v>0</v>
      </c>
      <c r="EU8" s="46">
        <v>0</v>
      </c>
      <c r="EV8" s="46">
        <v>0</v>
      </c>
      <c r="EW8" s="46">
        <v>0</v>
      </c>
      <c r="EX8" s="46">
        <v>0</v>
      </c>
      <c r="EY8" s="46">
        <v>0</v>
      </c>
      <c r="EZ8" s="46">
        <v>0</v>
      </c>
      <c r="FA8" s="46">
        <v>0</v>
      </c>
      <c r="FB8" s="46">
        <v>0</v>
      </c>
      <c r="FC8" s="46">
        <v>0</v>
      </c>
      <c r="FD8" s="46">
        <v>0</v>
      </c>
      <c r="FE8" s="46">
        <v>0</v>
      </c>
      <c r="FF8" s="46">
        <v>0</v>
      </c>
      <c r="FG8" s="46">
        <v>0</v>
      </c>
      <c r="FH8" s="46">
        <v>0</v>
      </c>
      <c r="FI8" s="46">
        <v>0</v>
      </c>
      <c r="FJ8" s="46">
        <v>0</v>
      </c>
      <c r="FK8" s="46">
        <v>0</v>
      </c>
      <c r="FL8" s="46">
        <v>0</v>
      </c>
      <c r="FM8" s="46">
        <v>2329093</v>
      </c>
      <c r="FN8" s="46">
        <v>31682517</v>
      </c>
      <c r="FO8" s="46">
        <v>32719900</v>
      </c>
      <c r="FP8" s="46">
        <v>0</v>
      </c>
      <c r="FQ8" s="46">
        <v>0</v>
      </c>
      <c r="FR8" s="46">
        <v>0</v>
      </c>
      <c r="FS8" s="46">
        <v>0</v>
      </c>
      <c r="FT8" s="46">
        <v>0</v>
      </c>
      <c r="FU8" s="46">
        <v>0</v>
      </c>
      <c r="FV8" s="46">
        <v>0</v>
      </c>
      <c r="FW8" s="46">
        <v>0</v>
      </c>
      <c r="FX8" s="46">
        <v>0</v>
      </c>
      <c r="FY8" s="46">
        <v>0</v>
      </c>
      <c r="FZ8" s="46">
        <v>0</v>
      </c>
      <c r="GA8" s="46">
        <v>0</v>
      </c>
      <c r="GB8" s="46">
        <v>0</v>
      </c>
      <c r="GC8" s="46">
        <v>0</v>
      </c>
      <c r="GD8" s="46">
        <v>0</v>
      </c>
      <c r="GE8" s="46">
        <v>0</v>
      </c>
      <c r="GF8" s="46">
        <v>0</v>
      </c>
      <c r="GG8" s="46">
        <v>0</v>
      </c>
      <c r="GH8" s="46">
        <v>0</v>
      </c>
      <c r="GI8" s="46">
        <v>0</v>
      </c>
      <c r="GJ8" s="46">
        <v>0</v>
      </c>
      <c r="GK8" s="46">
        <v>0</v>
      </c>
      <c r="GL8" s="46">
        <v>0</v>
      </c>
      <c r="GM8" s="46">
        <v>0</v>
      </c>
      <c r="GN8" s="46">
        <v>0</v>
      </c>
      <c r="GO8" s="46">
        <v>0</v>
      </c>
      <c r="GP8" s="46">
        <v>-1152533</v>
      </c>
      <c r="GQ8" s="46">
        <v>0</v>
      </c>
      <c r="GR8" s="46">
        <v>0</v>
      </c>
      <c r="GS8" s="46">
        <v>0</v>
      </c>
      <c r="GT8" s="46">
        <v>0</v>
      </c>
      <c r="GU8" s="46">
        <v>0</v>
      </c>
      <c r="GV8" s="46">
        <v>0</v>
      </c>
      <c r="GW8" s="46">
        <v>0</v>
      </c>
      <c r="GX8" s="46">
        <v>0</v>
      </c>
      <c r="GY8" s="46">
        <v>0</v>
      </c>
      <c r="GZ8" s="46">
        <v>0</v>
      </c>
      <c r="HA8" s="46">
        <v>0</v>
      </c>
      <c r="HB8" s="46">
        <v>0</v>
      </c>
      <c r="HC8" s="46">
        <v>0</v>
      </c>
      <c r="HD8" s="46">
        <v>0</v>
      </c>
      <c r="HE8" s="46">
        <v>0</v>
      </c>
      <c r="HF8" s="46">
        <v>0</v>
      </c>
      <c r="HG8" s="46">
        <v>0</v>
      </c>
      <c r="HH8" s="46">
        <v>-15570563</v>
      </c>
      <c r="HI8" s="46">
        <v>0</v>
      </c>
      <c r="HJ8" s="46">
        <v>0</v>
      </c>
      <c r="HK8" s="46">
        <v>0</v>
      </c>
      <c r="HL8" s="46">
        <v>0</v>
      </c>
      <c r="HM8" s="46">
        <v>0</v>
      </c>
      <c r="HN8" s="46">
        <v>0</v>
      </c>
      <c r="HO8" s="46">
        <v>0</v>
      </c>
      <c r="HP8" s="46">
        <v>11998493</v>
      </c>
      <c r="HQ8" s="46">
        <v>0</v>
      </c>
      <c r="HR8" s="46">
        <v>203665744</v>
      </c>
      <c r="HS8" s="46">
        <v>0</v>
      </c>
      <c r="HT8" s="46">
        <v>0</v>
      </c>
      <c r="HU8" s="46">
        <v>0</v>
      </c>
      <c r="HV8" s="46">
        <v>0</v>
      </c>
      <c r="HW8" s="46">
        <v>0</v>
      </c>
      <c r="HX8" s="46">
        <v>0</v>
      </c>
      <c r="HY8" s="46">
        <v>18446201</v>
      </c>
      <c r="HZ8" s="46">
        <v>0</v>
      </c>
      <c r="IA8" s="46">
        <v>0</v>
      </c>
      <c r="IB8" s="46">
        <v>0</v>
      </c>
      <c r="IC8" s="46">
        <v>0</v>
      </c>
      <c r="ID8" s="46">
        <v>0</v>
      </c>
      <c r="IE8" s="46">
        <v>0</v>
      </c>
      <c r="IF8" s="46">
        <v>0</v>
      </c>
      <c r="IG8" s="46">
        <v>0</v>
      </c>
      <c r="IH8" s="46">
        <v>0</v>
      </c>
      <c r="II8" s="46">
        <v>0</v>
      </c>
      <c r="IJ8" s="46">
        <v>0</v>
      </c>
      <c r="IK8" s="46">
        <v>0</v>
      </c>
      <c r="IL8" s="46">
        <v>0</v>
      </c>
      <c r="IM8" s="46">
        <v>0</v>
      </c>
      <c r="IN8" s="46">
        <v>0</v>
      </c>
      <c r="IO8" s="46">
        <v>0</v>
      </c>
      <c r="IP8" s="46">
        <v>1314240</v>
      </c>
      <c r="IQ8" s="46">
        <v>25947939</v>
      </c>
      <c r="IR8" s="46">
        <v>13068</v>
      </c>
      <c r="IS8" s="46">
        <v>3920953</v>
      </c>
      <c r="IT8" s="46">
        <v>0</v>
      </c>
      <c r="IU8" s="46">
        <v>-5716</v>
      </c>
      <c r="IV8" s="46">
        <v>0</v>
      </c>
      <c r="IW8" s="46">
        <v>0</v>
      </c>
      <c r="IX8" s="46">
        <v>0</v>
      </c>
      <c r="IY8" s="46">
        <v>0</v>
      </c>
      <c r="IZ8" s="46">
        <v>-5544274</v>
      </c>
      <c r="JA8" s="46">
        <v>0</v>
      </c>
      <c r="JB8" s="46">
        <v>247405</v>
      </c>
      <c r="JC8" s="46">
        <v>0</v>
      </c>
      <c r="JD8" s="46">
        <v>0</v>
      </c>
      <c r="JE8" s="46">
        <v>0</v>
      </c>
      <c r="JF8" s="46">
        <v>0</v>
      </c>
      <c r="JG8" s="46">
        <v>0</v>
      </c>
      <c r="JH8" s="46">
        <v>0</v>
      </c>
      <c r="JI8" s="46">
        <v>-8213799</v>
      </c>
      <c r="JJ8" s="46">
        <v>0</v>
      </c>
      <c r="JK8" s="46">
        <v>23909810</v>
      </c>
      <c r="JL8" s="46">
        <v>0</v>
      </c>
      <c r="JM8" s="46">
        <v>0</v>
      </c>
      <c r="JN8" s="46">
        <v>380063</v>
      </c>
      <c r="JO8" s="46">
        <v>0</v>
      </c>
      <c r="JP8" s="46">
        <v>0</v>
      </c>
      <c r="JQ8" s="46">
        <v>0</v>
      </c>
      <c r="JR8" s="46">
        <v>8096093</v>
      </c>
      <c r="JS8" s="46">
        <v>0</v>
      </c>
      <c r="JT8" s="46">
        <v>2763456</v>
      </c>
      <c r="JU8" s="46">
        <v>0</v>
      </c>
      <c r="JV8" s="46">
        <v>0</v>
      </c>
      <c r="JW8" s="46">
        <v>0</v>
      </c>
      <c r="JX8" s="46">
        <v>0</v>
      </c>
      <c r="JY8" s="46">
        <v>0</v>
      </c>
      <c r="JZ8" s="46">
        <v>0</v>
      </c>
      <c r="KA8" s="46">
        <v>0</v>
      </c>
      <c r="KB8" s="46">
        <v>11842821</v>
      </c>
      <c r="KC8" s="46">
        <v>0</v>
      </c>
      <c r="KD8" s="46">
        <v>0</v>
      </c>
      <c r="KE8" s="46">
        <v>0</v>
      </c>
      <c r="KF8" s="46">
        <v>0</v>
      </c>
      <c r="KG8" s="46">
        <v>0</v>
      </c>
      <c r="KH8" s="46">
        <v>0</v>
      </c>
      <c r="KI8" s="46">
        <v>6615447</v>
      </c>
      <c r="KJ8" s="46">
        <v>22019702</v>
      </c>
      <c r="KK8" s="46">
        <v>4475</v>
      </c>
      <c r="KL8" s="46">
        <v>66042</v>
      </c>
      <c r="KM8" s="46">
        <v>363505</v>
      </c>
      <c r="KN8" s="46">
        <v>0</v>
      </c>
      <c r="KO8" s="46">
        <v>0</v>
      </c>
      <c r="KP8" s="46">
        <v>0</v>
      </c>
      <c r="KQ8" s="46">
        <v>0</v>
      </c>
      <c r="KR8" s="46">
        <v>143651773</v>
      </c>
      <c r="KS8" s="46">
        <v>49740330</v>
      </c>
      <c r="KT8" s="46">
        <v>0</v>
      </c>
      <c r="KU8" s="46">
        <v>21654730</v>
      </c>
      <c r="KV8" s="46">
        <v>0</v>
      </c>
      <c r="KW8" s="46">
        <v>0</v>
      </c>
      <c r="KX8" s="46">
        <v>0</v>
      </c>
      <c r="KY8" s="46">
        <v>0</v>
      </c>
      <c r="KZ8" s="46">
        <v>0</v>
      </c>
      <c r="LA8" s="46">
        <v>6496568</v>
      </c>
      <c r="LB8" s="46">
        <v>41896418</v>
      </c>
      <c r="LC8" s="46">
        <v>0</v>
      </c>
      <c r="LD8" s="46">
        <v>38225749</v>
      </c>
      <c r="LE8" s="46">
        <v>0</v>
      </c>
      <c r="LF8" s="46">
        <v>0</v>
      </c>
      <c r="LG8" s="46">
        <v>0</v>
      </c>
      <c r="LH8" s="46">
        <v>0</v>
      </c>
      <c r="LI8" s="46">
        <v>0</v>
      </c>
      <c r="LJ8" s="46">
        <v>7063213</v>
      </c>
      <c r="LK8" s="46">
        <v>1873382</v>
      </c>
      <c r="LL8" s="46">
        <v>0</v>
      </c>
      <c r="LM8" s="46">
        <v>4950475</v>
      </c>
      <c r="LN8" s="46">
        <v>0</v>
      </c>
      <c r="LO8" s="46">
        <v>0</v>
      </c>
      <c r="LP8" s="46">
        <v>0</v>
      </c>
      <c r="LQ8" s="46">
        <v>0</v>
      </c>
      <c r="LR8" s="46">
        <v>0</v>
      </c>
      <c r="LS8" s="46">
        <v>11935017</v>
      </c>
      <c r="LT8" s="46">
        <v>37768423</v>
      </c>
      <c r="LU8" s="46">
        <v>0</v>
      </c>
      <c r="LV8" s="46">
        <v>6828</v>
      </c>
      <c r="LW8" s="46">
        <v>0</v>
      </c>
      <c r="LX8" s="46">
        <v>0</v>
      </c>
      <c r="LY8" s="46">
        <v>0</v>
      </c>
      <c r="LZ8" s="46">
        <v>0</v>
      </c>
      <c r="MA8" s="46">
        <v>0</v>
      </c>
      <c r="MB8" s="46">
        <v>35423014</v>
      </c>
      <c r="MC8" s="46">
        <v>46196712</v>
      </c>
      <c r="MD8" s="46">
        <v>0</v>
      </c>
      <c r="ME8" s="46">
        <v>4443580</v>
      </c>
      <c r="MF8" s="46">
        <v>0</v>
      </c>
      <c r="MG8" s="46">
        <v>0</v>
      </c>
      <c r="MH8" s="46">
        <v>0</v>
      </c>
      <c r="MI8" s="46">
        <v>0</v>
      </c>
      <c r="MJ8" s="46">
        <v>0</v>
      </c>
      <c r="MK8" s="46">
        <v>17300514</v>
      </c>
      <c r="ML8" s="46">
        <v>15444896</v>
      </c>
      <c r="MM8" s="46">
        <v>0</v>
      </c>
      <c r="MN8" s="46">
        <v>5628688</v>
      </c>
      <c r="MO8" s="46">
        <v>151735</v>
      </c>
      <c r="MP8" s="46">
        <v>0</v>
      </c>
      <c r="MQ8" s="46">
        <v>0</v>
      </c>
      <c r="MR8" s="46">
        <v>0</v>
      </c>
      <c r="MS8" s="46">
        <v>0</v>
      </c>
      <c r="MT8" s="46">
        <v>14994707</v>
      </c>
      <c r="MU8" s="46">
        <v>29253921</v>
      </c>
      <c r="MV8" s="46">
        <v>0</v>
      </c>
      <c r="MW8" s="46">
        <v>198678</v>
      </c>
      <c r="MX8" s="46">
        <v>0</v>
      </c>
      <c r="MY8" s="46">
        <v>0</v>
      </c>
      <c r="MZ8" s="46">
        <v>0</v>
      </c>
      <c r="NA8" s="46">
        <v>0</v>
      </c>
      <c r="NB8" s="46">
        <v>0</v>
      </c>
      <c r="NC8" s="46">
        <v>17665619</v>
      </c>
      <c r="ND8" s="46">
        <v>29080394</v>
      </c>
      <c r="NE8" s="46">
        <v>0</v>
      </c>
      <c r="NF8" s="46">
        <v>23148</v>
      </c>
      <c r="NG8" s="46">
        <v>0</v>
      </c>
      <c r="NH8" s="46">
        <v>0</v>
      </c>
      <c r="NI8" s="46">
        <v>2244912</v>
      </c>
      <c r="NJ8" s="46">
        <v>0</v>
      </c>
      <c r="NK8" s="46">
        <v>0</v>
      </c>
      <c r="NL8" s="46">
        <v>4334421</v>
      </c>
      <c r="NM8" s="46">
        <v>15258588</v>
      </c>
      <c r="NN8" s="46">
        <v>0</v>
      </c>
      <c r="NO8" s="46">
        <v>30018251</v>
      </c>
      <c r="NP8" s="46">
        <v>0</v>
      </c>
      <c r="NQ8" s="46">
        <v>0</v>
      </c>
      <c r="NR8" s="46">
        <v>0</v>
      </c>
      <c r="NS8" s="46">
        <v>0</v>
      </c>
      <c r="NT8" s="46">
        <v>0</v>
      </c>
      <c r="NU8" s="46">
        <v>0</v>
      </c>
      <c r="NV8" s="46">
        <v>6846155</v>
      </c>
      <c r="NW8" s="46">
        <v>35423109</v>
      </c>
      <c r="NX8" s="46">
        <v>514560</v>
      </c>
      <c r="NY8" s="46">
        <v>0</v>
      </c>
      <c r="NZ8" s="46">
        <v>0</v>
      </c>
      <c r="OA8" s="46">
        <v>0</v>
      </c>
      <c r="OB8" s="46">
        <v>0</v>
      </c>
      <c r="OC8" s="46">
        <v>0</v>
      </c>
      <c r="OD8" s="46">
        <v>419410</v>
      </c>
      <c r="OE8" s="46">
        <v>9035239</v>
      </c>
      <c r="OF8" s="46">
        <v>196083</v>
      </c>
      <c r="OG8" s="46">
        <v>6383156</v>
      </c>
      <c r="OH8" s="46">
        <v>0</v>
      </c>
      <c r="OI8" s="46">
        <v>0</v>
      </c>
      <c r="OJ8" s="46">
        <v>0</v>
      </c>
      <c r="OK8" s="46">
        <v>0</v>
      </c>
      <c r="OL8" s="46">
        <v>0</v>
      </c>
      <c r="OM8" s="46">
        <v>5008</v>
      </c>
      <c r="ON8" s="46">
        <v>841215</v>
      </c>
      <c r="OO8" s="46">
        <v>598803</v>
      </c>
      <c r="OP8" s="46">
        <v>0</v>
      </c>
      <c r="OQ8" s="46">
        <v>0</v>
      </c>
      <c r="OR8" s="46">
        <v>0</v>
      </c>
      <c r="OS8" s="46">
        <v>0</v>
      </c>
      <c r="OT8" s="46">
        <v>0</v>
      </c>
      <c r="OU8" s="46">
        <v>0</v>
      </c>
      <c r="OV8" s="46">
        <v>0</v>
      </c>
      <c r="OW8" s="46">
        <v>0</v>
      </c>
      <c r="OX8" s="46">
        <v>0</v>
      </c>
      <c r="OY8" s="46">
        <v>0</v>
      </c>
      <c r="OZ8" s="46">
        <v>0</v>
      </c>
      <c r="PA8" s="46">
        <v>0</v>
      </c>
      <c r="PB8" s="46">
        <v>-173103401</v>
      </c>
      <c r="PC8" s="46">
        <v>0</v>
      </c>
      <c r="PD8" s="46">
        <v>0</v>
      </c>
      <c r="PE8" s="46">
        <v>-10860003</v>
      </c>
      <c r="PF8" s="46">
        <v>86443276</v>
      </c>
      <c r="PG8" s="46">
        <v>15610233</v>
      </c>
      <c r="PH8" s="46">
        <v>-115263720</v>
      </c>
      <c r="PI8" s="46">
        <v>372788</v>
      </c>
      <c r="PJ8" s="46">
        <v>14093338</v>
      </c>
      <c r="PK8" s="46">
        <v>13137310</v>
      </c>
      <c r="PL8" s="46">
        <v>0</v>
      </c>
      <c r="PM8" s="46">
        <v>0</v>
      </c>
      <c r="PN8" s="46">
        <v>0</v>
      </c>
      <c r="PO8" s="46">
        <v>0</v>
      </c>
      <c r="PP8" s="46">
        <v>0</v>
      </c>
      <c r="PQ8" s="46">
        <v>0</v>
      </c>
      <c r="PR8" s="46">
        <v>0</v>
      </c>
      <c r="PS8" s="46">
        <v>0</v>
      </c>
      <c r="PT8" s="46">
        <v>170041343</v>
      </c>
      <c r="PU8" s="46">
        <v>0</v>
      </c>
      <c r="PV8" s="46">
        <v>0</v>
      </c>
      <c r="PW8" s="46">
        <v>-14788278</v>
      </c>
      <c r="PX8" s="46">
        <v>-6312360</v>
      </c>
      <c r="PY8" s="46">
        <v>-4596376</v>
      </c>
      <c r="PZ8" s="46">
        <v>0</v>
      </c>
      <c r="QA8" s="46">
        <v>0</v>
      </c>
      <c r="QB8" s="46">
        <v>0</v>
      </c>
      <c r="QC8" s="46">
        <v>0</v>
      </c>
      <c r="QD8" s="46">
        <v>0</v>
      </c>
      <c r="QE8" s="46">
        <v>0</v>
      </c>
      <c r="QF8" s="46">
        <v>0</v>
      </c>
      <c r="QG8" s="46">
        <v>5815347</v>
      </c>
      <c r="QH8" s="46">
        <v>0</v>
      </c>
      <c r="QI8" s="46">
        <v>0</v>
      </c>
      <c r="QJ8" s="46">
        <v>0</v>
      </c>
      <c r="QK8" s="46">
        <v>7406023</v>
      </c>
      <c r="QL8" s="46">
        <v>0</v>
      </c>
      <c r="QM8" s="46">
        <v>0</v>
      </c>
      <c r="QN8" s="46">
        <v>0</v>
      </c>
      <c r="QO8" s="46">
        <v>0</v>
      </c>
      <c r="QP8" s="46">
        <v>0</v>
      </c>
      <c r="QQ8" s="46">
        <v>0</v>
      </c>
      <c r="QR8" s="46">
        <v>0</v>
      </c>
      <c r="QS8" s="46">
        <v>0</v>
      </c>
      <c r="QT8" s="46">
        <v>3394568</v>
      </c>
      <c r="QU8" s="46">
        <v>0</v>
      </c>
      <c r="QV8" s="46">
        <v>0</v>
      </c>
      <c r="QW8" s="46">
        <v>0</v>
      </c>
      <c r="QX8" s="46">
        <v>0</v>
      </c>
      <c r="QY8" s="46">
        <v>0</v>
      </c>
      <c r="QZ8" s="46">
        <v>0</v>
      </c>
      <c r="RA8" s="46">
        <v>0</v>
      </c>
      <c r="RB8" s="46">
        <v>0</v>
      </c>
      <c r="RC8" s="46">
        <v>0</v>
      </c>
      <c r="RD8" s="46">
        <v>0</v>
      </c>
      <c r="RE8" s="46">
        <v>0</v>
      </c>
      <c r="RF8" s="46">
        <v>0</v>
      </c>
      <c r="RG8" s="46">
        <v>0</v>
      </c>
      <c r="RH8" s="46">
        <v>0</v>
      </c>
      <c r="RI8" s="46">
        <v>0</v>
      </c>
      <c r="RJ8" s="46">
        <v>0</v>
      </c>
      <c r="RK8" s="46">
        <v>0</v>
      </c>
      <c r="RL8" s="46">
        <v>0</v>
      </c>
      <c r="RM8" s="46">
        <v>0</v>
      </c>
      <c r="RN8" s="46">
        <v>0</v>
      </c>
      <c r="RO8" s="46">
        <v>-75140759</v>
      </c>
      <c r="RP8" s="46">
        <v>0</v>
      </c>
      <c r="RQ8" s="46">
        <v>0</v>
      </c>
      <c r="RR8" s="46">
        <v>0</v>
      </c>
      <c r="RS8" s="46">
        <v>0</v>
      </c>
      <c r="RT8" s="46">
        <v>0</v>
      </c>
      <c r="RU8" s="46">
        <v>0</v>
      </c>
      <c r="RV8" s="46">
        <v>0</v>
      </c>
      <c r="RW8" s="46">
        <v>0</v>
      </c>
      <c r="RX8" s="46">
        <v>0</v>
      </c>
      <c r="RY8" s="46">
        <v>0</v>
      </c>
      <c r="RZ8" s="46">
        <v>0</v>
      </c>
      <c r="SA8" s="46">
        <v>0</v>
      </c>
      <c r="SB8" s="46">
        <v>0</v>
      </c>
      <c r="SC8" s="46">
        <v>0</v>
      </c>
      <c r="SD8" s="46">
        <v>0</v>
      </c>
      <c r="SE8" s="46">
        <v>0</v>
      </c>
      <c r="SF8" s="46">
        <v>0</v>
      </c>
      <c r="SG8" s="46">
        <v>0</v>
      </c>
      <c r="SH8" s="46">
        <v>0</v>
      </c>
      <c r="SI8" s="46">
        <v>0</v>
      </c>
      <c r="SJ8" s="46">
        <v>0</v>
      </c>
      <c r="SK8" s="46">
        <v>0</v>
      </c>
      <c r="SL8" s="46">
        <v>0</v>
      </c>
      <c r="SM8" s="46">
        <v>0</v>
      </c>
      <c r="SN8" s="46">
        <v>0</v>
      </c>
      <c r="SO8" s="46">
        <v>0</v>
      </c>
      <c r="SP8" s="46">
        <v>1938165</v>
      </c>
      <c r="SQ8" s="46">
        <v>0</v>
      </c>
      <c r="SR8" s="46">
        <v>0</v>
      </c>
      <c r="SS8" s="46">
        <v>0</v>
      </c>
      <c r="ST8" s="46">
        <v>0</v>
      </c>
      <c r="SU8" s="46">
        <v>0</v>
      </c>
      <c r="SV8" s="46">
        <v>0</v>
      </c>
      <c r="SW8" s="46">
        <v>0</v>
      </c>
      <c r="SX8" s="46">
        <v>0</v>
      </c>
      <c r="SY8" s="46">
        <v>194104891</v>
      </c>
      <c r="SZ8" s="46">
        <v>247057</v>
      </c>
      <c r="TA8" s="46">
        <v>7539711</v>
      </c>
      <c r="TB8" s="46">
        <v>1620825</v>
      </c>
      <c r="TC8" s="46">
        <v>2840754</v>
      </c>
      <c r="TD8" s="46">
        <v>2215043</v>
      </c>
      <c r="TE8" s="46">
        <v>203808</v>
      </c>
      <c r="TF8" s="46">
        <v>-79548</v>
      </c>
      <c r="TG8" s="46">
        <v>781832</v>
      </c>
      <c r="TH8" s="46">
        <v>84990</v>
      </c>
      <c r="TI8" s="46">
        <v>579416</v>
      </c>
      <c r="TJ8" s="46">
        <v>0</v>
      </c>
      <c r="TK8" s="46">
        <v>0</v>
      </c>
      <c r="TL8" s="46">
        <v>1584965</v>
      </c>
      <c r="TM8" s="46">
        <v>0</v>
      </c>
      <c r="TN8" s="46">
        <v>0</v>
      </c>
      <c r="TO8" s="46">
        <v>0</v>
      </c>
      <c r="TP8" s="46">
        <v>0</v>
      </c>
      <c r="TQ8" s="46">
        <v>0</v>
      </c>
      <c r="TR8" s="46">
        <v>0</v>
      </c>
      <c r="TS8" s="46">
        <v>0</v>
      </c>
      <c r="TT8" s="46">
        <v>0</v>
      </c>
      <c r="TU8" s="46">
        <v>0</v>
      </c>
      <c r="TV8" s="46">
        <v>0</v>
      </c>
      <c r="TW8" s="46">
        <v>0</v>
      </c>
      <c r="TX8" s="46">
        <v>0</v>
      </c>
      <c r="TY8" s="46">
        <v>0</v>
      </c>
      <c r="TZ8" s="46">
        <v>0</v>
      </c>
      <c r="UA8" s="46">
        <v>0</v>
      </c>
      <c r="UB8" s="46">
        <v>0</v>
      </c>
      <c r="UC8" s="46">
        <v>0</v>
      </c>
      <c r="UD8" s="46">
        <v>0</v>
      </c>
      <c r="UE8" s="46">
        <v>215046833</v>
      </c>
      <c r="UF8" s="46">
        <v>86618735</v>
      </c>
      <c r="UG8" s="46">
        <v>13887070</v>
      </c>
      <c r="UH8" s="46">
        <v>49710268</v>
      </c>
      <c r="UI8" s="46">
        <v>86063306</v>
      </c>
      <c r="UJ8" s="46">
        <v>38525833</v>
      </c>
      <c r="UK8" s="46">
        <v>44447306</v>
      </c>
      <c r="UL8" s="46">
        <v>49014073</v>
      </c>
      <c r="UM8" s="46">
        <v>49611260</v>
      </c>
      <c r="UN8" s="46">
        <v>42783824</v>
      </c>
      <c r="UO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16033888</v>
      </c>
      <c r="UP8" s="46">
        <f>SUM(Input[[#This Row],[Oth Exp E&amp;G]],Input[[#This Row],[Oth Exp Desg]],Input[[#This Row],[Oth Exp Aux]],Input[[#This Row],[Oth Exp R Exp]],Input[[#This Row],[Oth Exp Loan]],Input[[#This Row],[Oth Exp Annuity]],Input[[#This Row],[Oth Exp Unexp]],Input[[#This Row],[Oth Exp R of Ind]],Input[[#This Row],[Oth Exp Inv in P]])</f>
        <v>1445026</v>
      </c>
      <c r="UQ8" s="46"/>
      <c r="UR8" s="46"/>
      <c r="US8" s="8" t="s">
        <v>835</v>
      </c>
      <c r="UT8" s="47">
        <v>9568828262</v>
      </c>
      <c r="UU8" s="8" t="s">
        <v>94</v>
      </c>
      <c r="UV8" s="8" t="s">
        <v>836</v>
      </c>
      <c r="UW8" s="47">
        <v>9566657906</v>
      </c>
      <c r="UX8" s="8" t="s">
        <v>837</v>
      </c>
      <c r="UY8" s="51" cm="1">
        <f t="array" ref="UY8">IFERROR(_xlfn.IFS(Input[[#This Row],[Type]]="HRI",SUMIFS('FTSE | FTFE'!$P$8:$P$77,'FTSE | FTFE'!$H$8:$H$77,A8),Input[[#This Row],[Type]]="UNIV",SUMIFS('FTSE | FTFE'!$P$104:$P$139,'FTSE | FTFE'!$H$104:$H$139,A8),OR(Input[[#This Row],[Type]]="TSTC",Input[[#This Row],[Type]]="LSC"),SUMIFS('FTSE | FTFE'!$O$88:$O$96,'FTSE | FTFE'!$H$88:$H$96,A8),Input[[#This Row],[Type]]="AHM",SUMIFS(Hidden!$H$42:$H$45,Hidden!$G$42:$G$45,A8)),"N/A")</f>
        <v>29456</v>
      </c>
      <c r="UZ8" s="51" t="str" cm="1">
        <f t="array" ref="UZ8">IFERROR(_xlfn.IFS(Input[[#This Row],[Type]]="HRI",SUMIFS('FTSE | FTFE'!$Q$8:$Q$77,'FTSE | FTFE'!$H$8:$H$77,A8),Input[[#This Row],[Type]]="UNIV",SUMIFS('FTSE | FTFE'!$Q$104:$Q$139,'FTSE | FTFE'!$H$104:$H$139,A8),OR(Input[[#This Row],[Type]]="TSTC",Input[[#This Row],[Type]]="LSC"),SUMIFS('FTSE | FTFE'!$P$88:$P$96,'FTSE | FTFE'!$H$88:$H$96,A8)),"N/A")</f>
        <v>N/A</v>
      </c>
      <c r="VA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272991903</v>
      </c>
      <c r="VB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8" s="46">
        <f>SUM(Input[[#This Row],[Fed G&amp;C E&amp;G]],Input[[#This Row],[Fed G&amp;C Desg]],Input[[#This Row],[Fed G&amp;C R Exp]],Input[[#This Row],[Fed G&amp;C Loan]],Input[[#This Row],[Fed G&amp;C Annuity]],Input[[#This Row],[Fed G&amp;C Unexp]],Input[[#This Row],[Fed G&amp;C R of Ind]],Input[[#This Row],[Fed G&amp;C Inv in P]])</f>
        <v>215664237</v>
      </c>
      <c r="VD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81880866</v>
      </c>
      <c r="VE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58224721</v>
      </c>
      <c r="VF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34011610</v>
      </c>
      <c r="VG8" s="46">
        <f>SUM(Input[[#This Row],[Oth Inc E&amp;G]],Input[[#This Row],[Oth Exp Desg]],Input[[#This Row],[Oth Exp R Exp]],Input[[#This Row],[Oth Exp Loan]],Input[[#This Row],[Oth Exp Annuity]],Input[[#This Row],[Oth Exp Unexp]],Input[[#This Row],[Oth Exp R of Ind]],Input[[#This Row],[Oth Exp Inv in P]])</f>
        <v>7456662</v>
      </c>
      <c r="VH8" s="46">
        <f>SUM(Input[[#This Row],[Instr E&amp;G]],Input[[#This Row],[Instr Desg]],Input[[#This Row],[Instr R Exp]],Input[[#This Row],[Instr Loan]],Input[[#This Row],[Instr Annuity]],Input[[#This Row],[Instr Unexp]],Input[[#This Row],[Instr R of Ind]],Input[[#This Row],[Instr Inv in P]])</f>
        <v>215046833</v>
      </c>
      <c r="VI8" s="46">
        <f>SUM(Input[[#This Row],[Res E&amp;G]],Input[[#This Row],[Res Desg]],Input[[#This Row],[Res R Exp]],Input[[#This Row],[Res Loan]],Input[[#This Row],[Res Annuity]],Input[[#This Row],[Res Unexp]],Input[[#This Row],[Res R of Ind]],Input[[#This Row],[Res Inv in P]])</f>
        <v>86618735</v>
      </c>
      <c r="VJ8" s="46">
        <f>SUM(Input[[#This Row],[Acad Sup E&amp;G]],Input[[#This Row],[Acad Sup Desg]],Input[[#This Row],[Acad Sup R Exp]],Input[[#This Row],[Acad Sup Loan]],Input[[#This Row],[Acad Sup Annuity]],Input[[#This Row],[Acad Sup Unexp]],Input[[#This Row],[Acad Sup R of Ind]],Input[[#This Row],[Acad Sup Inv in P]])</f>
        <v>86063306</v>
      </c>
      <c r="VK8" s="46">
        <f>SUM(Input[[#This Row],[Stu Svc E&amp;G]],Input[[#This Row],[Stu Svc Desg]],Input[[#This Row],[Stu Svc R Exp]],Input[[#This Row],[Stu Svc Loan]],Input[[#This Row],[Stu Svc Annuity]],Input[[#This Row],[Stu Svc Unexp]],Input[[#This Row],[Stu Svc R of Ind]],Input[[#This Row],[Stu Svc Inv in P]])</f>
        <v>38525833</v>
      </c>
      <c r="VL8" s="46">
        <f>SUM(Input[[#This Row],[Inst. Spt E&amp;G]],Input[[#This Row],[Inst. Spt Desg]],Input[[#This Row],[Inst. Spt R Exp]],Input[[#This Row],[Inst. Spt Loan]],Input[[#This Row],[Inst. Spt Annuity]],Input[[#This Row],[Inst. Spt Unexp]],Input[[#This Row],[Inst. Spt R of Ind]],Input[[#This Row],[Inst. Spt Inv in P]])</f>
        <v>44447306</v>
      </c>
      <c r="VM8" s="46">
        <f>SUM(Input[[#This Row],[M&amp;O Plnt E&amp;G]],Input[[#This Row],[M&amp;O Plnt Desg]],Input[[#This Row],[M&amp;O Plnt R Exp]],Input[[#This Row],[M&amp;O Plnt Loan]],Input[[#This Row],[M&amp;O Plnt Annuity]],Input[[#This Row],[M&amp;O Plnt Unexp]],Input[[#This Row],[M&amp;O Plnt R of Ind]],Input[[#This Row],[M&amp;O Plnt Inv in P]])</f>
        <v>49014073</v>
      </c>
      <c r="VN8" s="46">
        <f>SUM(Input[[#This Row],[Schl &amp; Fell E&amp;G]],Input[[#This Row],[Schl &amp; Fell Desg]],Input[[#This Row],[Schl &amp; Fell R Exp]],Input[[#This Row],[Schl &amp; Fell Loan]],Input[[#This Row],[Schl &amp; Fell Annuity]],Input[[#This Row],[Schl &amp; Fell Unexp]],Input[[#This Row],[Schl &amp; Fell R of Ind]],Input[[#This Row],[Schl &amp; Fell Inv in P]])</f>
        <v>49611260</v>
      </c>
      <c r="VO8" s="46">
        <f>SUM(Input[[#This Row],[Cap Out fund E&amp;G]],Input[[#This Row],[Cap Out fund Desg]],Input[[#This Row],[Cap Out fund R Exp]],Input[[#This Row],[Cap Out fund Loan]],Input[[#This Row],[Cap Out fund Annuity]],Input[[#This Row],[Cap Out fund Unexp]],Input[[#This Row],[Cap Out fund R of Ind]],Input[[#This Row],[Cap Out fund Inv in P]])</f>
        <v>15837805</v>
      </c>
      <c r="VP8" s="46">
        <f>SUM(Input[[#This Row],[Oth Exp E&amp;G]],Input[[#This Row],[Oth Exp Desg]],Input[[#This Row],[Oth Exp R Exp]],Input[[#This Row],[Oth Exp Loan]],Input[[#This Row],[Oth Exp Annuity]],Input[[#This Row],[Oth Exp Unexp]],Input[[#This Row],[Oth Exp R of Ind]],Input[[#This Row],[Oth Exp Inv in P]],Input[[#This Row],[Oth Exp Inv in P]])</f>
        <v>846223</v>
      </c>
    </row>
    <row r="9" spans="1:588" ht="30" customHeight="1" x14ac:dyDescent="0.3">
      <c r="A9" s="15" t="s">
        <v>164</v>
      </c>
      <c r="B9" s="36" t="s">
        <v>106</v>
      </c>
      <c r="C9" s="36" t="s">
        <v>110</v>
      </c>
      <c r="D9" s="36">
        <v>107</v>
      </c>
      <c r="E9" s="36" t="s">
        <v>132</v>
      </c>
      <c r="F9" s="95" cm="1">
        <f t="array" ref="F9">IFERROR(_xlfn.IFS(Input[[#This Row],[Type]]="HRI",SUMIFS('FTSE | FTFE'!$I$8:$I$77,'FTSE | FTFE'!$H$8:$H$77,A9),Input[[#This Row],[Type]]="UNIV",SUMIFS('FTSE | FTFE'!$I$104:$I$139,'FTSE | FTFE'!$H$104:$H$139,A9),OR(Input[[#This Row],[Type]]="TSTC",Input[[#This Row],[Type]]="LSC"),SUMIFS('FTSE | FTFE'!$I$88:$I$96,'FTSE | FTFE'!$H$88:$H$96,A9)),"N/A")</f>
        <v>3599</v>
      </c>
      <c r="G9" s="46">
        <v>144536763</v>
      </c>
      <c r="H9" s="46">
        <v>0</v>
      </c>
      <c r="I9" s="46">
        <v>0</v>
      </c>
      <c r="J9" s="46">
        <v>0</v>
      </c>
      <c r="K9" s="46">
        <v>0</v>
      </c>
      <c r="L9" s="46">
        <v>0</v>
      </c>
      <c r="M9" s="46">
        <v>0</v>
      </c>
      <c r="N9" s="46">
        <v>0</v>
      </c>
      <c r="O9" s="46">
        <v>0</v>
      </c>
      <c r="P9" s="46">
        <v>64454476</v>
      </c>
      <c r="Q9" s="46">
        <v>3607843</v>
      </c>
      <c r="R9" s="46">
        <v>0</v>
      </c>
      <c r="S9" s="46">
        <v>1340919</v>
      </c>
      <c r="T9" s="46">
        <v>0</v>
      </c>
      <c r="U9" s="46">
        <v>0</v>
      </c>
      <c r="V9" s="46">
        <v>0</v>
      </c>
      <c r="W9" s="46">
        <v>0</v>
      </c>
      <c r="X9" s="46">
        <v>0</v>
      </c>
      <c r="Y9" s="46">
        <v>0</v>
      </c>
      <c r="Z9" s="46">
        <v>0</v>
      </c>
      <c r="AA9" s="46">
        <v>0</v>
      </c>
      <c r="AB9" s="46">
        <v>0</v>
      </c>
      <c r="AC9" s="46">
        <v>0</v>
      </c>
      <c r="AD9" s="46">
        <v>0</v>
      </c>
      <c r="AE9" s="46">
        <v>0</v>
      </c>
      <c r="AF9" s="46">
        <v>0</v>
      </c>
      <c r="AG9" s="46">
        <v>0</v>
      </c>
      <c r="AH9" s="46">
        <v>0</v>
      </c>
      <c r="AI9" s="46">
        <v>0</v>
      </c>
      <c r="AJ9" s="46">
        <v>0</v>
      </c>
      <c r="AK9" s="46">
        <v>0</v>
      </c>
      <c r="AL9" s="46">
        <v>0</v>
      </c>
      <c r="AM9" s="46">
        <v>0</v>
      </c>
      <c r="AN9" s="46">
        <v>0</v>
      </c>
      <c r="AO9" s="46">
        <v>0</v>
      </c>
      <c r="AP9" s="46">
        <v>0</v>
      </c>
      <c r="AQ9" s="46">
        <v>-8240351</v>
      </c>
      <c r="AR9" s="46">
        <v>0</v>
      </c>
      <c r="AS9" s="46">
        <v>0</v>
      </c>
      <c r="AT9" s="46">
        <v>0</v>
      </c>
      <c r="AU9" s="46">
        <v>0</v>
      </c>
      <c r="AV9" s="46">
        <v>0</v>
      </c>
      <c r="AW9" s="46">
        <v>0</v>
      </c>
      <c r="AX9" s="46">
        <v>0</v>
      </c>
      <c r="AY9" s="46">
        <v>0</v>
      </c>
      <c r="AZ9" s="46">
        <v>0</v>
      </c>
      <c r="BA9" s="46">
        <v>-13345</v>
      </c>
      <c r="BB9" s="46">
        <v>0</v>
      </c>
      <c r="BC9" s="46">
        <v>0</v>
      </c>
      <c r="BD9" s="46">
        <v>0</v>
      </c>
      <c r="BE9" s="46">
        <v>0</v>
      </c>
      <c r="BF9" s="46">
        <v>0</v>
      </c>
      <c r="BG9" s="46">
        <v>0</v>
      </c>
      <c r="BH9" s="46">
        <v>0</v>
      </c>
      <c r="BI9" s="46">
        <v>0</v>
      </c>
      <c r="BJ9" s="46">
        <v>0</v>
      </c>
      <c r="BK9" s="46">
        <v>0</v>
      </c>
      <c r="BL9" s="46">
        <v>0</v>
      </c>
      <c r="BM9" s="46">
        <v>0</v>
      </c>
      <c r="BN9" s="46">
        <v>0</v>
      </c>
      <c r="BO9" s="46">
        <v>0</v>
      </c>
      <c r="BP9" s="46">
        <v>0</v>
      </c>
      <c r="BQ9" s="46">
        <v>0</v>
      </c>
      <c r="BR9" s="46">
        <v>0</v>
      </c>
      <c r="BS9" s="46">
        <v>0</v>
      </c>
      <c r="BT9" s="46">
        <v>0</v>
      </c>
      <c r="BU9" s="46">
        <v>0</v>
      </c>
      <c r="BV9" s="46">
        <v>0</v>
      </c>
      <c r="BW9" s="46">
        <v>0</v>
      </c>
      <c r="BX9" s="46">
        <v>0</v>
      </c>
      <c r="BY9" s="46">
        <v>0</v>
      </c>
      <c r="BZ9" s="46">
        <v>0</v>
      </c>
      <c r="CA9" s="46">
        <v>46127576</v>
      </c>
      <c r="CB9" s="46">
        <v>205977967</v>
      </c>
      <c r="CC9" s="46">
        <v>0</v>
      </c>
      <c r="CD9" s="46">
        <v>0</v>
      </c>
      <c r="CE9" s="46">
        <v>0</v>
      </c>
      <c r="CF9" s="46">
        <v>0</v>
      </c>
      <c r="CG9" s="46">
        <v>0</v>
      </c>
      <c r="CH9" s="46">
        <v>0</v>
      </c>
      <c r="CI9" s="46">
        <v>0</v>
      </c>
      <c r="CJ9" s="46">
        <v>0</v>
      </c>
      <c r="CK9" s="46">
        <v>0</v>
      </c>
      <c r="CL9" s="46">
        <v>0</v>
      </c>
      <c r="CM9" s="46">
        <v>0</v>
      </c>
      <c r="CN9" s="46">
        <v>0</v>
      </c>
      <c r="CO9" s="46">
        <v>0</v>
      </c>
      <c r="CP9" s="46">
        <v>0</v>
      </c>
      <c r="CQ9" s="46">
        <v>0</v>
      </c>
      <c r="CR9" s="46">
        <v>0</v>
      </c>
      <c r="CS9" s="46">
        <v>0</v>
      </c>
      <c r="CT9" s="46">
        <v>0</v>
      </c>
      <c r="CU9" s="46">
        <v>0</v>
      </c>
      <c r="CV9" s="46">
        <v>0</v>
      </c>
      <c r="CW9" s="46">
        <v>0</v>
      </c>
      <c r="CX9" s="46">
        <v>0</v>
      </c>
      <c r="CY9" s="46">
        <v>0</v>
      </c>
      <c r="CZ9" s="46">
        <v>0</v>
      </c>
      <c r="DA9" s="46">
        <v>0</v>
      </c>
      <c r="DB9" s="46">
        <v>-3520630</v>
      </c>
      <c r="DC9" s="46">
        <v>-7644003</v>
      </c>
      <c r="DD9" s="46">
        <v>0</v>
      </c>
      <c r="DE9" s="46">
        <v>0</v>
      </c>
      <c r="DF9" s="46">
        <v>0</v>
      </c>
      <c r="DG9" s="46">
        <v>0</v>
      </c>
      <c r="DH9" s="46">
        <v>0</v>
      </c>
      <c r="DI9" s="46">
        <v>0</v>
      </c>
      <c r="DJ9" s="46">
        <v>0</v>
      </c>
      <c r="DK9" s="46">
        <v>0</v>
      </c>
      <c r="DL9" s="46">
        <v>0</v>
      </c>
      <c r="DM9" s="46">
        <v>0</v>
      </c>
      <c r="DN9" s="46">
        <v>0</v>
      </c>
      <c r="DO9" s="46">
        <v>0</v>
      </c>
      <c r="DP9" s="46">
        <v>0</v>
      </c>
      <c r="DQ9" s="46">
        <v>0</v>
      </c>
      <c r="DR9" s="46">
        <v>0</v>
      </c>
      <c r="DS9" s="46">
        <v>0</v>
      </c>
      <c r="DT9" s="46">
        <v>-35334609</v>
      </c>
      <c r="DU9" s="46">
        <v>-151689843</v>
      </c>
      <c r="DV9" s="46">
        <v>0</v>
      </c>
      <c r="DW9" s="46">
        <v>0</v>
      </c>
      <c r="DX9" s="46">
        <v>0</v>
      </c>
      <c r="DY9" s="46">
        <v>0</v>
      </c>
      <c r="DZ9" s="46">
        <v>0</v>
      </c>
      <c r="EA9" s="46">
        <v>0</v>
      </c>
      <c r="EB9" s="46">
        <v>0</v>
      </c>
      <c r="EC9" s="46">
        <v>0</v>
      </c>
      <c r="ED9" s="46">
        <v>0</v>
      </c>
      <c r="EE9" s="46">
        <v>0</v>
      </c>
      <c r="EF9" s="46">
        <v>0</v>
      </c>
      <c r="EG9" s="46">
        <v>0</v>
      </c>
      <c r="EH9" s="46">
        <v>0</v>
      </c>
      <c r="EI9" s="46">
        <v>0</v>
      </c>
      <c r="EJ9" s="46">
        <v>0</v>
      </c>
      <c r="EK9" s="46">
        <v>0</v>
      </c>
      <c r="EL9" s="46">
        <v>0</v>
      </c>
      <c r="EM9" s="46">
        <v>0</v>
      </c>
      <c r="EN9" s="46">
        <v>0</v>
      </c>
      <c r="EO9" s="46">
        <v>0</v>
      </c>
      <c r="EP9" s="46">
        <v>0</v>
      </c>
      <c r="EQ9" s="46">
        <v>0</v>
      </c>
      <c r="ER9" s="46">
        <v>0</v>
      </c>
      <c r="ES9" s="46">
        <v>0</v>
      </c>
      <c r="ET9" s="46">
        <v>0</v>
      </c>
      <c r="EU9" s="46">
        <v>0</v>
      </c>
      <c r="EV9" s="46">
        <v>0</v>
      </c>
      <c r="EW9" s="46">
        <v>0</v>
      </c>
      <c r="EX9" s="46">
        <v>0</v>
      </c>
      <c r="EY9" s="46">
        <v>0</v>
      </c>
      <c r="EZ9" s="46">
        <v>0</v>
      </c>
      <c r="FA9" s="46">
        <v>0</v>
      </c>
      <c r="FB9" s="46">
        <v>0</v>
      </c>
      <c r="FC9" s="46">
        <v>0</v>
      </c>
      <c r="FD9" s="46">
        <v>0</v>
      </c>
      <c r="FE9" s="46">
        <v>0</v>
      </c>
      <c r="FF9" s="46">
        <v>0</v>
      </c>
      <c r="FG9" s="46">
        <v>0</v>
      </c>
      <c r="FH9" s="46">
        <v>0</v>
      </c>
      <c r="FI9" s="46">
        <v>0</v>
      </c>
      <c r="FJ9" s="46">
        <v>0</v>
      </c>
      <c r="FK9" s="46">
        <v>0</v>
      </c>
      <c r="FL9" s="46">
        <v>0</v>
      </c>
      <c r="FM9" s="46">
        <v>2310985</v>
      </c>
      <c r="FN9" s="46">
        <v>31244758</v>
      </c>
      <c r="FO9" s="46">
        <v>32297428</v>
      </c>
      <c r="FP9" s="46">
        <v>0</v>
      </c>
      <c r="FQ9" s="46">
        <v>0</v>
      </c>
      <c r="FR9" s="46">
        <v>0</v>
      </c>
      <c r="FS9" s="46">
        <v>0</v>
      </c>
      <c r="FT9" s="46">
        <v>0</v>
      </c>
      <c r="FU9" s="46">
        <v>0</v>
      </c>
      <c r="FV9" s="46">
        <v>0</v>
      </c>
      <c r="FW9" s="46">
        <v>0</v>
      </c>
      <c r="FX9" s="46">
        <v>0</v>
      </c>
      <c r="FY9" s="46">
        <v>0</v>
      </c>
      <c r="FZ9" s="46">
        <v>0</v>
      </c>
      <c r="GA9" s="46">
        <v>0</v>
      </c>
      <c r="GB9" s="46">
        <v>0</v>
      </c>
      <c r="GC9" s="46">
        <v>0</v>
      </c>
      <c r="GD9" s="46">
        <v>0</v>
      </c>
      <c r="GE9" s="46">
        <v>0</v>
      </c>
      <c r="GF9" s="46">
        <v>0</v>
      </c>
      <c r="GG9" s="46">
        <v>0</v>
      </c>
      <c r="GH9" s="46">
        <v>0</v>
      </c>
      <c r="GI9" s="46">
        <v>0</v>
      </c>
      <c r="GJ9" s="46">
        <v>0</v>
      </c>
      <c r="GK9" s="46">
        <v>0</v>
      </c>
      <c r="GL9" s="46">
        <v>0</v>
      </c>
      <c r="GM9" s="46">
        <v>0</v>
      </c>
      <c r="GN9" s="46">
        <v>0</v>
      </c>
      <c r="GO9" s="46">
        <v>0</v>
      </c>
      <c r="GP9" s="46">
        <v>-1149181</v>
      </c>
      <c r="GQ9" s="46">
        <v>0</v>
      </c>
      <c r="GR9" s="46">
        <v>0</v>
      </c>
      <c r="GS9" s="46">
        <v>0</v>
      </c>
      <c r="GT9" s="46">
        <v>0</v>
      </c>
      <c r="GU9" s="46">
        <v>0</v>
      </c>
      <c r="GV9" s="46">
        <v>0</v>
      </c>
      <c r="GW9" s="46">
        <v>0</v>
      </c>
      <c r="GX9" s="46">
        <v>0</v>
      </c>
      <c r="GY9" s="46">
        <v>0</v>
      </c>
      <c r="GZ9" s="46">
        <v>0</v>
      </c>
      <c r="HA9" s="46">
        <v>0</v>
      </c>
      <c r="HB9" s="46">
        <v>0</v>
      </c>
      <c r="HC9" s="46">
        <v>0</v>
      </c>
      <c r="HD9" s="46">
        <v>0</v>
      </c>
      <c r="HE9" s="46">
        <v>0</v>
      </c>
      <c r="HF9" s="46">
        <v>0</v>
      </c>
      <c r="HG9" s="46">
        <v>0</v>
      </c>
      <c r="HH9" s="46">
        <v>-15572487</v>
      </c>
      <c r="HI9" s="46">
        <v>0</v>
      </c>
      <c r="HJ9" s="46">
        <v>0</v>
      </c>
      <c r="HK9" s="46">
        <v>0</v>
      </c>
      <c r="HL9" s="46">
        <v>0</v>
      </c>
      <c r="HM9" s="46">
        <v>0</v>
      </c>
      <c r="HN9" s="46">
        <v>0</v>
      </c>
      <c r="HO9" s="46">
        <v>0</v>
      </c>
      <c r="HP9" s="46">
        <v>11998493</v>
      </c>
      <c r="HQ9" s="46">
        <v>0</v>
      </c>
      <c r="HR9" s="46">
        <v>193341079</v>
      </c>
      <c r="HS9" s="46">
        <v>0</v>
      </c>
      <c r="HT9" s="46">
        <v>0</v>
      </c>
      <c r="HU9" s="46">
        <v>0</v>
      </c>
      <c r="HV9" s="46">
        <v>0</v>
      </c>
      <c r="HW9" s="46">
        <v>0</v>
      </c>
      <c r="HX9" s="46">
        <v>0</v>
      </c>
      <c r="HY9" s="46">
        <v>0</v>
      </c>
      <c r="HZ9" s="46">
        <v>0</v>
      </c>
      <c r="IA9" s="46">
        <v>0</v>
      </c>
      <c r="IB9" s="46">
        <v>0</v>
      </c>
      <c r="IC9" s="46">
        <v>0</v>
      </c>
      <c r="ID9" s="46">
        <v>0</v>
      </c>
      <c r="IE9" s="46">
        <v>0</v>
      </c>
      <c r="IF9" s="46">
        <v>0</v>
      </c>
      <c r="IG9" s="46">
        <v>0</v>
      </c>
      <c r="IH9" s="46">
        <v>0</v>
      </c>
      <c r="II9" s="46">
        <v>0</v>
      </c>
      <c r="IJ9" s="46">
        <v>0</v>
      </c>
      <c r="IK9" s="46">
        <v>0</v>
      </c>
      <c r="IL9" s="46">
        <v>0</v>
      </c>
      <c r="IM9" s="46">
        <v>0</v>
      </c>
      <c r="IN9" s="46">
        <v>0</v>
      </c>
      <c r="IO9" s="46">
        <v>0</v>
      </c>
      <c r="IP9" s="46">
        <v>1314240</v>
      </c>
      <c r="IQ9" s="46">
        <v>24601098</v>
      </c>
      <c r="IR9" s="46">
        <v>13068</v>
      </c>
      <c r="IS9" s="46">
        <v>3415891</v>
      </c>
      <c r="IT9" s="46">
        <v>0</v>
      </c>
      <c r="IU9" s="46">
        <v>762</v>
      </c>
      <c r="IV9" s="46">
        <v>0</v>
      </c>
      <c r="IW9" s="46">
        <v>0</v>
      </c>
      <c r="IX9" s="46">
        <v>0</v>
      </c>
      <c r="IY9" s="46">
        <v>0</v>
      </c>
      <c r="IZ9" s="46">
        <v>5300</v>
      </c>
      <c r="JA9" s="46">
        <v>0</v>
      </c>
      <c r="JB9" s="46">
        <v>200368</v>
      </c>
      <c r="JC9" s="46">
        <v>0</v>
      </c>
      <c r="JD9" s="46">
        <v>0</v>
      </c>
      <c r="JE9" s="46">
        <v>0</v>
      </c>
      <c r="JF9" s="46">
        <v>0</v>
      </c>
      <c r="JG9" s="46">
        <v>0</v>
      </c>
      <c r="JH9" s="46">
        <v>0</v>
      </c>
      <c r="JI9" s="46">
        <v>-8299947</v>
      </c>
      <c r="JJ9" s="46">
        <v>0</v>
      </c>
      <c r="JK9" s="46">
        <v>19042582</v>
      </c>
      <c r="JL9" s="46">
        <v>0</v>
      </c>
      <c r="JM9" s="46">
        <v>0</v>
      </c>
      <c r="JN9" s="46">
        <v>380063</v>
      </c>
      <c r="JO9" s="46">
        <v>0</v>
      </c>
      <c r="JP9" s="46">
        <v>0</v>
      </c>
      <c r="JQ9" s="46">
        <v>0</v>
      </c>
      <c r="JR9" s="46">
        <v>8072294</v>
      </c>
      <c r="JS9" s="46">
        <v>0</v>
      </c>
      <c r="JT9" s="46">
        <v>1506694</v>
      </c>
      <c r="JU9" s="46">
        <v>0</v>
      </c>
      <c r="JV9" s="46">
        <v>0</v>
      </c>
      <c r="JW9" s="46">
        <v>0</v>
      </c>
      <c r="JX9" s="46">
        <v>0</v>
      </c>
      <c r="JY9" s="46">
        <v>0</v>
      </c>
      <c r="JZ9" s="46">
        <v>0</v>
      </c>
      <c r="KA9" s="46">
        <v>0</v>
      </c>
      <c r="KB9" s="46">
        <v>11842821</v>
      </c>
      <c r="KC9" s="46">
        <v>0</v>
      </c>
      <c r="KD9" s="46">
        <v>0</v>
      </c>
      <c r="KE9" s="46">
        <v>0</v>
      </c>
      <c r="KF9" s="46">
        <v>0</v>
      </c>
      <c r="KG9" s="46">
        <v>0</v>
      </c>
      <c r="KH9" s="46">
        <v>0</v>
      </c>
      <c r="KI9" s="46">
        <v>6255785</v>
      </c>
      <c r="KJ9" s="46">
        <v>11108763</v>
      </c>
      <c r="KK9" s="46">
        <v>4475</v>
      </c>
      <c r="KL9" s="46">
        <v>66042</v>
      </c>
      <c r="KM9" s="46">
        <v>363505</v>
      </c>
      <c r="KN9" s="46">
        <v>0</v>
      </c>
      <c r="KO9" s="46">
        <v>0</v>
      </c>
      <c r="KP9" s="46">
        <v>0</v>
      </c>
      <c r="KQ9" s="46">
        <v>0</v>
      </c>
      <c r="KR9" s="46">
        <v>113508524</v>
      </c>
      <c r="KS9" s="46">
        <v>42695581</v>
      </c>
      <c r="KT9" s="46">
        <v>0</v>
      </c>
      <c r="KU9" s="46">
        <v>20853595</v>
      </c>
      <c r="KV9" s="46">
        <v>0</v>
      </c>
      <c r="KW9" s="46">
        <v>0</v>
      </c>
      <c r="KX9" s="46">
        <v>0</v>
      </c>
      <c r="KY9" s="46">
        <v>0</v>
      </c>
      <c r="KZ9" s="46">
        <v>0</v>
      </c>
      <c r="LA9" s="46">
        <v>1265434</v>
      </c>
      <c r="LB9" s="46">
        <v>39216431</v>
      </c>
      <c r="LC9" s="46">
        <v>0</v>
      </c>
      <c r="LD9" s="46">
        <v>23591356</v>
      </c>
      <c r="LE9" s="46">
        <v>0</v>
      </c>
      <c r="LF9" s="46">
        <v>0</v>
      </c>
      <c r="LG9" s="46">
        <v>0</v>
      </c>
      <c r="LH9" s="46">
        <v>0</v>
      </c>
      <c r="LI9" s="46">
        <v>0</v>
      </c>
      <c r="LJ9" s="46">
        <v>6888441</v>
      </c>
      <c r="LK9" s="46">
        <v>1682753</v>
      </c>
      <c r="LL9" s="46">
        <v>0</v>
      </c>
      <c r="LM9" s="46">
        <v>4281933</v>
      </c>
      <c r="LN9" s="46">
        <v>0</v>
      </c>
      <c r="LO9" s="46">
        <v>0</v>
      </c>
      <c r="LP9" s="46">
        <v>0</v>
      </c>
      <c r="LQ9" s="46">
        <v>0</v>
      </c>
      <c r="LR9" s="46">
        <v>0</v>
      </c>
      <c r="LS9" s="46">
        <v>0</v>
      </c>
      <c r="LT9" s="46">
        <v>0</v>
      </c>
      <c r="LU9" s="46">
        <v>0</v>
      </c>
      <c r="LV9" s="46">
        <v>0</v>
      </c>
      <c r="LW9" s="46">
        <v>0</v>
      </c>
      <c r="LX9" s="46">
        <v>0</v>
      </c>
      <c r="LY9" s="46">
        <v>0</v>
      </c>
      <c r="LZ9" s="46">
        <v>0</v>
      </c>
      <c r="MA9" s="46">
        <v>0</v>
      </c>
      <c r="MB9" s="46">
        <v>22337073</v>
      </c>
      <c r="MC9" s="46">
        <v>38483355</v>
      </c>
      <c r="MD9" s="46">
        <v>0</v>
      </c>
      <c r="ME9" s="46">
        <v>2166187</v>
      </c>
      <c r="MF9" s="46">
        <v>0</v>
      </c>
      <c r="MG9" s="46">
        <v>0</v>
      </c>
      <c r="MH9" s="46">
        <v>0</v>
      </c>
      <c r="MI9" s="46">
        <v>0</v>
      </c>
      <c r="MJ9" s="46">
        <v>0</v>
      </c>
      <c r="MK9" s="46">
        <v>14954950</v>
      </c>
      <c r="ML9" s="46">
        <v>15126667</v>
      </c>
      <c r="MM9" s="46">
        <v>0</v>
      </c>
      <c r="MN9" s="46">
        <v>5624838</v>
      </c>
      <c r="MO9" s="46">
        <v>151735</v>
      </c>
      <c r="MP9" s="46">
        <v>0</v>
      </c>
      <c r="MQ9" s="46">
        <v>0</v>
      </c>
      <c r="MR9" s="46">
        <v>0</v>
      </c>
      <c r="MS9" s="46">
        <v>0</v>
      </c>
      <c r="MT9" s="46">
        <v>14994707</v>
      </c>
      <c r="MU9" s="46">
        <v>29147809</v>
      </c>
      <c r="MV9" s="46">
        <v>0</v>
      </c>
      <c r="MW9" s="46">
        <v>219636</v>
      </c>
      <c r="MX9" s="46">
        <v>0</v>
      </c>
      <c r="MY9" s="46">
        <v>0</v>
      </c>
      <c r="MZ9" s="46">
        <v>0</v>
      </c>
      <c r="NA9" s="46">
        <v>0</v>
      </c>
      <c r="NB9" s="46">
        <v>0</v>
      </c>
      <c r="NC9" s="46">
        <v>15778438</v>
      </c>
      <c r="ND9" s="46">
        <v>27219420</v>
      </c>
      <c r="NE9" s="46">
        <v>0</v>
      </c>
      <c r="NF9" s="46">
        <v>23148</v>
      </c>
      <c r="NG9" s="46">
        <v>0</v>
      </c>
      <c r="NH9" s="46">
        <v>0</v>
      </c>
      <c r="NI9" s="46">
        <v>1546452</v>
      </c>
      <c r="NJ9" s="46">
        <v>0</v>
      </c>
      <c r="NK9" s="46">
        <v>0</v>
      </c>
      <c r="NL9" s="46">
        <v>4372419</v>
      </c>
      <c r="NM9" s="46">
        <v>14804145</v>
      </c>
      <c r="NN9" s="46">
        <v>0</v>
      </c>
      <c r="NO9" s="46">
        <v>29966294</v>
      </c>
      <c r="NP9" s="46">
        <v>0</v>
      </c>
      <c r="NQ9" s="46">
        <v>0</v>
      </c>
      <c r="NR9" s="46">
        <v>0</v>
      </c>
      <c r="NS9" s="46">
        <v>0</v>
      </c>
      <c r="NT9" s="46">
        <v>0</v>
      </c>
      <c r="NU9" s="46">
        <v>0</v>
      </c>
      <c r="NV9" s="46">
        <v>6733723</v>
      </c>
      <c r="NW9" s="46">
        <v>35275713</v>
      </c>
      <c r="NX9" s="46">
        <v>514560</v>
      </c>
      <c r="NY9" s="46">
        <v>0</v>
      </c>
      <c r="NZ9" s="46">
        <v>0</v>
      </c>
      <c r="OA9" s="46">
        <v>0</v>
      </c>
      <c r="OB9" s="46">
        <v>0</v>
      </c>
      <c r="OC9" s="46">
        <v>0</v>
      </c>
      <c r="OD9" s="46">
        <v>393248</v>
      </c>
      <c r="OE9" s="46">
        <v>5252404</v>
      </c>
      <c r="OF9" s="46">
        <v>196083</v>
      </c>
      <c r="OG9" s="46">
        <v>4434063</v>
      </c>
      <c r="OH9" s="46">
        <v>0</v>
      </c>
      <c r="OI9" s="46">
        <v>0</v>
      </c>
      <c r="OJ9" s="46">
        <v>0</v>
      </c>
      <c r="OK9" s="46">
        <v>0</v>
      </c>
      <c r="OL9" s="46">
        <v>0</v>
      </c>
      <c r="OM9" s="46">
        <v>0</v>
      </c>
      <c r="ON9" s="46">
        <v>505348</v>
      </c>
      <c r="OO9" s="46">
        <v>598803</v>
      </c>
      <c r="OP9" s="46">
        <v>0</v>
      </c>
      <c r="OQ9" s="46">
        <v>0</v>
      </c>
      <c r="OR9" s="46">
        <v>0</v>
      </c>
      <c r="OS9" s="46">
        <v>0</v>
      </c>
      <c r="OT9" s="46">
        <v>0</v>
      </c>
      <c r="OU9" s="46">
        <v>0</v>
      </c>
      <c r="OV9" s="46">
        <v>0</v>
      </c>
      <c r="OW9" s="46">
        <v>0</v>
      </c>
      <c r="OX9" s="46">
        <v>0</v>
      </c>
      <c r="OY9" s="46">
        <v>0</v>
      </c>
      <c r="OZ9" s="46">
        <v>0</v>
      </c>
      <c r="PA9" s="46">
        <v>0</v>
      </c>
      <c r="PB9" s="46">
        <v>-111367529</v>
      </c>
      <c r="PC9" s="46">
        <v>0</v>
      </c>
      <c r="PD9" s="46">
        <v>0</v>
      </c>
      <c r="PE9" s="46">
        <v>-16014864</v>
      </c>
      <c r="PF9" s="46">
        <v>89975342</v>
      </c>
      <c r="PG9" s="46">
        <v>15709493</v>
      </c>
      <c r="PH9" s="46">
        <v>-115544386</v>
      </c>
      <c r="PI9" s="46">
        <v>372788</v>
      </c>
      <c r="PJ9" s="46">
        <v>14091065</v>
      </c>
      <c r="PK9" s="46">
        <v>9235498</v>
      </c>
      <c r="PL9" s="46">
        <v>0</v>
      </c>
      <c r="PM9" s="46">
        <v>0</v>
      </c>
      <c r="PN9" s="46">
        <v>0</v>
      </c>
      <c r="PO9" s="46">
        <v>0</v>
      </c>
      <c r="PP9" s="46">
        <v>0</v>
      </c>
      <c r="PQ9" s="46">
        <v>0</v>
      </c>
      <c r="PR9" s="46">
        <v>0</v>
      </c>
      <c r="PS9" s="46">
        <v>0</v>
      </c>
      <c r="PT9" s="46">
        <v>111432618</v>
      </c>
      <c r="PU9" s="46">
        <v>0</v>
      </c>
      <c r="PV9" s="46">
        <v>0</v>
      </c>
      <c r="PW9" s="46">
        <v>-14788278</v>
      </c>
      <c r="PX9" s="46">
        <v>-5833971</v>
      </c>
      <c r="PY9" s="46">
        <v>-4596376</v>
      </c>
      <c r="PZ9" s="46">
        <v>0</v>
      </c>
      <c r="QA9" s="46">
        <v>0</v>
      </c>
      <c r="QB9" s="46">
        <v>0</v>
      </c>
      <c r="QC9" s="46">
        <v>0</v>
      </c>
      <c r="QD9" s="46">
        <v>0</v>
      </c>
      <c r="QE9" s="46">
        <v>0</v>
      </c>
      <c r="QF9" s="46">
        <v>0</v>
      </c>
      <c r="QG9" s="46">
        <v>5815347</v>
      </c>
      <c r="QH9" s="46">
        <v>0</v>
      </c>
      <c r="QI9" s="46">
        <v>0</v>
      </c>
      <c r="QJ9" s="46">
        <v>0</v>
      </c>
      <c r="QK9" s="46">
        <v>6954118</v>
      </c>
      <c r="QL9" s="46">
        <v>0</v>
      </c>
      <c r="QM9" s="46">
        <v>0</v>
      </c>
      <c r="QN9" s="46">
        <v>0</v>
      </c>
      <c r="QO9" s="46">
        <v>0</v>
      </c>
      <c r="QP9" s="46">
        <v>0</v>
      </c>
      <c r="QQ9" s="46">
        <v>0</v>
      </c>
      <c r="QR9" s="46">
        <v>0</v>
      </c>
      <c r="QS9" s="46">
        <v>0</v>
      </c>
      <c r="QT9" s="46">
        <v>1814061</v>
      </c>
      <c r="QU9" s="46">
        <v>0</v>
      </c>
      <c r="QV9" s="46">
        <v>0</v>
      </c>
      <c r="QW9" s="46">
        <v>0</v>
      </c>
      <c r="QX9" s="46">
        <v>0</v>
      </c>
      <c r="QY9" s="46">
        <v>0</v>
      </c>
      <c r="QZ9" s="46">
        <v>0</v>
      </c>
      <c r="RA9" s="46">
        <v>0</v>
      </c>
      <c r="RB9" s="46">
        <v>0</v>
      </c>
      <c r="RC9" s="46">
        <v>0</v>
      </c>
      <c r="RD9" s="46">
        <v>0</v>
      </c>
      <c r="RE9" s="46">
        <v>0</v>
      </c>
      <c r="RF9" s="46">
        <v>0</v>
      </c>
      <c r="RG9" s="46">
        <v>0</v>
      </c>
      <c r="RH9" s="46">
        <v>0</v>
      </c>
      <c r="RI9" s="46">
        <v>0</v>
      </c>
      <c r="RJ9" s="46">
        <v>0</v>
      </c>
      <c r="RK9" s="46">
        <v>0</v>
      </c>
      <c r="RL9" s="46">
        <v>0</v>
      </c>
      <c r="RM9" s="46">
        <v>0</v>
      </c>
      <c r="RN9" s="46">
        <v>0</v>
      </c>
      <c r="RO9" s="46">
        <v>-54976056</v>
      </c>
      <c r="RP9" s="46">
        <v>0</v>
      </c>
      <c r="RQ9" s="46">
        <v>0</v>
      </c>
      <c r="RR9" s="46">
        <v>0</v>
      </c>
      <c r="RS9" s="46">
        <v>0</v>
      </c>
      <c r="RT9" s="46">
        <v>0</v>
      </c>
      <c r="RU9" s="46">
        <v>0</v>
      </c>
      <c r="RV9" s="46">
        <v>0</v>
      </c>
      <c r="RW9" s="46">
        <v>0</v>
      </c>
      <c r="RX9" s="46">
        <v>0</v>
      </c>
      <c r="RY9" s="46">
        <v>0</v>
      </c>
      <c r="RZ9" s="46">
        <v>0</v>
      </c>
      <c r="SA9" s="46">
        <v>0</v>
      </c>
      <c r="SB9" s="46">
        <v>0</v>
      </c>
      <c r="SC9" s="46">
        <v>0</v>
      </c>
      <c r="SD9" s="46">
        <v>0</v>
      </c>
      <c r="SE9" s="46">
        <v>0</v>
      </c>
      <c r="SF9" s="46">
        <v>0</v>
      </c>
      <c r="SG9" s="46">
        <v>0</v>
      </c>
      <c r="SH9" s="46">
        <v>0</v>
      </c>
      <c r="SI9" s="46">
        <v>0</v>
      </c>
      <c r="SJ9" s="46">
        <v>0</v>
      </c>
      <c r="SK9" s="46">
        <v>0</v>
      </c>
      <c r="SL9" s="46">
        <v>0</v>
      </c>
      <c r="SM9" s="46">
        <v>0</v>
      </c>
      <c r="SN9" s="46">
        <v>0</v>
      </c>
      <c r="SO9" s="46">
        <v>0</v>
      </c>
      <c r="SP9" s="46">
        <v>1934845</v>
      </c>
      <c r="SQ9" s="46">
        <v>0</v>
      </c>
      <c r="SR9" s="46">
        <v>0</v>
      </c>
      <c r="SS9" s="46">
        <v>0</v>
      </c>
      <c r="ST9" s="46">
        <v>0</v>
      </c>
      <c r="SU9" s="46">
        <v>0</v>
      </c>
      <c r="SV9" s="46">
        <v>0</v>
      </c>
      <c r="SW9" s="46">
        <v>0</v>
      </c>
      <c r="SX9" s="46">
        <v>0</v>
      </c>
      <c r="SY9" s="46">
        <v>124126651</v>
      </c>
      <c r="SZ9" s="46">
        <v>36147</v>
      </c>
      <c r="TA9" s="46">
        <v>4441958</v>
      </c>
      <c r="TB9" s="46">
        <v>2113862</v>
      </c>
      <c r="TC9" s="46">
        <v>0</v>
      </c>
      <c r="TD9" s="46">
        <v>2024008</v>
      </c>
      <c r="TE9" s="46">
        <v>203808</v>
      </c>
      <c r="TF9" s="46">
        <v>9777</v>
      </c>
      <c r="TG9" s="46">
        <v>781832</v>
      </c>
      <c r="TH9" s="46">
        <v>84990</v>
      </c>
      <c r="TI9" s="46">
        <v>579416</v>
      </c>
      <c r="TJ9" s="46">
        <v>0</v>
      </c>
      <c r="TK9" s="46">
        <v>0</v>
      </c>
      <c r="TL9" s="46">
        <v>1296676</v>
      </c>
      <c r="TM9" s="46">
        <v>0</v>
      </c>
      <c r="TN9" s="46">
        <v>0</v>
      </c>
      <c r="TO9" s="46">
        <v>0</v>
      </c>
      <c r="TP9" s="46">
        <v>0</v>
      </c>
      <c r="TQ9" s="46">
        <v>0</v>
      </c>
      <c r="TR9" s="46">
        <v>0</v>
      </c>
      <c r="TS9" s="46">
        <v>0</v>
      </c>
      <c r="TT9" s="46">
        <v>0</v>
      </c>
      <c r="TU9" s="46">
        <v>0</v>
      </c>
      <c r="TV9" s="46">
        <v>0</v>
      </c>
      <c r="TW9" s="46">
        <v>0</v>
      </c>
      <c r="TX9" s="46">
        <v>0</v>
      </c>
      <c r="TY9" s="46">
        <v>0</v>
      </c>
      <c r="TZ9" s="46">
        <v>0</v>
      </c>
      <c r="UA9" s="46">
        <v>0</v>
      </c>
      <c r="UB9" s="46">
        <v>0</v>
      </c>
      <c r="UC9" s="46">
        <v>0</v>
      </c>
      <c r="UD9" s="46">
        <v>0</v>
      </c>
      <c r="UE9" s="46">
        <v>177057700</v>
      </c>
      <c r="UF9" s="46">
        <v>64073221</v>
      </c>
      <c r="UG9" s="46">
        <v>12853127</v>
      </c>
      <c r="UH9" s="46">
        <v>0</v>
      </c>
      <c r="UI9" s="46">
        <v>62986615</v>
      </c>
      <c r="UJ9" s="46">
        <v>35858190</v>
      </c>
      <c r="UK9" s="46">
        <v>44362152</v>
      </c>
      <c r="UL9" s="46">
        <v>44567458</v>
      </c>
      <c r="UM9" s="46">
        <v>49142858</v>
      </c>
      <c r="UN9" s="46">
        <v>42523996</v>
      </c>
      <c r="UO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10275798</v>
      </c>
      <c r="UP9" s="46">
        <f>SUM(Input[[#This Row],[Oth Exp E&amp;G]],Input[[#This Row],[Oth Exp Desg]],Input[[#This Row],[Oth Exp Aux]],Input[[#This Row],[Oth Exp R Exp]],Input[[#This Row],[Oth Exp Loan]],Input[[#This Row],[Oth Exp Annuity]],Input[[#This Row],[Oth Exp Unexp]],Input[[#This Row],[Oth Exp R of Ind]],Input[[#This Row],[Oth Exp Inv in P]])</f>
        <v>1104151</v>
      </c>
      <c r="UQ9" s="46"/>
      <c r="UR9" s="46"/>
      <c r="US9" s="8" t="s">
        <v>835</v>
      </c>
      <c r="UT9" s="47">
        <v>9568828262</v>
      </c>
      <c r="UU9" s="8" t="s">
        <v>94</v>
      </c>
      <c r="UV9" s="8" t="s">
        <v>836</v>
      </c>
      <c r="UW9" s="47">
        <v>9566657906</v>
      </c>
      <c r="UX9" s="8" t="s">
        <v>837</v>
      </c>
      <c r="UY9" s="51" cm="1">
        <f t="array" ref="UY9">IFERROR(_xlfn.IFS(Input[[#This Row],[Type]]="HRI",SUMIFS('FTSE | FTFE'!$P$8:$P$77,'FTSE | FTFE'!$H$8:$H$77,A9),Input[[#This Row],[Type]]="UNIV",SUMIFS('FTSE | FTFE'!$P$104:$P$139,'FTSE | FTFE'!$H$104:$H$139,A9),OR(Input[[#This Row],[Type]]="TSTC",Input[[#This Row],[Type]]="LSC"),SUMIFS('FTSE | FTFE'!$O$88:$O$96,'FTSE | FTFE'!$H$88:$H$96,A9),Input[[#This Row],[Type]]="AHM",SUMIFS(Hidden!$H$42:$H$45,Hidden!$G$42:$G$45,A9)),"N/A")</f>
        <v>29153</v>
      </c>
      <c r="UZ9" s="51" cm="1">
        <f t="array" ref="UZ9">IFERROR(_xlfn.IFS(Input[[#This Row],[Type]]="HRI",SUMIFS('FTSE | FTFE'!$Q$8:$Q$77,'FTSE | FTFE'!$H$8:$H$77,A9),Input[[#This Row],[Type]]="UNIV",SUMIFS('FTSE | FTFE'!$Q$104:$Q$139,'FTSE | FTFE'!$H$104:$H$139,A9),OR(Input[[#This Row],[Type]]="TSTC",Input[[#This Row],[Type]]="LSC"),SUMIFS('FTSE | FTFE'!$P$88:$P$96,'FTSE | FTFE'!$H$88:$H$96,A9)),"N/A")</f>
        <v>336</v>
      </c>
      <c r="VA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213940001</v>
      </c>
      <c r="VB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9" s="46">
        <f>SUM(Input[[#This Row],[Fed G&amp;C E&amp;G]],Input[[#This Row],[Fed G&amp;C Desg]],Input[[#This Row],[Fed G&amp;C R Exp]],Input[[#This Row],[Fed G&amp;C Loan]],Input[[#This Row],[Fed G&amp;C Annuity]],Input[[#This Row],[Fed G&amp;C Unexp]],Input[[#This Row],[Fed G&amp;C R of Ind]],Input[[#This Row],[Fed G&amp;C Inv in P]])</f>
        <v>205339572</v>
      </c>
      <c r="VD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68033440</v>
      </c>
      <c r="VE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53916458</v>
      </c>
      <c r="VF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33555743</v>
      </c>
      <c r="VG9" s="46">
        <f>SUM(Input[[#This Row],[Oth Inc E&amp;G]],Input[[#This Row],[Oth Exp Desg]],Input[[#This Row],[Oth Exp R Exp]],Input[[#This Row],[Oth Exp Loan]],Input[[#This Row],[Oth Exp Annuity]],Input[[#This Row],[Oth Exp Unexp]],Input[[#This Row],[Oth Exp R of Ind]],Input[[#This Row],[Oth Exp Inv in P]])</f>
        <v>6761133</v>
      </c>
      <c r="VH9" s="46">
        <f>SUM(Input[[#This Row],[Instr E&amp;G]],Input[[#This Row],[Instr Desg]],Input[[#This Row],[Instr R Exp]],Input[[#This Row],[Instr Loan]],Input[[#This Row],[Instr Annuity]],Input[[#This Row],[Instr Unexp]],Input[[#This Row],[Instr R of Ind]],Input[[#This Row],[Instr Inv in P]])</f>
        <v>177057700</v>
      </c>
      <c r="VI9" s="46">
        <f>SUM(Input[[#This Row],[Res E&amp;G]],Input[[#This Row],[Res Desg]],Input[[#This Row],[Res R Exp]],Input[[#This Row],[Res Loan]],Input[[#This Row],[Res Annuity]],Input[[#This Row],[Res Unexp]],Input[[#This Row],[Res R of Ind]],Input[[#This Row],[Res Inv in P]])</f>
        <v>64073221</v>
      </c>
      <c r="VJ9" s="46">
        <f>SUM(Input[[#This Row],[Acad Sup E&amp;G]],Input[[#This Row],[Acad Sup Desg]],Input[[#This Row],[Acad Sup R Exp]],Input[[#This Row],[Acad Sup Loan]],Input[[#This Row],[Acad Sup Annuity]],Input[[#This Row],[Acad Sup Unexp]],Input[[#This Row],[Acad Sup R of Ind]],Input[[#This Row],[Acad Sup Inv in P]])</f>
        <v>62986615</v>
      </c>
      <c r="VK9" s="46">
        <f>SUM(Input[[#This Row],[Stu Svc E&amp;G]],Input[[#This Row],[Stu Svc Desg]],Input[[#This Row],[Stu Svc R Exp]],Input[[#This Row],[Stu Svc Loan]],Input[[#This Row],[Stu Svc Annuity]],Input[[#This Row],[Stu Svc Unexp]],Input[[#This Row],[Stu Svc R of Ind]],Input[[#This Row],[Stu Svc Inv in P]])</f>
        <v>35858190</v>
      </c>
      <c r="VL9" s="46">
        <f>SUM(Input[[#This Row],[Inst. Spt E&amp;G]],Input[[#This Row],[Inst. Spt Desg]],Input[[#This Row],[Inst. Spt R Exp]],Input[[#This Row],[Inst. Spt Loan]],Input[[#This Row],[Inst. Spt Annuity]],Input[[#This Row],[Inst. Spt Unexp]],Input[[#This Row],[Inst. Spt R of Ind]],Input[[#This Row],[Inst. Spt Inv in P]])</f>
        <v>44362152</v>
      </c>
      <c r="VM9" s="46">
        <f>SUM(Input[[#This Row],[M&amp;O Plnt E&amp;G]],Input[[#This Row],[M&amp;O Plnt Desg]],Input[[#This Row],[M&amp;O Plnt R Exp]],Input[[#This Row],[M&amp;O Plnt Loan]],Input[[#This Row],[M&amp;O Plnt Annuity]],Input[[#This Row],[M&amp;O Plnt Unexp]],Input[[#This Row],[M&amp;O Plnt R of Ind]],Input[[#This Row],[M&amp;O Plnt Inv in P]])</f>
        <v>44567458</v>
      </c>
      <c r="VN9" s="46">
        <f>SUM(Input[[#This Row],[Schl &amp; Fell E&amp;G]],Input[[#This Row],[Schl &amp; Fell Desg]],Input[[#This Row],[Schl &amp; Fell R Exp]],Input[[#This Row],[Schl &amp; Fell Loan]],Input[[#This Row],[Schl &amp; Fell Annuity]],Input[[#This Row],[Schl &amp; Fell Unexp]],Input[[#This Row],[Schl &amp; Fell R of Ind]],Input[[#This Row],[Schl &amp; Fell Inv in P]])</f>
        <v>49142858</v>
      </c>
      <c r="VO9" s="46">
        <f>SUM(Input[[#This Row],[Cap Out fund E&amp;G]],Input[[#This Row],[Cap Out fund Desg]],Input[[#This Row],[Cap Out fund R Exp]],Input[[#This Row],[Cap Out fund Loan]],Input[[#This Row],[Cap Out fund Annuity]],Input[[#This Row],[Cap Out fund Unexp]],Input[[#This Row],[Cap Out fund R of Ind]],Input[[#This Row],[Cap Out fund Inv in P]])</f>
        <v>10079715</v>
      </c>
      <c r="VP9" s="46">
        <f>SUM(Input[[#This Row],[Oth Exp E&amp;G]],Input[[#This Row],[Oth Exp Desg]],Input[[#This Row],[Oth Exp R Exp]],Input[[#This Row],[Oth Exp Loan]],Input[[#This Row],[Oth Exp Annuity]],Input[[#This Row],[Oth Exp Unexp]],Input[[#This Row],[Oth Exp R of Ind]],Input[[#This Row],[Oth Exp Inv in P]],Input[[#This Row],[Oth Exp Inv in P]])</f>
        <v>505348</v>
      </c>
    </row>
    <row r="10" spans="1:588" ht="30" customHeight="1" x14ac:dyDescent="0.3">
      <c r="A10" s="15" t="s">
        <v>1</v>
      </c>
      <c r="B10" s="36" t="s">
        <v>118</v>
      </c>
      <c r="C10" s="36" t="s">
        <v>110</v>
      </c>
      <c r="D10" s="36">
        <v>108</v>
      </c>
      <c r="E10" s="36" t="s">
        <v>132</v>
      </c>
      <c r="F10" s="95" cm="1">
        <f t="array" ref="F10">IFERROR(_xlfn.IFS(Input[[#This Row],[Type]]="HRI",SUMIFS('FTSE | FTFE'!$I$8:$I$77,'FTSE | FTFE'!$H$8:$H$77,A10),Input[[#This Row],[Type]]="UNIV",SUMIFS('FTSE | FTFE'!$I$104:$I$139,'FTSE | FTFE'!$H$104:$H$139,A10),OR(Input[[#This Row],[Type]]="TSTC",Input[[#This Row],[Type]]="LSC"),SUMIFS('FTSE | FTFE'!$I$88:$I$96,'FTSE | FTFE'!$H$88:$H$96,A10)),"N/A")</f>
        <v>9930</v>
      </c>
      <c r="G10" s="46">
        <v>46397781</v>
      </c>
      <c r="H10" s="46">
        <v>0</v>
      </c>
      <c r="I10" s="46">
        <v>0</v>
      </c>
      <c r="J10" s="46">
        <v>0</v>
      </c>
      <c r="K10" s="46">
        <v>0</v>
      </c>
      <c r="L10" s="46">
        <v>0</v>
      </c>
      <c r="M10" s="46">
        <v>0</v>
      </c>
      <c r="N10" s="46">
        <v>0</v>
      </c>
      <c r="O10" s="46">
        <v>0</v>
      </c>
      <c r="P10" s="46">
        <v>4498780</v>
      </c>
      <c r="Q10" s="46">
        <v>1058398</v>
      </c>
      <c r="R10" s="46">
        <v>0</v>
      </c>
      <c r="S10" s="46">
        <v>1169135</v>
      </c>
      <c r="T10" s="46">
        <v>0</v>
      </c>
      <c r="U10" s="46">
        <v>0</v>
      </c>
      <c r="V10" s="46">
        <v>0</v>
      </c>
      <c r="W10" s="46">
        <v>0</v>
      </c>
      <c r="X10" s="46">
        <v>0</v>
      </c>
      <c r="Y10" s="46">
        <v>0</v>
      </c>
      <c r="Z10" s="46">
        <v>0</v>
      </c>
      <c r="AA10" s="46">
        <v>0</v>
      </c>
      <c r="AB10" s="46">
        <v>0</v>
      </c>
      <c r="AC10" s="46">
        <v>0</v>
      </c>
      <c r="AD10" s="46">
        <v>0</v>
      </c>
      <c r="AE10" s="46">
        <v>0</v>
      </c>
      <c r="AF10" s="46">
        <v>0</v>
      </c>
      <c r="AG10" s="46">
        <v>0</v>
      </c>
      <c r="AH10" s="46">
        <v>0</v>
      </c>
      <c r="AI10" s="46">
        <v>0</v>
      </c>
      <c r="AJ10" s="46">
        <v>0</v>
      </c>
      <c r="AK10" s="46">
        <v>0</v>
      </c>
      <c r="AL10" s="46">
        <v>0</v>
      </c>
      <c r="AM10" s="46">
        <v>0</v>
      </c>
      <c r="AN10" s="46">
        <v>0</v>
      </c>
      <c r="AO10" s="46">
        <v>0</v>
      </c>
      <c r="AP10" s="46">
        <v>0</v>
      </c>
      <c r="AQ10" s="46">
        <v>-3521826</v>
      </c>
      <c r="AR10" s="46">
        <v>-153123</v>
      </c>
      <c r="AS10" s="46">
        <v>0</v>
      </c>
      <c r="AT10" s="46">
        <v>0</v>
      </c>
      <c r="AU10" s="46">
        <v>0</v>
      </c>
      <c r="AV10" s="46">
        <v>0</v>
      </c>
      <c r="AW10" s="46">
        <v>0</v>
      </c>
      <c r="AX10" s="46">
        <v>0</v>
      </c>
      <c r="AY10" s="46">
        <v>0</v>
      </c>
      <c r="AZ10" s="46">
        <v>0</v>
      </c>
      <c r="BA10" s="46">
        <v>0</v>
      </c>
      <c r="BB10" s="46">
        <v>0</v>
      </c>
      <c r="BC10" s="46">
        <v>0</v>
      </c>
      <c r="BD10" s="46">
        <v>0</v>
      </c>
      <c r="BE10" s="46">
        <v>0</v>
      </c>
      <c r="BF10" s="46">
        <v>0</v>
      </c>
      <c r="BG10" s="46">
        <v>0</v>
      </c>
      <c r="BH10" s="46">
        <v>0</v>
      </c>
      <c r="BI10" s="46">
        <v>-306245</v>
      </c>
      <c r="BJ10" s="46">
        <v>-1115610</v>
      </c>
      <c r="BK10" s="46">
        <v>0</v>
      </c>
      <c r="BL10" s="46">
        <v>0</v>
      </c>
      <c r="BM10" s="46">
        <v>0</v>
      </c>
      <c r="BN10" s="46">
        <v>0</v>
      </c>
      <c r="BO10" s="46">
        <v>0</v>
      </c>
      <c r="BP10" s="46">
        <v>0</v>
      </c>
      <c r="BQ10" s="46">
        <v>0</v>
      </c>
      <c r="BR10" s="46">
        <v>0</v>
      </c>
      <c r="BS10" s="46">
        <v>0</v>
      </c>
      <c r="BT10" s="46">
        <v>0</v>
      </c>
      <c r="BU10" s="46">
        <v>0</v>
      </c>
      <c r="BV10" s="46">
        <v>0</v>
      </c>
      <c r="BW10" s="46">
        <v>0</v>
      </c>
      <c r="BX10" s="46">
        <v>0</v>
      </c>
      <c r="BY10" s="46">
        <v>0</v>
      </c>
      <c r="BZ10" s="46">
        <v>0</v>
      </c>
      <c r="CA10" s="46">
        <v>6628687</v>
      </c>
      <c r="CB10" s="46">
        <v>21874712</v>
      </c>
      <c r="CC10" s="46">
        <v>0</v>
      </c>
      <c r="CD10" s="46">
        <v>0</v>
      </c>
      <c r="CE10" s="46">
        <v>0</v>
      </c>
      <c r="CF10" s="46">
        <v>0</v>
      </c>
      <c r="CG10" s="46">
        <v>0</v>
      </c>
      <c r="CH10" s="46">
        <v>0</v>
      </c>
      <c r="CI10" s="46">
        <v>0</v>
      </c>
      <c r="CJ10" s="46">
        <v>0</v>
      </c>
      <c r="CK10" s="46">
        <v>0</v>
      </c>
      <c r="CL10" s="46">
        <v>0</v>
      </c>
      <c r="CM10" s="46">
        <v>0</v>
      </c>
      <c r="CN10" s="46">
        <v>0</v>
      </c>
      <c r="CO10" s="46">
        <v>0</v>
      </c>
      <c r="CP10" s="46">
        <v>0</v>
      </c>
      <c r="CQ10" s="46">
        <v>0</v>
      </c>
      <c r="CR10" s="46">
        <v>0</v>
      </c>
      <c r="CS10" s="46">
        <v>0</v>
      </c>
      <c r="CT10" s="46">
        <v>0</v>
      </c>
      <c r="CU10" s="46">
        <v>0</v>
      </c>
      <c r="CV10" s="46">
        <v>0</v>
      </c>
      <c r="CW10" s="46">
        <v>0</v>
      </c>
      <c r="CX10" s="46">
        <v>0</v>
      </c>
      <c r="CY10" s="46">
        <v>0</v>
      </c>
      <c r="CZ10" s="46">
        <v>0</v>
      </c>
      <c r="DA10" s="46">
        <v>0</v>
      </c>
      <c r="DB10" s="46">
        <v>0</v>
      </c>
      <c r="DC10" s="46">
        <v>0</v>
      </c>
      <c r="DD10" s="46">
        <v>0</v>
      </c>
      <c r="DE10" s="46">
        <v>0</v>
      </c>
      <c r="DF10" s="46">
        <v>0</v>
      </c>
      <c r="DG10" s="46">
        <v>0</v>
      </c>
      <c r="DH10" s="46">
        <v>0</v>
      </c>
      <c r="DI10" s="46">
        <v>0</v>
      </c>
      <c r="DJ10" s="46">
        <v>0</v>
      </c>
      <c r="DK10" s="46">
        <v>0</v>
      </c>
      <c r="DL10" s="46">
        <v>0</v>
      </c>
      <c r="DM10" s="46">
        <v>0</v>
      </c>
      <c r="DN10" s="46">
        <v>0</v>
      </c>
      <c r="DO10" s="46">
        <v>0</v>
      </c>
      <c r="DP10" s="46">
        <v>0</v>
      </c>
      <c r="DQ10" s="46">
        <v>0</v>
      </c>
      <c r="DR10" s="46">
        <v>0</v>
      </c>
      <c r="DS10" s="46">
        <v>0</v>
      </c>
      <c r="DT10" s="46">
        <v>-2817864</v>
      </c>
      <c r="DU10" s="46">
        <v>-11707986</v>
      </c>
      <c r="DV10" s="46">
        <v>0</v>
      </c>
      <c r="DW10" s="46">
        <v>0</v>
      </c>
      <c r="DX10" s="46">
        <v>0</v>
      </c>
      <c r="DY10" s="46">
        <v>0</v>
      </c>
      <c r="DZ10" s="46">
        <v>0</v>
      </c>
      <c r="EA10" s="46">
        <v>0</v>
      </c>
      <c r="EB10" s="46">
        <v>0</v>
      </c>
      <c r="EC10" s="46">
        <v>0</v>
      </c>
      <c r="ED10" s="46">
        <v>0</v>
      </c>
      <c r="EE10" s="46">
        <v>0</v>
      </c>
      <c r="EF10" s="46">
        <v>0</v>
      </c>
      <c r="EG10" s="46">
        <v>0</v>
      </c>
      <c r="EH10" s="46">
        <v>0</v>
      </c>
      <c r="EI10" s="46">
        <v>0</v>
      </c>
      <c r="EJ10" s="46">
        <v>0</v>
      </c>
      <c r="EK10" s="46">
        <v>0</v>
      </c>
      <c r="EL10" s="46">
        <v>0</v>
      </c>
      <c r="EM10" s="46">
        <v>0</v>
      </c>
      <c r="EN10" s="46">
        <v>0</v>
      </c>
      <c r="EO10" s="46">
        <v>0</v>
      </c>
      <c r="EP10" s="46">
        <v>0</v>
      </c>
      <c r="EQ10" s="46">
        <v>0</v>
      </c>
      <c r="ER10" s="46">
        <v>0</v>
      </c>
      <c r="ES10" s="46">
        <v>0</v>
      </c>
      <c r="ET10" s="46">
        <v>0</v>
      </c>
      <c r="EU10" s="46">
        <v>0</v>
      </c>
      <c r="EV10" s="46">
        <v>0</v>
      </c>
      <c r="EW10" s="46">
        <v>0</v>
      </c>
      <c r="EX10" s="46">
        <v>0</v>
      </c>
      <c r="EY10" s="46">
        <v>0</v>
      </c>
      <c r="EZ10" s="46">
        <v>0</v>
      </c>
      <c r="FA10" s="46">
        <v>0</v>
      </c>
      <c r="FB10" s="46">
        <v>0</v>
      </c>
      <c r="FC10" s="46">
        <v>0</v>
      </c>
      <c r="FD10" s="46">
        <v>0</v>
      </c>
      <c r="FE10" s="46">
        <v>0</v>
      </c>
      <c r="FF10" s="46">
        <v>0</v>
      </c>
      <c r="FG10" s="46">
        <v>0</v>
      </c>
      <c r="FH10" s="46">
        <v>0</v>
      </c>
      <c r="FI10" s="46">
        <v>0</v>
      </c>
      <c r="FJ10" s="46">
        <v>0</v>
      </c>
      <c r="FK10" s="46">
        <v>0</v>
      </c>
      <c r="FL10" s="46">
        <v>0</v>
      </c>
      <c r="FM10" s="46">
        <v>17249</v>
      </c>
      <c r="FN10" s="46">
        <v>12295038</v>
      </c>
      <c r="FO10" s="46">
        <v>3925437</v>
      </c>
      <c r="FP10" s="46">
        <v>0</v>
      </c>
      <c r="FQ10" s="46">
        <v>0</v>
      </c>
      <c r="FR10" s="46">
        <v>0</v>
      </c>
      <c r="FS10" s="46">
        <v>0</v>
      </c>
      <c r="FT10" s="46">
        <v>0</v>
      </c>
      <c r="FU10" s="46">
        <v>0</v>
      </c>
      <c r="FV10" s="46">
        <v>0</v>
      </c>
      <c r="FW10" s="46">
        <v>0</v>
      </c>
      <c r="FX10" s="46">
        <v>0</v>
      </c>
      <c r="FY10" s="46">
        <v>0</v>
      </c>
      <c r="FZ10" s="46">
        <v>0</v>
      </c>
      <c r="GA10" s="46">
        <v>0</v>
      </c>
      <c r="GB10" s="46">
        <v>0</v>
      </c>
      <c r="GC10" s="46">
        <v>0</v>
      </c>
      <c r="GD10" s="46">
        <v>0</v>
      </c>
      <c r="GE10" s="46">
        <v>0</v>
      </c>
      <c r="GF10" s="46">
        <v>0</v>
      </c>
      <c r="GG10" s="46">
        <v>0</v>
      </c>
      <c r="GH10" s="46">
        <v>0</v>
      </c>
      <c r="GI10" s="46">
        <v>0</v>
      </c>
      <c r="GJ10" s="46">
        <v>0</v>
      </c>
      <c r="GK10" s="46">
        <v>0</v>
      </c>
      <c r="GL10" s="46">
        <v>0</v>
      </c>
      <c r="GM10" s="46">
        <v>0</v>
      </c>
      <c r="GN10" s="46">
        <v>0</v>
      </c>
      <c r="GO10" s="46">
        <v>0</v>
      </c>
      <c r="GP10" s="46">
        <v>-74658</v>
      </c>
      <c r="GQ10" s="46">
        <v>0</v>
      </c>
      <c r="GR10" s="46">
        <v>0</v>
      </c>
      <c r="GS10" s="46">
        <v>0</v>
      </c>
      <c r="GT10" s="46">
        <v>0</v>
      </c>
      <c r="GU10" s="46">
        <v>0</v>
      </c>
      <c r="GV10" s="46">
        <v>0</v>
      </c>
      <c r="GW10" s="46">
        <v>0</v>
      </c>
      <c r="GX10" s="46">
        <v>0</v>
      </c>
      <c r="GY10" s="46">
        <v>0</v>
      </c>
      <c r="GZ10" s="46">
        <v>0</v>
      </c>
      <c r="HA10" s="46">
        <v>0</v>
      </c>
      <c r="HB10" s="46">
        <v>0</v>
      </c>
      <c r="HC10" s="46">
        <v>0</v>
      </c>
      <c r="HD10" s="46">
        <v>0</v>
      </c>
      <c r="HE10" s="46">
        <v>0</v>
      </c>
      <c r="HF10" s="46">
        <v>0</v>
      </c>
      <c r="HG10" s="46">
        <v>0</v>
      </c>
      <c r="HH10" s="46">
        <v>-1018083</v>
      </c>
      <c r="HI10" s="46">
        <v>0</v>
      </c>
      <c r="HJ10" s="46">
        <v>0</v>
      </c>
      <c r="HK10" s="46">
        <v>0</v>
      </c>
      <c r="HL10" s="46">
        <v>0</v>
      </c>
      <c r="HM10" s="46">
        <v>0</v>
      </c>
      <c r="HN10" s="46">
        <v>0</v>
      </c>
      <c r="HO10" s="46">
        <v>0</v>
      </c>
      <c r="HP10" s="46">
        <v>444222</v>
      </c>
      <c r="HQ10" s="46">
        <v>0</v>
      </c>
      <c r="HR10" s="46">
        <v>14959307</v>
      </c>
      <c r="HS10" s="46">
        <v>0</v>
      </c>
      <c r="HT10" s="46">
        <v>0</v>
      </c>
      <c r="HU10" s="46">
        <v>0</v>
      </c>
      <c r="HV10" s="46">
        <v>0</v>
      </c>
      <c r="HW10" s="46">
        <v>0</v>
      </c>
      <c r="HX10" s="46">
        <v>0</v>
      </c>
      <c r="HY10" s="46">
        <v>0</v>
      </c>
      <c r="HZ10" s="46">
        <v>0</v>
      </c>
      <c r="IA10" s="46">
        <v>0</v>
      </c>
      <c r="IB10" s="46">
        <v>0</v>
      </c>
      <c r="IC10" s="46">
        <v>0</v>
      </c>
      <c r="ID10" s="46">
        <v>0</v>
      </c>
      <c r="IE10" s="46">
        <v>0</v>
      </c>
      <c r="IF10" s="46">
        <v>0</v>
      </c>
      <c r="IG10" s="46">
        <v>0</v>
      </c>
      <c r="IH10" s="46">
        <v>0</v>
      </c>
      <c r="II10" s="46">
        <v>0</v>
      </c>
      <c r="IJ10" s="46">
        <v>0</v>
      </c>
      <c r="IK10" s="46">
        <v>0</v>
      </c>
      <c r="IL10" s="46">
        <v>0</v>
      </c>
      <c r="IM10" s="46">
        <v>0</v>
      </c>
      <c r="IN10" s="46">
        <v>0</v>
      </c>
      <c r="IO10" s="46">
        <v>0</v>
      </c>
      <c r="IP10" s="46">
        <v>119672</v>
      </c>
      <c r="IQ10" s="46">
        <v>518397</v>
      </c>
      <c r="IR10" s="46">
        <v>0</v>
      </c>
      <c r="IS10" s="46">
        <v>3777463</v>
      </c>
      <c r="IT10" s="46">
        <v>0</v>
      </c>
      <c r="IU10" s="46">
        <v>-21</v>
      </c>
      <c r="IV10" s="46">
        <v>0</v>
      </c>
      <c r="IW10" s="46">
        <v>0</v>
      </c>
      <c r="IX10" s="46">
        <v>0</v>
      </c>
      <c r="IY10" s="46">
        <v>0</v>
      </c>
      <c r="IZ10" s="46">
        <v>6242</v>
      </c>
      <c r="JA10" s="46">
        <v>0</v>
      </c>
      <c r="JB10" s="46">
        <v>1108757</v>
      </c>
      <c r="JC10" s="46">
        <v>0</v>
      </c>
      <c r="JD10" s="46">
        <v>0</v>
      </c>
      <c r="JE10" s="46">
        <v>0</v>
      </c>
      <c r="JF10" s="46">
        <v>0</v>
      </c>
      <c r="JG10" s="46">
        <v>0</v>
      </c>
      <c r="JH10" s="46">
        <v>0</v>
      </c>
      <c r="JI10" s="46">
        <v>80147</v>
      </c>
      <c r="JJ10" s="46">
        <v>0</v>
      </c>
      <c r="JK10" s="46">
        <v>-3395287</v>
      </c>
      <c r="JL10" s="46">
        <v>0</v>
      </c>
      <c r="JM10" s="46">
        <v>0</v>
      </c>
      <c r="JN10" s="46">
        <v>0</v>
      </c>
      <c r="JO10" s="46">
        <v>0</v>
      </c>
      <c r="JP10" s="46">
        <v>0</v>
      </c>
      <c r="JQ10" s="46">
        <v>0</v>
      </c>
      <c r="JR10" s="46">
        <v>1389866</v>
      </c>
      <c r="JS10" s="46">
        <v>0</v>
      </c>
      <c r="JT10" s="46">
        <v>10488</v>
      </c>
      <c r="JU10" s="46">
        <v>0</v>
      </c>
      <c r="JV10" s="46">
        <v>0</v>
      </c>
      <c r="JW10" s="46">
        <v>0</v>
      </c>
      <c r="JX10" s="46">
        <v>0</v>
      </c>
      <c r="JY10" s="46">
        <v>0</v>
      </c>
      <c r="JZ10" s="46">
        <v>0</v>
      </c>
      <c r="KA10" s="46">
        <v>0</v>
      </c>
      <c r="KB10" s="46">
        <v>6615136</v>
      </c>
      <c r="KC10" s="46">
        <v>0</v>
      </c>
      <c r="KD10" s="46">
        <v>0</v>
      </c>
      <c r="KE10" s="46">
        <v>0</v>
      </c>
      <c r="KF10" s="46">
        <v>0</v>
      </c>
      <c r="KG10" s="46">
        <v>0</v>
      </c>
      <c r="KH10" s="46">
        <v>0</v>
      </c>
      <c r="KI10" s="46">
        <v>0</v>
      </c>
      <c r="KJ10" s="46">
        <v>7146047</v>
      </c>
      <c r="KK10" s="46">
        <v>0</v>
      </c>
      <c r="KL10" s="46">
        <v>86314</v>
      </c>
      <c r="KM10" s="46">
        <v>0</v>
      </c>
      <c r="KN10" s="46">
        <v>0</v>
      </c>
      <c r="KO10" s="46">
        <v>0</v>
      </c>
      <c r="KP10" s="46">
        <v>0</v>
      </c>
      <c r="KQ10" s="46">
        <v>0</v>
      </c>
      <c r="KR10" s="46">
        <v>18257187</v>
      </c>
      <c r="KS10" s="46">
        <v>10841876</v>
      </c>
      <c r="KT10" s="46">
        <v>0</v>
      </c>
      <c r="KU10" s="46">
        <v>1622515</v>
      </c>
      <c r="KV10" s="46">
        <v>0</v>
      </c>
      <c r="KW10" s="46">
        <v>0</v>
      </c>
      <c r="KX10" s="46">
        <v>0</v>
      </c>
      <c r="KY10" s="46">
        <v>0</v>
      </c>
      <c r="KZ10" s="46">
        <v>0</v>
      </c>
      <c r="LA10" s="46">
        <v>742986</v>
      </c>
      <c r="LB10" s="46">
        <v>116806</v>
      </c>
      <c r="LC10" s="46">
        <v>0</v>
      </c>
      <c r="LD10" s="46">
        <v>2036964</v>
      </c>
      <c r="LE10" s="46">
        <v>0</v>
      </c>
      <c r="LF10" s="46">
        <v>0</v>
      </c>
      <c r="LG10" s="46">
        <v>0</v>
      </c>
      <c r="LH10" s="46">
        <v>0</v>
      </c>
      <c r="LI10" s="46">
        <v>0</v>
      </c>
      <c r="LJ10" s="46">
        <v>486403</v>
      </c>
      <c r="LK10" s="46">
        <v>846726</v>
      </c>
      <c r="LL10" s="46">
        <v>0</v>
      </c>
      <c r="LM10" s="46">
        <v>3069193</v>
      </c>
      <c r="LN10" s="46">
        <v>0</v>
      </c>
      <c r="LO10" s="46">
        <v>0</v>
      </c>
      <c r="LP10" s="46">
        <v>0</v>
      </c>
      <c r="LQ10" s="46">
        <v>0</v>
      </c>
      <c r="LR10" s="46">
        <v>0</v>
      </c>
      <c r="LS10" s="46">
        <v>0</v>
      </c>
      <c r="LT10" s="46">
        <v>0</v>
      </c>
      <c r="LU10" s="46">
        <v>0</v>
      </c>
      <c r="LV10" s="46">
        <v>0</v>
      </c>
      <c r="LW10" s="46">
        <v>0</v>
      </c>
      <c r="LX10" s="46">
        <v>0</v>
      </c>
      <c r="LY10" s="46">
        <v>0</v>
      </c>
      <c r="LZ10" s="46">
        <v>0</v>
      </c>
      <c r="MA10" s="46">
        <v>0</v>
      </c>
      <c r="MB10" s="46">
        <v>3092672</v>
      </c>
      <c r="MC10" s="46">
        <v>3193218</v>
      </c>
      <c r="MD10" s="46">
        <v>0</v>
      </c>
      <c r="ME10" s="46">
        <v>2447914</v>
      </c>
      <c r="MF10" s="46">
        <v>0</v>
      </c>
      <c r="MG10" s="46">
        <v>0</v>
      </c>
      <c r="MH10" s="46">
        <v>0</v>
      </c>
      <c r="MI10" s="46">
        <v>0</v>
      </c>
      <c r="MJ10" s="46">
        <v>0</v>
      </c>
      <c r="MK10" s="46">
        <v>2170928</v>
      </c>
      <c r="ML10" s="46">
        <v>1675731</v>
      </c>
      <c r="MM10" s="46">
        <v>0</v>
      </c>
      <c r="MN10" s="46">
        <v>22953</v>
      </c>
      <c r="MO10" s="46">
        <v>0</v>
      </c>
      <c r="MP10" s="46">
        <v>0</v>
      </c>
      <c r="MQ10" s="46">
        <v>0</v>
      </c>
      <c r="MR10" s="46">
        <v>0</v>
      </c>
      <c r="MS10" s="46">
        <v>0</v>
      </c>
      <c r="MT10" s="46">
        <v>8517644</v>
      </c>
      <c r="MU10" s="46">
        <v>7976812</v>
      </c>
      <c r="MV10" s="46">
        <v>0</v>
      </c>
      <c r="MW10" s="46">
        <v>596594</v>
      </c>
      <c r="MX10" s="46">
        <v>0</v>
      </c>
      <c r="MY10" s="46">
        <v>0</v>
      </c>
      <c r="MZ10" s="46">
        <v>0</v>
      </c>
      <c r="NA10" s="46">
        <v>0</v>
      </c>
      <c r="NB10" s="46">
        <v>0</v>
      </c>
      <c r="NC10" s="46">
        <v>6977187</v>
      </c>
      <c r="ND10" s="46">
        <v>2937117</v>
      </c>
      <c r="NE10" s="46">
        <v>0</v>
      </c>
      <c r="NF10" s="46">
        <v>66356</v>
      </c>
      <c r="NG10" s="46">
        <v>0</v>
      </c>
      <c r="NH10" s="46">
        <v>0</v>
      </c>
      <c r="NI10" s="46">
        <v>1597142</v>
      </c>
      <c r="NJ10" s="46">
        <v>0</v>
      </c>
      <c r="NK10" s="46">
        <v>0</v>
      </c>
      <c r="NL10" s="46">
        <v>2354757</v>
      </c>
      <c r="NM10" s="46">
        <v>2767313</v>
      </c>
      <c r="NN10" s="46">
        <v>0</v>
      </c>
      <c r="NO10" s="46">
        <v>6765572</v>
      </c>
      <c r="NP10" s="46">
        <v>0</v>
      </c>
      <c r="NQ10" s="46">
        <v>0</v>
      </c>
      <c r="NR10" s="46">
        <v>0</v>
      </c>
      <c r="NS10" s="46">
        <v>0</v>
      </c>
      <c r="NT10" s="46">
        <v>0</v>
      </c>
      <c r="NU10" s="46">
        <v>0</v>
      </c>
      <c r="NV10" s="46">
        <v>89201</v>
      </c>
      <c r="NW10" s="46">
        <v>11553903</v>
      </c>
      <c r="NX10" s="46">
        <v>1018915</v>
      </c>
      <c r="NY10" s="46">
        <v>0</v>
      </c>
      <c r="NZ10" s="46">
        <v>0</v>
      </c>
      <c r="OA10" s="46">
        <v>0</v>
      </c>
      <c r="OB10" s="46">
        <v>0</v>
      </c>
      <c r="OC10" s="46">
        <v>0</v>
      </c>
      <c r="OD10" s="46">
        <v>0</v>
      </c>
      <c r="OE10" s="46">
        <v>469262</v>
      </c>
      <c r="OF10" s="46">
        <v>523</v>
      </c>
      <c r="OG10" s="46">
        <v>179178</v>
      </c>
      <c r="OH10" s="46">
        <v>0</v>
      </c>
      <c r="OI10" s="46">
        <v>0</v>
      </c>
      <c r="OJ10" s="46">
        <v>0</v>
      </c>
      <c r="OK10" s="46">
        <v>0</v>
      </c>
      <c r="OL10" s="46">
        <v>0</v>
      </c>
      <c r="OM10" s="46">
        <v>0</v>
      </c>
      <c r="ON10" s="46">
        <v>0</v>
      </c>
      <c r="OO10" s="46">
        <v>98</v>
      </c>
      <c r="OP10" s="46">
        <v>0</v>
      </c>
      <c r="OQ10" s="46">
        <v>0</v>
      </c>
      <c r="OR10" s="46">
        <v>0</v>
      </c>
      <c r="OS10" s="46">
        <v>0</v>
      </c>
      <c r="OT10" s="46">
        <v>0</v>
      </c>
      <c r="OU10" s="46">
        <v>0</v>
      </c>
      <c r="OV10" s="46">
        <v>0</v>
      </c>
      <c r="OW10" s="46">
        <v>0</v>
      </c>
      <c r="OX10" s="46">
        <v>0</v>
      </c>
      <c r="OY10" s="46">
        <v>0</v>
      </c>
      <c r="OZ10" s="46">
        <v>0</v>
      </c>
      <c r="PA10" s="46">
        <v>0</v>
      </c>
      <c r="PB10" s="46">
        <v>-27852311</v>
      </c>
      <c r="PC10" s="46">
        <v>0</v>
      </c>
      <c r="PD10" s="46">
        <v>0</v>
      </c>
      <c r="PE10" s="46">
        <v>451907</v>
      </c>
      <c r="PF10" s="46">
        <v>2684686</v>
      </c>
      <c r="PG10" s="46">
        <v>-57399</v>
      </c>
      <c r="PH10" s="46">
        <v>3472</v>
      </c>
      <c r="PI10" s="46">
        <v>0</v>
      </c>
      <c r="PJ10" s="46">
        <v>0</v>
      </c>
      <c r="PK10" s="46">
        <v>0</v>
      </c>
      <c r="PL10" s="46">
        <v>0</v>
      </c>
      <c r="PM10" s="46">
        <v>57399</v>
      </c>
      <c r="PN10" s="46">
        <v>0</v>
      </c>
      <c r="PO10" s="46">
        <v>0</v>
      </c>
      <c r="PP10" s="46">
        <v>0</v>
      </c>
      <c r="PQ10" s="46">
        <v>0</v>
      </c>
      <c r="PR10" s="46">
        <v>0</v>
      </c>
      <c r="PS10" s="46">
        <v>0</v>
      </c>
      <c r="PT10" s="46">
        <v>31655170</v>
      </c>
      <c r="PU10" s="46">
        <v>0</v>
      </c>
      <c r="PV10" s="46">
        <v>0</v>
      </c>
      <c r="PW10" s="46">
        <v>-16102678</v>
      </c>
      <c r="PX10" s="46">
        <v>0</v>
      </c>
      <c r="PY10" s="46">
        <v>0</v>
      </c>
      <c r="PZ10" s="46">
        <v>0</v>
      </c>
      <c r="QA10" s="46">
        <v>0</v>
      </c>
      <c r="QB10" s="46">
        <v>0</v>
      </c>
      <c r="QC10" s="46">
        <v>-5051646</v>
      </c>
      <c r="QD10" s="46">
        <v>0</v>
      </c>
      <c r="QE10" s="46">
        <v>0</v>
      </c>
      <c r="QF10" s="46">
        <v>0</v>
      </c>
      <c r="QG10" s="46">
        <v>0</v>
      </c>
      <c r="QH10" s="46">
        <v>0</v>
      </c>
      <c r="QI10" s="46">
        <v>0</v>
      </c>
      <c r="QJ10" s="46">
        <v>0</v>
      </c>
      <c r="QK10" s="46">
        <v>3338672</v>
      </c>
      <c r="QL10" s="46">
        <v>0</v>
      </c>
      <c r="QM10" s="46">
        <v>0</v>
      </c>
      <c r="QN10" s="46">
        <v>0</v>
      </c>
      <c r="QO10" s="46">
        <v>0</v>
      </c>
      <c r="QP10" s="46">
        <v>0</v>
      </c>
      <c r="QQ10" s="46">
        <v>0</v>
      </c>
      <c r="QR10" s="46">
        <v>38993</v>
      </c>
      <c r="QS10" s="46">
        <v>0</v>
      </c>
      <c r="QT10" s="46">
        <v>3948015</v>
      </c>
      <c r="QU10" s="46">
        <v>0</v>
      </c>
      <c r="QV10" s="46">
        <v>0</v>
      </c>
      <c r="QW10" s="46">
        <v>0</v>
      </c>
      <c r="QX10" s="46">
        <v>0</v>
      </c>
      <c r="QY10" s="46">
        <v>0</v>
      </c>
      <c r="QZ10" s="46">
        <v>0</v>
      </c>
      <c r="RA10" s="46">
        <v>0</v>
      </c>
      <c r="RB10" s="46">
        <v>0</v>
      </c>
      <c r="RC10" s="46">
        <v>0</v>
      </c>
      <c r="RD10" s="46">
        <v>0</v>
      </c>
      <c r="RE10" s="46">
        <v>0</v>
      </c>
      <c r="RF10" s="46">
        <v>0</v>
      </c>
      <c r="RG10" s="46">
        <v>0</v>
      </c>
      <c r="RH10" s="46">
        <v>0</v>
      </c>
      <c r="RI10" s="46">
        <v>0</v>
      </c>
      <c r="RJ10" s="46">
        <v>0</v>
      </c>
      <c r="RK10" s="46">
        <v>0</v>
      </c>
      <c r="RL10" s="46">
        <v>0</v>
      </c>
      <c r="RM10" s="46">
        <v>0</v>
      </c>
      <c r="RN10" s="46">
        <v>0</v>
      </c>
      <c r="RO10" s="46">
        <v>-20953213</v>
      </c>
      <c r="RP10" s="46">
        <v>0</v>
      </c>
      <c r="RQ10" s="46">
        <v>0</v>
      </c>
      <c r="RR10" s="46">
        <v>0</v>
      </c>
      <c r="RS10" s="46">
        <v>0</v>
      </c>
      <c r="RT10" s="46">
        <v>0</v>
      </c>
      <c r="RU10" s="46">
        <v>0</v>
      </c>
      <c r="RV10" s="46">
        <v>0</v>
      </c>
      <c r="RW10" s="46">
        <v>0</v>
      </c>
      <c r="RX10" s="46">
        <v>0</v>
      </c>
      <c r="RY10" s="46">
        <v>0</v>
      </c>
      <c r="RZ10" s="46">
        <v>0</v>
      </c>
      <c r="SA10" s="46">
        <v>0</v>
      </c>
      <c r="SB10" s="46">
        <v>0</v>
      </c>
      <c r="SC10" s="46">
        <v>0</v>
      </c>
      <c r="SD10" s="46">
        <v>0</v>
      </c>
      <c r="SE10" s="46">
        <v>0</v>
      </c>
      <c r="SF10" s="46">
        <v>0</v>
      </c>
      <c r="SG10" s="46">
        <v>0</v>
      </c>
      <c r="SH10" s="46">
        <v>0</v>
      </c>
      <c r="SI10" s="46">
        <v>0</v>
      </c>
      <c r="SJ10" s="46">
        <v>0</v>
      </c>
      <c r="SK10" s="46">
        <v>0</v>
      </c>
      <c r="SL10" s="46">
        <v>0</v>
      </c>
      <c r="SM10" s="46">
        <v>0</v>
      </c>
      <c r="SN10" s="46">
        <v>0</v>
      </c>
      <c r="SO10" s="46">
        <v>0</v>
      </c>
      <c r="SP10" s="46">
        <v>0</v>
      </c>
      <c r="SQ10" s="46">
        <v>0</v>
      </c>
      <c r="SR10" s="46">
        <v>0</v>
      </c>
      <c r="SS10" s="46">
        <v>0</v>
      </c>
      <c r="ST10" s="46">
        <v>0</v>
      </c>
      <c r="SU10" s="46">
        <v>0</v>
      </c>
      <c r="SV10" s="46">
        <v>0</v>
      </c>
      <c r="SW10" s="46">
        <v>0</v>
      </c>
      <c r="SX10" s="46">
        <v>0</v>
      </c>
      <c r="SY10" s="46">
        <v>28501273</v>
      </c>
      <c r="SZ10" s="46">
        <v>175317</v>
      </c>
      <c r="TA10" s="46">
        <v>0</v>
      </c>
      <c r="TB10" s="46">
        <v>147900</v>
      </c>
      <c r="TC10" s="46">
        <v>0</v>
      </c>
      <c r="TD10" s="46">
        <v>304314</v>
      </c>
      <c r="TE10" s="46">
        <v>0</v>
      </c>
      <c r="TF10" s="46">
        <v>2054</v>
      </c>
      <c r="TG10" s="46">
        <v>18612</v>
      </c>
      <c r="TH10" s="46">
        <v>243</v>
      </c>
      <c r="TI10" s="46">
        <v>523</v>
      </c>
      <c r="TJ10" s="46">
        <v>0</v>
      </c>
      <c r="TK10" s="46">
        <v>109952</v>
      </c>
      <c r="TL10" s="46">
        <v>109421</v>
      </c>
      <c r="TM10" s="46">
        <v>1301262</v>
      </c>
      <c r="TN10" s="46">
        <v>0</v>
      </c>
      <c r="TO10" s="46">
        <v>0</v>
      </c>
      <c r="TP10" s="46">
        <v>0</v>
      </c>
      <c r="TQ10" s="46">
        <v>0</v>
      </c>
      <c r="TR10" s="46">
        <v>0</v>
      </c>
      <c r="TS10" s="46">
        <v>0</v>
      </c>
      <c r="TT10" s="46">
        <v>4687</v>
      </c>
      <c r="TU10" s="46">
        <v>0</v>
      </c>
      <c r="TV10" s="46">
        <v>976575</v>
      </c>
      <c r="TW10" s="46">
        <v>0</v>
      </c>
      <c r="TX10" s="46">
        <v>56724</v>
      </c>
      <c r="TY10" s="46">
        <v>0</v>
      </c>
      <c r="TZ10" s="46">
        <v>1122299</v>
      </c>
      <c r="UA10" s="46">
        <v>-49140</v>
      </c>
      <c r="UB10" s="46">
        <v>4615168</v>
      </c>
      <c r="UC10" s="46">
        <v>0</v>
      </c>
      <c r="UD10" s="46">
        <v>0</v>
      </c>
      <c r="UE10" s="46">
        <v>30721578</v>
      </c>
      <c r="UF10" s="46">
        <v>2896756</v>
      </c>
      <c r="UG10" s="46">
        <v>4402322</v>
      </c>
      <c r="UH10" s="46">
        <v>0</v>
      </c>
      <c r="UI10" s="46">
        <v>8733804</v>
      </c>
      <c r="UJ10" s="46">
        <v>3869612</v>
      </c>
      <c r="UK10" s="46">
        <v>17091050</v>
      </c>
      <c r="UL10" s="46">
        <v>11577802</v>
      </c>
      <c r="UM10" s="46">
        <v>11887642</v>
      </c>
      <c r="UN10" s="46">
        <v>12662019</v>
      </c>
      <c r="UO1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648963</v>
      </c>
      <c r="UP10" s="46">
        <f>SUM(Input[[#This Row],[Oth Exp E&amp;G]],Input[[#This Row],[Oth Exp Desg]],Input[[#This Row],[Oth Exp Aux]],Input[[#This Row],[Oth Exp R Exp]],Input[[#This Row],[Oth Exp Loan]],Input[[#This Row],[Oth Exp Annuity]],Input[[#This Row],[Oth Exp Unexp]],Input[[#This Row],[Oth Exp R of Ind]],Input[[#This Row],[Oth Exp Inv in P]])</f>
        <v>98</v>
      </c>
      <c r="UQ10" s="46"/>
      <c r="UR10" s="46"/>
      <c r="US10" s="8" t="s">
        <v>979</v>
      </c>
      <c r="UT10" s="47">
        <v>9033602574</v>
      </c>
      <c r="UU10" s="8" t="s">
        <v>69</v>
      </c>
      <c r="UV10" s="8" t="s">
        <v>854</v>
      </c>
      <c r="UW10" s="47">
        <v>9033602574</v>
      </c>
      <c r="UX10" s="8" t="s">
        <v>855</v>
      </c>
      <c r="UY10" s="51" cm="1">
        <f t="array" ref="UY10">IFERROR(_xlfn.IFS(Input[[#This Row],[Type]]="HRI",SUMIFS('FTSE | FTFE'!$P$8:$P$77,'FTSE | FTFE'!$H$8:$H$77,A10),Input[[#This Row],[Type]]="UNIV",SUMIFS('FTSE | FTFE'!$P$104:$P$139,'FTSE | FTFE'!$H$104:$H$139,A10),OR(Input[[#This Row],[Type]]="TSTC",Input[[#This Row],[Type]]="LSC"),SUMIFS('FTSE | FTFE'!$O$88:$O$96,'FTSE | FTFE'!$H$88:$H$96,A10),Input[[#This Row],[Type]]="AHM",SUMIFS(Hidden!$H$42:$H$45,Hidden!$G$42:$G$45,A10)),"N/A")</f>
        <v>3784</v>
      </c>
      <c r="UZ10" s="51" cm="1">
        <f t="array" ref="UZ10">IFERROR(_xlfn.IFS(Input[[#This Row],[Type]]="HRI",SUMIFS('FTSE | FTFE'!$Q$8:$Q$77,'FTSE | FTFE'!$H$8:$H$77,A10),Input[[#This Row],[Type]]="UNIV",SUMIFS('FTSE | FTFE'!$Q$104:$Q$139,'FTSE | FTFE'!$H$104:$H$139,A10),OR(Input[[#This Row],[Type]]="TSTC",Input[[#This Row],[Type]]="LSC"),SUMIFS('FTSE | FTFE'!$P$88:$P$96,'FTSE | FTFE'!$H$88:$H$96,A10)),"N/A")</f>
        <v>100</v>
      </c>
      <c r="VA1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53124094</v>
      </c>
      <c r="VB1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0" s="46">
        <f>SUM(Input[[#This Row],[Fed G&amp;C E&amp;G]],Input[[#This Row],[Fed G&amp;C Desg]],Input[[#This Row],[Fed G&amp;C R Exp]],Input[[#This Row],[Fed G&amp;C Loan]],Input[[#This Row],[Fed G&amp;C Annuity]],Input[[#This Row],[Fed G&amp;C Unexp]],Input[[#This Row],[Fed G&amp;C R of Ind]],Input[[#This Row],[Fed G&amp;C Inv in P]])</f>
        <v>15403529</v>
      </c>
      <c r="VD1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10848085</v>
      </c>
      <c r="VE1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13977549</v>
      </c>
      <c r="VF1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12312287</v>
      </c>
      <c r="VG10" s="46">
        <f>SUM(Input[[#This Row],[Oth Inc E&amp;G]],Input[[#This Row],[Oth Exp Desg]],Input[[#This Row],[Oth Exp R Exp]],Input[[#This Row],[Oth Exp Loan]],Input[[#This Row],[Oth Exp Annuity]],Input[[#This Row],[Oth Exp Unexp]],Input[[#This Row],[Oth Exp R of Ind]],Input[[#This Row],[Oth Exp Inv in P]])</f>
        <v>0</v>
      </c>
      <c r="VH10" s="46">
        <f>SUM(Input[[#This Row],[Instr E&amp;G]],Input[[#This Row],[Instr Desg]],Input[[#This Row],[Instr R Exp]],Input[[#This Row],[Instr Loan]],Input[[#This Row],[Instr Annuity]],Input[[#This Row],[Instr Unexp]],Input[[#This Row],[Instr R of Ind]],Input[[#This Row],[Instr Inv in P]])</f>
        <v>30721578</v>
      </c>
      <c r="VI10" s="46">
        <f>SUM(Input[[#This Row],[Res E&amp;G]],Input[[#This Row],[Res Desg]],Input[[#This Row],[Res R Exp]],Input[[#This Row],[Res Loan]],Input[[#This Row],[Res Annuity]],Input[[#This Row],[Res Unexp]],Input[[#This Row],[Res R of Ind]],Input[[#This Row],[Res Inv in P]])</f>
        <v>2896756</v>
      </c>
      <c r="VJ10" s="46">
        <f>SUM(Input[[#This Row],[Acad Sup E&amp;G]],Input[[#This Row],[Acad Sup Desg]],Input[[#This Row],[Acad Sup R Exp]],Input[[#This Row],[Acad Sup Loan]],Input[[#This Row],[Acad Sup Annuity]],Input[[#This Row],[Acad Sup Unexp]],Input[[#This Row],[Acad Sup R of Ind]],Input[[#This Row],[Acad Sup Inv in P]])</f>
        <v>8733804</v>
      </c>
      <c r="VK10" s="46">
        <f>SUM(Input[[#This Row],[Stu Svc E&amp;G]],Input[[#This Row],[Stu Svc Desg]],Input[[#This Row],[Stu Svc R Exp]],Input[[#This Row],[Stu Svc Loan]],Input[[#This Row],[Stu Svc Annuity]],Input[[#This Row],[Stu Svc Unexp]],Input[[#This Row],[Stu Svc R of Ind]],Input[[#This Row],[Stu Svc Inv in P]])</f>
        <v>3869612</v>
      </c>
      <c r="VL10" s="46">
        <f>SUM(Input[[#This Row],[Inst. Spt E&amp;G]],Input[[#This Row],[Inst. Spt Desg]],Input[[#This Row],[Inst. Spt R Exp]],Input[[#This Row],[Inst. Spt Loan]],Input[[#This Row],[Inst. Spt Annuity]],Input[[#This Row],[Inst. Spt Unexp]],Input[[#This Row],[Inst. Spt R of Ind]],Input[[#This Row],[Inst. Spt Inv in P]])</f>
        <v>17091050</v>
      </c>
      <c r="VM10" s="46">
        <f>SUM(Input[[#This Row],[M&amp;O Plnt E&amp;G]],Input[[#This Row],[M&amp;O Plnt Desg]],Input[[#This Row],[M&amp;O Plnt R Exp]],Input[[#This Row],[M&amp;O Plnt Loan]],Input[[#This Row],[M&amp;O Plnt Annuity]],Input[[#This Row],[M&amp;O Plnt Unexp]],Input[[#This Row],[M&amp;O Plnt R of Ind]],Input[[#This Row],[M&amp;O Plnt Inv in P]])</f>
        <v>11577802</v>
      </c>
      <c r="VN10" s="46">
        <f>SUM(Input[[#This Row],[Schl &amp; Fell E&amp;G]],Input[[#This Row],[Schl &amp; Fell Desg]],Input[[#This Row],[Schl &amp; Fell R Exp]],Input[[#This Row],[Schl &amp; Fell Loan]],Input[[#This Row],[Schl &amp; Fell Annuity]],Input[[#This Row],[Schl &amp; Fell Unexp]],Input[[#This Row],[Schl &amp; Fell R of Ind]],Input[[#This Row],[Schl &amp; Fell Inv in P]])</f>
        <v>11887642</v>
      </c>
      <c r="VO10" s="46">
        <f>SUM(Input[[#This Row],[Cap Out fund E&amp;G]],Input[[#This Row],[Cap Out fund Desg]],Input[[#This Row],[Cap Out fund R Exp]],Input[[#This Row],[Cap Out fund Loan]],Input[[#This Row],[Cap Out fund Annuity]],Input[[#This Row],[Cap Out fund Unexp]],Input[[#This Row],[Cap Out fund R of Ind]],Input[[#This Row],[Cap Out fund Inv in P]])</f>
        <v>648440</v>
      </c>
      <c r="VP10" s="46">
        <f>SUM(Input[[#This Row],[Oth Exp E&amp;G]],Input[[#This Row],[Oth Exp Desg]],Input[[#This Row],[Oth Exp R Exp]],Input[[#This Row],[Oth Exp Loan]],Input[[#This Row],[Oth Exp Annuity]],Input[[#This Row],[Oth Exp Unexp]],Input[[#This Row],[Oth Exp R of Ind]],Input[[#This Row],[Oth Exp Inv in P]],Input[[#This Row],[Oth Exp Inv in P]])</f>
        <v>0</v>
      </c>
    </row>
    <row r="11" spans="1:588" ht="30" customHeight="1" x14ac:dyDescent="0.3">
      <c r="A11" s="15" t="s">
        <v>2</v>
      </c>
      <c r="B11" s="36" t="s">
        <v>118</v>
      </c>
      <c r="C11" s="36" t="s">
        <v>110</v>
      </c>
      <c r="D11" s="36">
        <v>109</v>
      </c>
      <c r="E11" s="36" t="s">
        <v>132</v>
      </c>
      <c r="F11" s="95" cm="1">
        <f t="array" ref="F11">IFERROR(_xlfn.IFS(Input[[#This Row],[Type]]="HRI",SUMIFS('FTSE | FTFE'!$I$8:$I$77,'FTSE | FTFE'!$H$8:$H$77,A11),Input[[#This Row],[Type]]="UNIV",SUMIFS('FTSE | FTFE'!$I$104:$I$139,'FTSE | FTFE'!$H$104:$H$139,A11),OR(Input[[#This Row],[Type]]="TSTC",Input[[#This Row],[Type]]="LSC"),SUMIFS('FTSE | FTFE'!$I$88:$I$96,'FTSE | FTFE'!$H$88:$H$96,A11)),"N/A")</f>
        <v>10115</v>
      </c>
      <c r="G11" s="46">
        <v>187739500</v>
      </c>
      <c r="H11" s="46">
        <v>0</v>
      </c>
      <c r="I11" s="46">
        <v>0</v>
      </c>
      <c r="J11" s="46">
        <v>0</v>
      </c>
      <c r="K11" s="46">
        <v>0</v>
      </c>
      <c r="L11" s="46">
        <v>0</v>
      </c>
      <c r="M11" s="46">
        <v>0</v>
      </c>
      <c r="N11" s="46">
        <v>0</v>
      </c>
      <c r="O11" s="46">
        <v>0</v>
      </c>
      <c r="P11" s="46">
        <v>37865568</v>
      </c>
      <c r="Q11" s="46">
        <v>57135440</v>
      </c>
      <c r="R11" s="46">
        <v>0</v>
      </c>
      <c r="S11" s="46">
        <v>2276651</v>
      </c>
      <c r="T11" s="46">
        <v>0</v>
      </c>
      <c r="U11" s="46">
        <v>0</v>
      </c>
      <c r="V11" s="46">
        <v>0</v>
      </c>
      <c r="W11" s="46">
        <v>0</v>
      </c>
      <c r="X11" s="46">
        <v>0</v>
      </c>
      <c r="Y11" s="46">
        <v>0</v>
      </c>
      <c r="Z11" s="46">
        <v>0</v>
      </c>
      <c r="AA11" s="46">
        <v>0</v>
      </c>
      <c r="AB11" s="46">
        <v>0</v>
      </c>
      <c r="AC11" s="46">
        <v>0</v>
      </c>
      <c r="AD11" s="46">
        <v>0</v>
      </c>
      <c r="AE11" s="46">
        <v>0</v>
      </c>
      <c r="AF11" s="46">
        <v>0</v>
      </c>
      <c r="AG11" s="46">
        <v>0</v>
      </c>
      <c r="AH11" s="46">
        <v>0</v>
      </c>
      <c r="AI11" s="46">
        <v>0</v>
      </c>
      <c r="AJ11" s="46">
        <v>0</v>
      </c>
      <c r="AK11" s="46">
        <v>0</v>
      </c>
      <c r="AL11" s="46">
        <v>0</v>
      </c>
      <c r="AM11" s="46">
        <v>0</v>
      </c>
      <c r="AN11" s="46">
        <v>0</v>
      </c>
      <c r="AO11" s="46">
        <v>0</v>
      </c>
      <c r="AP11" s="46">
        <v>0</v>
      </c>
      <c r="AQ11" s="46">
        <v>-13419374</v>
      </c>
      <c r="AR11" s="46">
        <v>0</v>
      </c>
      <c r="AS11" s="46">
        <v>0</v>
      </c>
      <c r="AT11" s="46">
        <v>0</v>
      </c>
      <c r="AU11" s="46">
        <v>0</v>
      </c>
      <c r="AV11" s="46">
        <v>0</v>
      </c>
      <c r="AW11" s="46">
        <v>0</v>
      </c>
      <c r="AX11" s="46">
        <v>0</v>
      </c>
      <c r="AY11" s="46">
        <v>0</v>
      </c>
      <c r="AZ11" s="46">
        <v>0</v>
      </c>
      <c r="BA11" s="46">
        <v>0</v>
      </c>
      <c r="BB11" s="46">
        <v>0</v>
      </c>
      <c r="BC11" s="46">
        <v>0</v>
      </c>
      <c r="BD11" s="46">
        <v>0</v>
      </c>
      <c r="BE11" s="46">
        <v>0</v>
      </c>
      <c r="BF11" s="46">
        <v>0</v>
      </c>
      <c r="BG11" s="46">
        <v>0</v>
      </c>
      <c r="BH11" s="46">
        <v>0</v>
      </c>
      <c r="BI11" s="46">
        <v>0</v>
      </c>
      <c r="BJ11" s="46">
        <v>0</v>
      </c>
      <c r="BK11" s="46">
        <v>0</v>
      </c>
      <c r="BL11" s="46">
        <v>0</v>
      </c>
      <c r="BM11" s="46">
        <v>0</v>
      </c>
      <c r="BN11" s="46">
        <v>0</v>
      </c>
      <c r="BO11" s="46">
        <v>0</v>
      </c>
      <c r="BP11" s="46">
        <v>0</v>
      </c>
      <c r="BQ11" s="46">
        <v>0</v>
      </c>
      <c r="BR11" s="46">
        <v>0</v>
      </c>
      <c r="BS11" s="46">
        <v>0</v>
      </c>
      <c r="BT11" s="46">
        <v>0</v>
      </c>
      <c r="BU11" s="46">
        <v>0</v>
      </c>
      <c r="BV11" s="46">
        <v>0</v>
      </c>
      <c r="BW11" s="46">
        <v>0</v>
      </c>
      <c r="BX11" s="46">
        <v>0</v>
      </c>
      <c r="BY11" s="46">
        <v>0</v>
      </c>
      <c r="BZ11" s="46">
        <v>0</v>
      </c>
      <c r="CA11" s="46">
        <v>53485956</v>
      </c>
      <c r="CB11" s="46">
        <v>195962246</v>
      </c>
      <c r="CC11" s="46">
        <v>0</v>
      </c>
      <c r="CD11" s="46">
        <v>0</v>
      </c>
      <c r="CE11" s="46">
        <v>0</v>
      </c>
      <c r="CF11" s="46">
        <v>0</v>
      </c>
      <c r="CG11" s="46">
        <v>0</v>
      </c>
      <c r="CH11" s="46">
        <v>0</v>
      </c>
      <c r="CI11" s="46">
        <v>0</v>
      </c>
      <c r="CJ11" s="46">
        <v>0</v>
      </c>
      <c r="CK11" s="46">
        <v>0</v>
      </c>
      <c r="CL11" s="46">
        <v>0</v>
      </c>
      <c r="CM11" s="46">
        <v>0</v>
      </c>
      <c r="CN11" s="46">
        <v>0</v>
      </c>
      <c r="CO11" s="46">
        <v>0</v>
      </c>
      <c r="CP11" s="46">
        <v>0</v>
      </c>
      <c r="CQ11" s="46">
        <v>0</v>
      </c>
      <c r="CR11" s="46">
        <v>0</v>
      </c>
      <c r="CS11" s="46">
        <v>0</v>
      </c>
      <c r="CT11" s="46">
        <v>0</v>
      </c>
      <c r="CU11" s="46">
        <v>0</v>
      </c>
      <c r="CV11" s="46">
        <v>0</v>
      </c>
      <c r="CW11" s="46">
        <v>0</v>
      </c>
      <c r="CX11" s="46">
        <v>0</v>
      </c>
      <c r="CY11" s="46">
        <v>0</v>
      </c>
      <c r="CZ11" s="46">
        <v>0</v>
      </c>
      <c r="DA11" s="46">
        <v>0</v>
      </c>
      <c r="DB11" s="46">
        <v>-4222602</v>
      </c>
      <c r="DC11" s="46">
        <v>-21810066</v>
      </c>
      <c r="DD11" s="46">
        <v>0</v>
      </c>
      <c r="DE11" s="46">
        <v>0</v>
      </c>
      <c r="DF11" s="46">
        <v>0</v>
      </c>
      <c r="DG11" s="46">
        <v>0</v>
      </c>
      <c r="DH11" s="46">
        <v>0</v>
      </c>
      <c r="DI11" s="46">
        <v>0</v>
      </c>
      <c r="DJ11" s="46">
        <v>0</v>
      </c>
      <c r="DK11" s="46">
        <v>0</v>
      </c>
      <c r="DL11" s="46">
        <v>0</v>
      </c>
      <c r="DM11" s="46">
        <v>0</v>
      </c>
      <c r="DN11" s="46">
        <v>0</v>
      </c>
      <c r="DO11" s="46">
        <v>0</v>
      </c>
      <c r="DP11" s="46">
        <v>0</v>
      </c>
      <c r="DQ11" s="46">
        <v>0</v>
      </c>
      <c r="DR11" s="46">
        <v>0</v>
      </c>
      <c r="DS11" s="46">
        <v>0</v>
      </c>
      <c r="DT11" s="46">
        <v>-24723631</v>
      </c>
      <c r="DU11" s="46">
        <v>-56225773</v>
      </c>
      <c r="DV11" s="46">
        <v>0</v>
      </c>
      <c r="DW11" s="46">
        <v>0</v>
      </c>
      <c r="DX11" s="46">
        <v>0</v>
      </c>
      <c r="DY11" s="46">
        <v>0</v>
      </c>
      <c r="DZ11" s="46">
        <v>0</v>
      </c>
      <c r="EA11" s="46">
        <v>0</v>
      </c>
      <c r="EB11" s="46">
        <v>0</v>
      </c>
      <c r="EC11" s="46">
        <v>0</v>
      </c>
      <c r="ED11" s="46">
        <v>0</v>
      </c>
      <c r="EE11" s="46">
        <v>0</v>
      </c>
      <c r="EF11" s="46">
        <v>0</v>
      </c>
      <c r="EG11" s="46">
        <v>0</v>
      </c>
      <c r="EH11" s="46">
        <v>0</v>
      </c>
      <c r="EI11" s="46">
        <v>0</v>
      </c>
      <c r="EJ11" s="46">
        <v>0</v>
      </c>
      <c r="EK11" s="46">
        <v>0</v>
      </c>
      <c r="EL11" s="46">
        <v>0</v>
      </c>
      <c r="EM11" s="46">
        <v>0</v>
      </c>
      <c r="EN11" s="46">
        <v>0</v>
      </c>
      <c r="EO11" s="46">
        <v>0</v>
      </c>
      <c r="EP11" s="46">
        <v>0</v>
      </c>
      <c r="EQ11" s="46">
        <v>0</v>
      </c>
      <c r="ER11" s="46">
        <v>0</v>
      </c>
      <c r="ES11" s="46">
        <v>0</v>
      </c>
      <c r="ET11" s="46">
        <v>0</v>
      </c>
      <c r="EU11" s="46">
        <v>0</v>
      </c>
      <c r="EV11" s="46">
        <v>0</v>
      </c>
      <c r="EW11" s="46">
        <v>0</v>
      </c>
      <c r="EX11" s="46">
        <v>0</v>
      </c>
      <c r="EY11" s="46">
        <v>0</v>
      </c>
      <c r="EZ11" s="46">
        <v>0</v>
      </c>
      <c r="FA11" s="46">
        <v>0</v>
      </c>
      <c r="FB11" s="46">
        <v>0</v>
      </c>
      <c r="FC11" s="46">
        <v>0</v>
      </c>
      <c r="FD11" s="46">
        <v>0</v>
      </c>
      <c r="FE11" s="46">
        <v>0</v>
      </c>
      <c r="FF11" s="46">
        <v>0</v>
      </c>
      <c r="FG11" s="46">
        <v>0</v>
      </c>
      <c r="FH11" s="46">
        <v>0</v>
      </c>
      <c r="FI11" s="46">
        <v>0</v>
      </c>
      <c r="FJ11" s="46">
        <v>0</v>
      </c>
      <c r="FK11" s="46">
        <v>0</v>
      </c>
      <c r="FL11" s="46">
        <v>0</v>
      </c>
      <c r="FM11" s="46">
        <v>4499935</v>
      </c>
      <c r="FN11" s="46">
        <v>117956654</v>
      </c>
      <c r="FO11" s="46">
        <v>40617269</v>
      </c>
      <c r="FP11" s="46">
        <v>0</v>
      </c>
      <c r="FQ11" s="46">
        <v>0</v>
      </c>
      <c r="FR11" s="46">
        <v>0</v>
      </c>
      <c r="FS11" s="46">
        <v>0</v>
      </c>
      <c r="FT11" s="46">
        <v>0</v>
      </c>
      <c r="FU11" s="46">
        <v>0</v>
      </c>
      <c r="FV11" s="46">
        <v>0</v>
      </c>
      <c r="FW11" s="46">
        <v>0</v>
      </c>
      <c r="FX11" s="46">
        <v>0</v>
      </c>
      <c r="FY11" s="46">
        <v>0</v>
      </c>
      <c r="FZ11" s="46">
        <v>0</v>
      </c>
      <c r="GA11" s="46">
        <v>0</v>
      </c>
      <c r="GB11" s="46">
        <v>0</v>
      </c>
      <c r="GC11" s="46">
        <v>0</v>
      </c>
      <c r="GD11" s="46">
        <v>0</v>
      </c>
      <c r="GE11" s="46">
        <v>0</v>
      </c>
      <c r="GF11" s="46">
        <v>0</v>
      </c>
      <c r="GG11" s="46">
        <v>0</v>
      </c>
      <c r="GH11" s="46">
        <v>0</v>
      </c>
      <c r="GI11" s="46">
        <v>0</v>
      </c>
      <c r="GJ11" s="46">
        <v>0</v>
      </c>
      <c r="GK11" s="46">
        <v>0</v>
      </c>
      <c r="GL11" s="46">
        <v>0</v>
      </c>
      <c r="GM11" s="46">
        <v>0</v>
      </c>
      <c r="GN11" s="46">
        <v>0</v>
      </c>
      <c r="GO11" s="46">
        <v>0</v>
      </c>
      <c r="GP11" s="46">
        <v>-3095682</v>
      </c>
      <c r="GQ11" s="46">
        <v>0</v>
      </c>
      <c r="GR11" s="46">
        <v>0</v>
      </c>
      <c r="GS11" s="46">
        <v>0</v>
      </c>
      <c r="GT11" s="46">
        <v>0</v>
      </c>
      <c r="GU11" s="46">
        <v>0</v>
      </c>
      <c r="GV11" s="46">
        <v>0</v>
      </c>
      <c r="GW11" s="46">
        <v>0</v>
      </c>
      <c r="GX11" s="46">
        <v>0</v>
      </c>
      <c r="GY11" s="46">
        <v>0</v>
      </c>
      <c r="GZ11" s="46">
        <v>0</v>
      </c>
      <c r="HA11" s="46">
        <v>0</v>
      </c>
      <c r="HB11" s="46">
        <v>0</v>
      </c>
      <c r="HC11" s="46">
        <v>0</v>
      </c>
      <c r="HD11" s="46">
        <v>0</v>
      </c>
      <c r="HE11" s="46">
        <v>0</v>
      </c>
      <c r="HF11" s="46">
        <v>-2435335</v>
      </c>
      <c r="HG11" s="46">
        <v>-46972550</v>
      </c>
      <c r="HH11" s="46">
        <v>-5752540</v>
      </c>
      <c r="HI11" s="46">
        <v>0</v>
      </c>
      <c r="HJ11" s="46">
        <v>0</v>
      </c>
      <c r="HK11" s="46">
        <v>0</v>
      </c>
      <c r="HL11" s="46">
        <v>0</v>
      </c>
      <c r="HM11" s="46">
        <v>0</v>
      </c>
      <c r="HN11" s="46">
        <v>0</v>
      </c>
      <c r="HO11" s="46">
        <v>0</v>
      </c>
      <c r="HP11" s="46">
        <v>15668039</v>
      </c>
      <c r="HQ11" s="46">
        <v>0</v>
      </c>
      <c r="HR11" s="46">
        <v>172084444</v>
      </c>
      <c r="HS11" s="46">
        <v>0</v>
      </c>
      <c r="HT11" s="46">
        <v>0</v>
      </c>
      <c r="HU11" s="46">
        <v>0</v>
      </c>
      <c r="HV11" s="46">
        <v>0</v>
      </c>
      <c r="HW11" s="46">
        <v>0</v>
      </c>
      <c r="HX11" s="46">
        <v>0</v>
      </c>
      <c r="HY11" s="46">
        <v>0</v>
      </c>
      <c r="HZ11" s="46">
        <v>0</v>
      </c>
      <c r="IA11" s="46">
        <v>0</v>
      </c>
      <c r="IB11" s="46">
        <v>0</v>
      </c>
      <c r="IC11" s="46">
        <v>0</v>
      </c>
      <c r="ID11" s="46">
        <v>0</v>
      </c>
      <c r="IE11" s="46">
        <v>0</v>
      </c>
      <c r="IF11" s="46">
        <v>0</v>
      </c>
      <c r="IG11" s="46">
        <v>0</v>
      </c>
      <c r="IH11" s="46">
        <v>0</v>
      </c>
      <c r="II11" s="46">
        <v>0</v>
      </c>
      <c r="IJ11" s="46">
        <v>0</v>
      </c>
      <c r="IK11" s="46">
        <v>0</v>
      </c>
      <c r="IL11" s="46">
        <v>0</v>
      </c>
      <c r="IM11" s="46">
        <v>0</v>
      </c>
      <c r="IN11" s="46">
        <v>0</v>
      </c>
      <c r="IO11" s="46">
        <v>0</v>
      </c>
      <c r="IP11" s="46">
        <v>3604497</v>
      </c>
      <c r="IQ11" s="46">
        <v>20945367</v>
      </c>
      <c r="IR11" s="46">
        <v>3042167</v>
      </c>
      <c r="IS11" s="46">
        <v>11827193</v>
      </c>
      <c r="IT11" s="46">
        <v>8734</v>
      </c>
      <c r="IU11" s="46">
        <v>968182</v>
      </c>
      <c r="IV11" s="46">
        <v>832043</v>
      </c>
      <c r="IW11" s="46">
        <v>0</v>
      </c>
      <c r="IX11" s="46">
        <v>0</v>
      </c>
      <c r="IY11" s="46">
        <v>0</v>
      </c>
      <c r="IZ11" s="46">
        <v>684590</v>
      </c>
      <c r="JA11" s="46">
        <v>0</v>
      </c>
      <c r="JB11" s="46">
        <v>2835703</v>
      </c>
      <c r="JC11" s="46">
        <v>0</v>
      </c>
      <c r="JD11" s="46">
        <v>0</v>
      </c>
      <c r="JE11" s="46">
        <v>0</v>
      </c>
      <c r="JF11" s="46">
        <v>0</v>
      </c>
      <c r="JG11" s="46">
        <v>0</v>
      </c>
      <c r="JH11" s="46">
        <v>0</v>
      </c>
      <c r="JI11" s="46">
        <v>1419886</v>
      </c>
      <c r="JJ11" s="46">
        <v>0</v>
      </c>
      <c r="JK11" s="46">
        <v>28803973</v>
      </c>
      <c r="JL11" s="46">
        <v>0</v>
      </c>
      <c r="JM11" s="46">
        <v>0</v>
      </c>
      <c r="JN11" s="46">
        <v>0</v>
      </c>
      <c r="JO11" s="46">
        <v>0</v>
      </c>
      <c r="JP11" s="46">
        <v>0</v>
      </c>
      <c r="JQ11" s="46">
        <v>0</v>
      </c>
      <c r="JR11" s="46">
        <v>13620226</v>
      </c>
      <c r="JS11" s="46">
        <v>0</v>
      </c>
      <c r="JT11" s="46">
        <v>1518233</v>
      </c>
      <c r="JU11" s="46">
        <v>0</v>
      </c>
      <c r="JV11" s="46">
        <v>0</v>
      </c>
      <c r="JW11" s="46">
        <v>0</v>
      </c>
      <c r="JX11" s="46">
        <v>0</v>
      </c>
      <c r="JY11" s="46">
        <v>0</v>
      </c>
      <c r="JZ11" s="46">
        <v>0</v>
      </c>
      <c r="KA11" s="46">
        <v>0</v>
      </c>
      <c r="KB11" s="46">
        <v>73085036</v>
      </c>
      <c r="KC11" s="46">
        <v>0</v>
      </c>
      <c r="KD11" s="46">
        <v>0</v>
      </c>
      <c r="KE11" s="46">
        <v>0</v>
      </c>
      <c r="KF11" s="46">
        <v>0</v>
      </c>
      <c r="KG11" s="46">
        <v>0</v>
      </c>
      <c r="KH11" s="46">
        <v>0</v>
      </c>
      <c r="KI11" s="46">
        <v>0</v>
      </c>
      <c r="KJ11" s="46">
        <v>5052291</v>
      </c>
      <c r="KK11" s="46">
        <v>0</v>
      </c>
      <c r="KL11" s="46">
        <v>1763791</v>
      </c>
      <c r="KM11" s="46">
        <v>286192</v>
      </c>
      <c r="KN11" s="46">
        <v>0</v>
      </c>
      <c r="KO11" s="46">
        <v>0</v>
      </c>
      <c r="KP11" s="46">
        <v>0</v>
      </c>
      <c r="KQ11" s="46">
        <v>-233721</v>
      </c>
      <c r="KR11" s="46">
        <v>112073381</v>
      </c>
      <c r="KS11" s="46">
        <v>29670937</v>
      </c>
      <c r="KT11" s="46">
        <v>0</v>
      </c>
      <c r="KU11" s="46">
        <v>5042728</v>
      </c>
      <c r="KV11" s="46">
        <v>0</v>
      </c>
      <c r="KW11" s="46">
        <v>0</v>
      </c>
      <c r="KX11" s="46">
        <v>0</v>
      </c>
      <c r="KY11" s="46">
        <v>0</v>
      </c>
      <c r="KZ11" s="46">
        <v>0</v>
      </c>
      <c r="LA11" s="46">
        <v>69136201</v>
      </c>
      <c r="LB11" s="46">
        <v>19218196</v>
      </c>
      <c r="LC11" s="46">
        <v>0</v>
      </c>
      <c r="LD11" s="46">
        <v>67298725</v>
      </c>
      <c r="LE11" s="46">
        <v>0</v>
      </c>
      <c r="LF11" s="46">
        <v>0</v>
      </c>
      <c r="LG11" s="46">
        <v>0</v>
      </c>
      <c r="LH11" s="46">
        <v>0</v>
      </c>
      <c r="LI11" s="46">
        <v>0</v>
      </c>
      <c r="LJ11" s="46">
        <v>5519648</v>
      </c>
      <c r="LK11" s="46">
        <v>1533074</v>
      </c>
      <c r="LL11" s="46">
        <v>0</v>
      </c>
      <c r="LM11" s="46">
        <v>7837914</v>
      </c>
      <c r="LN11" s="46">
        <v>0</v>
      </c>
      <c r="LO11" s="46">
        <v>0</v>
      </c>
      <c r="LP11" s="46">
        <v>0</v>
      </c>
      <c r="LQ11" s="46">
        <v>0</v>
      </c>
      <c r="LR11" s="46">
        <v>0</v>
      </c>
      <c r="LS11" s="46">
        <v>0</v>
      </c>
      <c r="LT11" s="46">
        <v>0</v>
      </c>
      <c r="LU11" s="46">
        <v>0</v>
      </c>
      <c r="LV11" s="46">
        <v>0</v>
      </c>
      <c r="LW11" s="46">
        <v>0</v>
      </c>
      <c r="LX11" s="46">
        <v>0</v>
      </c>
      <c r="LY11" s="46">
        <v>0</v>
      </c>
      <c r="LZ11" s="46">
        <v>0</v>
      </c>
      <c r="MA11" s="46">
        <v>0</v>
      </c>
      <c r="MB11" s="46">
        <v>33462660</v>
      </c>
      <c r="MC11" s="46">
        <v>65090889</v>
      </c>
      <c r="MD11" s="46">
        <v>0</v>
      </c>
      <c r="ME11" s="46">
        <v>7100957</v>
      </c>
      <c r="MF11" s="46">
        <v>0</v>
      </c>
      <c r="MG11" s="46">
        <v>0</v>
      </c>
      <c r="MH11" s="46">
        <v>0</v>
      </c>
      <c r="MI11" s="46">
        <v>0</v>
      </c>
      <c r="MJ11" s="46">
        <v>0</v>
      </c>
      <c r="MK11" s="46">
        <v>6053270</v>
      </c>
      <c r="ML11" s="46">
        <v>32488901</v>
      </c>
      <c r="MM11" s="46">
        <v>0</v>
      </c>
      <c r="MN11" s="46">
        <v>2078309</v>
      </c>
      <c r="MO11" s="46">
        <v>1218169</v>
      </c>
      <c r="MP11" s="46">
        <v>0</v>
      </c>
      <c r="MQ11" s="46">
        <v>0</v>
      </c>
      <c r="MR11" s="46">
        <v>0</v>
      </c>
      <c r="MS11" s="46">
        <v>0</v>
      </c>
      <c r="MT11" s="46">
        <v>18070655</v>
      </c>
      <c r="MU11" s="46">
        <v>36258603</v>
      </c>
      <c r="MV11" s="46">
        <v>0</v>
      </c>
      <c r="MW11" s="46">
        <v>1404457</v>
      </c>
      <c r="MX11" s="46">
        <v>0</v>
      </c>
      <c r="MY11" s="46">
        <v>0</v>
      </c>
      <c r="MZ11" s="46">
        <v>0</v>
      </c>
      <c r="NA11" s="46">
        <v>0</v>
      </c>
      <c r="NB11" s="46">
        <v>0</v>
      </c>
      <c r="NC11" s="46">
        <v>29706689</v>
      </c>
      <c r="ND11" s="46">
        <v>23745604</v>
      </c>
      <c r="NE11" s="46">
        <v>0</v>
      </c>
      <c r="NF11" s="46">
        <v>361510</v>
      </c>
      <c r="NG11" s="46">
        <v>0</v>
      </c>
      <c r="NH11" s="46">
        <v>0</v>
      </c>
      <c r="NI11" s="46">
        <v>6084272</v>
      </c>
      <c r="NJ11" s="46">
        <v>0</v>
      </c>
      <c r="NK11" s="46">
        <v>0</v>
      </c>
      <c r="NL11" s="46">
        <v>15343724</v>
      </c>
      <c r="NM11" s="46">
        <v>30755427</v>
      </c>
      <c r="NN11" s="46">
        <v>0</v>
      </c>
      <c r="NO11" s="46">
        <v>18947778</v>
      </c>
      <c r="NP11" s="46">
        <v>0</v>
      </c>
      <c r="NQ11" s="46">
        <v>0</v>
      </c>
      <c r="NR11" s="46">
        <v>0</v>
      </c>
      <c r="NS11" s="46">
        <v>0</v>
      </c>
      <c r="NT11" s="46">
        <v>0</v>
      </c>
      <c r="NU11" s="46">
        <v>0</v>
      </c>
      <c r="NV11" s="46">
        <v>1042435</v>
      </c>
      <c r="NW11" s="46">
        <v>76508245</v>
      </c>
      <c r="NX11" s="46">
        <v>2763095</v>
      </c>
      <c r="NY11" s="46">
        <v>0</v>
      </c>
      <c r="NZ11" s="46">
        <v>0</v>
      </c>
      <c r="OA11" s="46">
        <v>0</v>
      </c>
      <c r="OB11" s="46">
        <v>0</v>
      </c>
      <c r="OC11" s="46">
        <v>0</v>
      </c>
      <c r="OD11" s="46">
        <v>8396763</v>
      </c>
      <c r="OE11" s="46">
        <v>4224060</v>
      </c>
      <c r="OF11" s="46">
        <v>1922656</v>
      </c>
      <c r="OG11" s="46">
        <v>5088163</v>
      </c>
      <c r="OH11" s="46">
        <v>0</v>
      </c>
      <c r="OI11" s="46">
        <v>0</v>
      </c>
      <c r="OJ11" s="46">
        <v>0</v>
      </c>
      <c r="OK11" s="46">
        <v>0</v>
      </c>
      <c r="OL11" s="46">
        <v>0</v>
      </c>
      <c r="OM11" s="46">
        <v>218</v>
      </c>
      <c r="ON11" s="46">
        <v>482343</v>
      </c>
      <c r="OO11" s="46">
        <v>89510</v>
      </c>
      <c r="OP11" s="46">
        <v>5190</v>
      </c>
      <c r="OQ11" s="46">
        <v>-71560</v>
      </c>
      <c r="OR11" s="46">
        <v>0</v>
      </c>
      <c r="OS11" s="46">
        <v>0</v>
      </c>
      <c r="OT11" s="46">
        <v>0</v>
      </c>
      <c r="OU11" s="46">
        <v>0</v>
      </c>
      <c r="OV11" s="46">
        <v>0</v>
      </c>
      <c r="OW11" s="46">
        <v>0</v>
      </c>
      <c r="OX11" s="46">
        <v>0</v>
      </c>
      <c r="OY11" s="46">
        <v>0</v>
      </c>
      <c r="OZ11" s="46">
        <v>0</v>
      </c>
      <c r="PA11" s="46">
        <v>0</v>
      </c>
      <c r="PB11" s="46">
        <v>-195524549</v>
      </c>
      <c r="PC11" s="46">
        <v>0</v>
      </c>
      <c r="PD11" s="46">
        <v>0</v>
      </c>
      <c r="PE11" s="46">
        <v>61689890</v>
      </c>
      <c r="PF11" s="46">
        <v>33029364</v>
      </c>
      <c r="PG11" s="46">
        <v>-4709417</v>
      </c>
      <c r="PH11" s="46">
        <v>-100005228</v>
      </c>
      <c r="PI11" s="46">
        <v>300000</v>
      </c>
      <c r="PJ11" s="46">
        <v>-2045565</v>
      </c>
      <c r="PK11" s="46">
        <v>27748022</v>
      </c>
      <c r="PL11" s="46">
        <v>0</v>
      </c>
      <c r="PM11" s="46">
        <v>7513802</v>
      </c>
      <c r="PN11" s="46">
        <v>0</v>
      </c>
      <c r="PO11" s="46">
        <v>0</v>
      </c>
      <c r="PP11" s="46">
        <v>0</v>
      </c>
      <c r="PQ11" s="46">
        <v>0</v>
      </c>
      <c r="PR11" s="46">
        <v>0</v>
      </c>
      <c r="PS11" s="46">
        <v>0</v>
      </c>
      <c r="PT11" s="46">
        <v>192906270</v>
      </c>
      <c r="PU11" s="46">
        <v>0</v>
      </c>
      <c r="PV11" s="46">
        <v>0</v>
      </c>
      <c r="PW11" s="46">
        <v>-21210141</v>
      </c>
      <c r="PX11" s="46">
        <v>-6479865</v>
      </c>
      <c r="PY11" s="46">
        <v>-21169435</v>
      </c>
      <c r="PZ11" s="46">
        <v>-48352</v>
      </c>
      <c r="QA11" s="46">
        <v>0</v>
      </c>
      <c r="QB11" s="46">
        <v>0</v>
      </c>
      <c r="QC11" s="46">
        <v>0</v>
      </c>
      <c r="QD11" s="46">
        <v>0</v>
      </c>
      <c r="QE11" s="46">
        <v>0</v>
      </c>
      <c r="QF11" s="46">
        <v>-8531</v>
      </c>
      <c r="QG11" s="46">
        <v>32610102</v>
      </c>
      <c r="QH11" s="46">
        <v>6793215</v>
      </c>
      <c r="QI11" s="46">
        <v>-742477</v>
      </c>
      <c r="QJ11" s="46">
        <v>0</v>
      </c>
      <c r="QK11" s="46">
        <v>17157692</v>
      </c>
      <c r="QL11" s="46">
        <v>0</v>
      </c>
      <c r="QM11" s="46">
        <v>0</v>
      </c>
      <c r="QN11" s="46">
        <v>0</v>
      </c>
      <c r="QO11" s="46">
        <v>0</v>
      </c>
      <c r="QP11" s="46">
        <v>0</v>
      </c>
      <c r="QQ11" s="46">
        <v>0</v>
      </c>
      <c r="QR11" s="46">
        <v>0</v>
      </c>
      <c r="QS11" s="46">
        <v>0</v>
      </c>
      <c r="QT11" s="46">
        <v>14043825</v>
      </c>
      <c r="QU11" s="46">
        <v>0</v>
      </c>
      <c r="QV11" s="46">
        <v>0</v>
      </c>
      <c r="QW11" s="46">
        <v>0</v>
      </c>
      <c r="QX11" s="46">
        <v>0</v>
      </c>
      <c r="QY11" s="46">
        <v>0</v>
      </c>
      <c r="QZ11" s="46">
        <v>0</v>
      </c>
      <c r="RA11" s="46">
        <v>0</v>
      </c>
      <c r="RB11" s="46">
        <v>0</v>
      </c>
      <c r="RC11" s="46">
        <v>0</v>
      </c>
      <c r="RD11" s="46">
        <v>0</v>
      </c>
      <c r="RE11" s="46">
        <v>0</v>
      </c>
      <c r="RF11" s="46">
        <v>0</v>
      </c>
      <c r="RG11" s="46">
        <v>0</v>
      </c>
      <c r="RH11" s="46">
        <v>0</v>
      </c>
      <c r="RI11" s="46">
        <v>0</v>
      </c>
      <c r="RJ11" s="46">
        <v>0</v>
      </c>
      <c r="RK11" s="46">
        <v>0</v>
      </c>
      <c r="RL11" s="46">
        <v>0</v>
      </c>
      <c r="RM11" s="46">
        <v>0</v>
      </c>
      <c r="RN11" s="46">
        <v>0</v>
      </c>
      <c r="RO11" s="46">
        <v>-79412603</v>
      </c>
      <c r="RP11" s="46">
        <v>0</v>
      </c>
      <c r="RQ11" s="46">
        <v>0</v>
      </c>
      <c r="RR11" s="46">
        <v>0</v>
      </c>
      <c r="RS11" s="46">
        <v>0</v>
      </c>
      <c r="RT11" s="46">
        <v>0</v>
      </c>
      <c r="RU11" s="46">
        <v>0</v>
      </c>
      <c r="RV11" s="46">
        <v>0</v>
      </c>
      <c r="RW11" s="46">
        <v>0</v>
      </c>
      <c r="RX11" s="46">
        <v>0</v>
      </c>
      <c r="RY11" s="46">
        <v>0</v>
      </c>
      <c r="RZ11" s="46">
        <v>0</v>
      </c>
      <c r="SA11" s="46">
        <v>0</v>
      </c>
      <c r="SB11" s="46">
        <v>0</v>
      </c>
      <c r="SC11" s="46">
        <v>0</v>
      </c>
      <c r="SD11" s="46">
        <v>0</v>
      </c>
      <c r="SE11" s="46">
        <v>0</v>
      </c>
      <c r="SF11" s="46">
        <v>0</v>
      </c>
      <c r="SG11" s="46">
        <v>0</v>
      </c>
      <c r="SH11" s="46">
        <v>0</v>
      </c>
      <c r="SI11" s="46">
        <v>0</v>
      </c>
      <c r="SJ11" s="46">
        <v>0</v>
      </c>
      <c r="SK11" s="46">
        <v>0</v>
      </c>
      <c r="SL11" s="46">
        <v>0</v>
      </c>
      <c r="SM11" s="46">
        <v>0</v>
      </c>
      <c r="SN11" s="46">
        <v>0</v>
      </c>
      <c r="SO11" s="46">
        <v>0</v>
      </c>
      <c r="SP11" s="46">
        <v>676540</v>
      </c>
      <c r="SQ11" s="46">
        <v>0</v>
      </c>
      <c r="SR11" s="46">
        <v>0</v>
      </c>
      <c r="SS11" s="46">
        <v>0</v>
      </c>
      <c r="ST11" s="46">
        <v>0</v>
      </c>
      <c r="SU11" s="46">
        <v>0</v>
      </c>
      <c r="SV11" s="46">
        <v>0</v>
      </c>
      <c r="SW11" s="46">
        <v>0</v>
      </c>
      <c r="SX11" s="46">
        <v>0</v>
      </c>
      <c r="SY11" s="46">
        <v>215156191</v>
      </c>
      <c r="SZ11" s="46">
        <v>317823</v>
      </c>
      <c r="TA11" s="46">
        <v>11131673</v>
      </c>
      <c r="TB11" s="46">
        <v>788574</v>
      </c>
      <c r="TC11" s="46">
        <v>0</v>
      </c>
      <c r="TD11" s="46">
        <v>2676131</v>
      </c>
      <c r="TE11" s="46">
        <v>185750</v>
      </c>
      <c r="TF11" s="46">
        <v>918419</v>
      </c>
      <c r="TG11" s="46">
        <v>1690615</v>
      </c>
      <c r="TH11" s="46">
        <v>0</v>
      </c>
      <c r="TI11" s="46">
        <v>1922657</v>
      </c>
      <c r="TJ11" s="46">
        <v>0</v>
      </c>
      <c r="TK11" s="46">
        <v>1509</v>
      </c>
      <c r="TL11" s="46">
        <v>1640839</v>
      </c>
      <c r="TM11" s="46">
        <v>2389681</v>
      </c>
      <c r="TN11" s="46">
        <v>0</v>
      </c>
      <c r="TO11" s="46">
        <v>0</v>
      </c>
      <c r="TP11" s="46">
        <v>0</v>
      </c>
      <c r="TQ11" s="46">
        <v>0</v>
      </c>
      <c r="TR11" s="46">
        <v>0</v>
      </c>
      <c r="TS11" s="46">
        <v>0</v>
      </c>
      <c r="TT11" s="46">
        <v>0</v>
      </c>
      <c r="TU11" s="46">
        <v>466817</v>
      </c>
      <c r="TV11" s="46">
        <v>0</v>
      </c>
      <c r="TW11" s="46">
        <v>0</v>
      </c>
      <c r="TX11" s="46">
        <v>0</v>
      </c>
      <c r="TY11" s="46">
        <v>0</v>
      </c>
      <c r="TZ11" s="46">
        <v>0</v>
      </c>
      <c r="UA11" s="46">
        <v>0</v>
      </c>
      <c r="UB11" s="46">
        <v>0</v>
      </c>
      <c r="UC11" s="46">
        <v>0</v>
      </c>
      <c r="UD11" s="46">
        <v>0</v>
      </c>
      <c r="UE11" s="46">
        <v>146787046</v>
      </c>
      <c r="UF11" s="46">
        <v>155653122</v>
      </c>
      <c r="UG11" s="46">
        <v>14890636</v>
      </c>
      <c r="UH11" s="46">
        <v>0</v>
      </c>
      <c r="UI11" s="46">
        <v>105654506</v>
      </c>
      <c r="UJ11" s="46">
        <v>41838649</v>
      </c>
      <c r="UK11" s="46">
        <v>55733715</v>
      </c>
      <c r="UL11" s="46">
        <v>59898075</v>
      </c>
      <c r="UM11" s="46">
        <v>65046929</v>
      </c>
      <c r="UN11" s="46">
        <v>80313775</v>
      </c>
      <c r="UO11"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19631642</v>
      </c>
      <c r="UP11" s="46">
        <f>SUM(Input[[#This Row],[Oth Exp E&amp;G]],Input[[#This Row],[Oth Exp Desg]],Input[[#This Row],[Oth Exp Aux]],Input[[#This Row],[Oth Exp R Exp]],Input[[#This Row],[Oth Exp Loan]],Input[[#This Row],[Oth Exp Annuity]],Input[[#This Row],[Oth Exp Unexp]],Input[[#This Row],[Oth Exp R of Ind]],Input[[#This Row],[Oth Exp Inv in P]])</f>
        <v>505701</v>
      </c>
      <c r="UQ11" s="46"/>
      <c r="UR11" s="46"/>
      <c r="US11" s="8" t="s">
        <v>838</v>
      </c>
      <c r="UT11" s="47">
        <v>2103554180</v>
      </c>
      <c r="UU11" s="8" t="s">
        <v>970</v>
      </c>
      <c r="UV11" s="8" t="s">
        <v>839</v>
      </c>
      <c r="UW11" s="47">
        <v>2104584345</v>
      </c>
      <c r="UX11" s="8" t="s">
        <v>962</v>
      </c>
      <c r="UY11" s="51" cm="1">
        <f t="array" ref="UY11">IFERROR(_xlfn.IFS(Input[[#This Row],[Type]]="HRI",SUMIFS('FTSE | FTFE'!$P$8:$P$77,'FTSE | FTFE'!$H$8:$H$77,A11),Input[[#This Row],[Type]]="UNIV",SUMIFS('FTSE | FTFE'!$P$104:$P$139,'FTSE | FTFE'!$H$104:$H$139,A11),OR(Input[[#This Row],[Type]]="TSTC",Input[[#This Row],[Type]]="LSC"),SUMIFS('FTSE | FTFE'!$O$88:$O$96,'FTSE | FTFE'!$H$88:$H$96,A11),Input[[#This Row],[Type]]="AHM",SUMIFS(Hidden!$H$42:$H$45,Hidden!$G$42:$G$45,A11)),"N/A")</f>
        <v>29190</v>
      </c>
      <c r="UZ11" s="51" cm="1">
        <f t="array" ref="UZ11">IFERROR(_xlfn.IFS(Input[[#This Row],[Type]]="HRI",SUMIFS('FTSE | FTFE'!$Q$8:$Q$77,'FTSE | FTFE'!$H$8:$H$77,A11),Input[[#This Row],[Type]]="UNIV",SUMIFS('FTSE | FTFE'!$Q$104:$Q$139,'FTSE | FTFE'!$H$104:$H$139,A11),OR(Input[[#This Row],[Type]]="TSTC",Input[[#This Row],[Type]]="LSC"),SUMIFS('FTSE | FTFE'!$P$88:$P$96,'FTSE | FTFE'!$H$88:$H$96,A11)),"N/A")</f>
        <v>605</v>
      </c>
      <c r="VA1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285017159</v>
      </c>
      <c r="VB1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1" s="46">
        <f>SUM(Input[[#This Row],[Fed G&amp;C E&amp;G]],Input[[#This Row],[Fed G&amp;C Desg]],Input[[#This Row],[Fed G&amp;C R Exp]],Input[[#This Row],[Fed G&amp;C Loan]],Input[[#This Row],[Fed G&amp;C Annuity]],Input[[#This Row],[Fed G&amp;C Unexp]],Input[[#This Row],[Fed G&amp;C R of Ind]],Input[[#This Row],[Fed G&amp;C Inv in P]])</f>
        <v>187752483</v>
      </c>
      <c r="VD1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93937180</v>
      </c>
      <c r="VE1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142466130</v>
      </c>
      <c r="VF1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73048704</v>
      </c>
      <c r="VG11" s="46">
        <f>SUM(Input[[#This Row],[Oth Inc E&amp;G]],Input[[#This Row],[Oth Exp Desg]],Input[[#This Row],[Oth Exp R Exp]],Input[[#This Row],[Oth Exp Loan]],Input[[#This Row],[Oth Exp Annuity]],Input[[#This Row],[Oth Exp Unexp]],Input[[#This Row],[Oth Exp R of Ind]],Input[[#This Row],[Oth Exp Inv in P]])</f>
        <v>415973</v>
      </c>
      <c r="VH11" s="46">
        <f>SUM(Input[[#This Row],[Instr E&amp;G]],Input[[#This Row],[Instr Desg]],Input[[#This Row],[Instr R Exp]],Input[[#This Row],[Instr Loan]],Input[[#This Row],[Instr Annuity]],Input[[#This Row],[Instr Unexp]],Input[[#This Row],[Instr R of Ind]],Input[[#This Row],[Instr Inv in P]])</f>
        <v>146787046</v>
      </c>
      <c r="VI11" s="46">
        <f>SUM(Input[[#This Row],[Res E&amp;G]],Input[[#This Row],[Res Desg]],Input[[#This Row],[Res R Exp]],Input[[#This Row],[Res Loan]],Input[[#This Row],[Res Annuity]],Input[[#This Row],[Res Unexp]],Input[[#This Row],[Res R of Ind]],Input[[#This Row],[Res Inv in P]])</f>
        <v>155653122</v>
      </c>
      <c r="VJ11" s="46">
        <f>SUM(Input[[#This Row],[Acad Sup E&amp;G]],Input[[#This Row],[Acad Sup Desg]],Input[[#This Row],[Acad Sup R Exp]],Input[[#This Row],[Acad Sup Loan]],Input[[#This Row],[Acad Sup Annuity]],Input[[#This Row],[Acad Sup Unexp]],Input[[#This Row],[Acad Sup R of Ind]],Input[[#This Row],[Acad Sup Inv in P]])</f>
        <v>105654506</v>
      </c>
      <c r="VK11" s="46">
        <f>SUM(Input[[#This Row],[Stu Svc E&amp;G]],Input[[#This Row],[Stu Svc Desg]],Input[[#This Row],[Stu Svc R Exp]],Input[[#This Row],[Stu Svc Loan]],Input[[#This Row],[Stu Svc Annuity]],Input[[#This Row],[Stu Svc Unexp]],Input[[#This Row],[Stu Svc R of Ind]],Input[[#This Row],[Stu Svc Inv in P]])</f>
        <v>41838649</v>
      </c>
      <c r="VL11" s="46">
        <f>SUM(Input[[#This Row],[Inst. Spt E&amp;G]],Input[[#This Row],[Inst. Spt Desg]],Input[[#This Row],[Inst. Spt R Exp]],Input[[#This Row],[Inst. Spt Loan]],Input[[#This Row],[Inst. Spt Annuity]],Input[[#This Row],[Inst. Spt Unexp]],Input[[#This Row],[Inst. Spt R of Ind]],Input[[#This Row],[Inst. Spt Inv in P]])</f>
        <v>55733715</v>
      </c>
      <c r="VM11" s="46">
        <f>SUM(Input[[#This Row],[M&amp;O Plnt E&amp;G]],Input[[#This Row],[M&amp;O Plnt Desg]],Input[[#This Row],[M&amp;O Plnt R Exp]],Input[[#This Row],[M&amp;O Plnt Loan]],Input[[#This Row],[M&amp;O Plnt Annuity]],Input[[#This Row],[M&amp;O Plnt Unexp]],Input[[#This Row],[M&amp;O Plnt R of Ind]],Input[[#This Row],[M&amp;O Plnt Inv in P]])</f>
        <v>59898075</v>
      </c>
      <c r="VN11" s="46">
        <f>SUM(Input[[#This Row],[Schl &amp; Fell E&amp;G]],Input[[#This Row],[Schl &amp; Fell Desg]],Input[[#This Row],[Schl &amp; Fell R Exp]],Input[[#This Row],[Schl &amp; Fell Loan]],Input[[#This Row],[Schl &amp; Fell Annuity]],Input[[#This Row],[Schl &amp; Fell Unexp]],Input[[#This Row],[Schl &amp; Fell R of Ind]],Input[[#This Row],[Schl &amp; Fell Inv in P]])</f>
        <v>65046929</v>
      </c>
      <c r="VO11" s="46">
        <f>SUM(Input[[#This Row],[Cap Out fund E&amp;G]],Input[[#This Row],[Cap Out fund Desg]],Input[[#This Row],[Cap Out fund R Exp]],Input[[#This Row],[Cap Out fund Loan]],Input[[#This Row],[Cap Out fund Annuity]],Input[[#This Row],[Cap Out fund Unexp]],Input[[#This Row],[Cap Out fund R of Ind]],Input[[#This Row],[Cap Out fund Inv in P]])</f>
        <v>17708986</v>
      </c>
      <c r="VP11" s="46">
        <f>SUM(Input[[#This Row],[Oth Exp E&amp;G]],Input[[#This Row],[Oth Exp Desg]],Input[[#This Row],[Oth Exp R Exp]],Input[[#This Row],[Oth Exp Loan]],Input[[#This Row],[Oth Exp Annuity]],Input[[#This Row],[Oth Exp Unexp]],Input[[#This Row],[Oth Exp R of Ind]],Input[[#This Row],[Oth Exp Inv in P]],Input[[#This Row],[Oth Exp Inv in P]])</f>
        <v>416191</v>
      </c>
    </row>
    <row r="12" spans="1:588" ht="30" customHeight="1" x14ac:dyDescent="0.3">
      <c r="A12" s="15" t="s">
        <v>3</v>
      </c>
      <c r="B12" s="36" t="s">
        <v>118</v>
      </c>
      <c r="C12" s="36" t="s">
        <v>110</v>
      </c>
      <c r="D12" s="36">
        <v>110</v>
      </c>
      <c r="E12" s="36" t="s">
        <v>134</v>
      </c>
      <c r="F12" s="95" cm="1">
        <f t="array" ref="F12">IFERROR(_xlfn.IFS(Input[[#This Row],[Type]]="HRI",SUMIFS('FTSE | FTFE'!$I$8:$I$77,'FTSE | FTFE'!$H$8:$H$77,A12),Input[[#This Row],[Type]]="UNIV",SUMIFS('FTSE | FTFE'!$I$104:$I$139,'FTSE | FTFE'!$H$104:$H$139,A12),OR(Input[[#This Row],[Type]]="TSTC",Input[[#This Row],[Type]]="LSC"),SUMIFS('FTSE | FTFE'!$I$88:$I$96,'FTSE | FTFE'!$H$88:$H$96,A12)),"N/A")</f>
        <v>11163</v>
      </c>
      <c r="G12" s="46">
        <v>55458710</v>
      </c>
      <c r="H12" s="46">
        <v>0</v>
      </c>
      <c r="I12" s="46">
        <v>0</v>
      </c>
      <c r="J12" s="46">
        <v>0</v>
      </c>
      <c r="K12" s="46">
        <v>0</v>
      </c>
      <c r="L12" s="46">
        <v>0</v>
      </c>
      <c r="M12" s="46">
        <v>0</v>
      </c>
      <c r="N12" s="46">
        <v>0</v>
      </c>
      <c r="O12" s="46">
        <v>0</v>
      </c>
      <c r="P12" s="46">
        <v>4953334</v>
      </c>
      <c r="Q12" s="46">
        <v>16498727</v>
      </c>
      <c r="R12" s="46">
        <v>0</v>
      </c>
      <c r="S12" s="46">
        <v>-892766</v>
      </c>
      <c r="T12" s="46">
        <v>0</v>
      </c>
      <c r="U12" s="46">
        <v>0</v>
      </c>
      <c r="V12" s="46">
        <v>0</v>
      </c>
      <c r="W12" s="46">
        <v>0</v>
      </c>
      <c r="X12" s="46">
        <v>0</v>
      </c>
      <c r="Y12" s="46">
        <v>0</v>
      </c>
      <c r="Z12" s="46">
        <v>0</v>
      </c>
      <c r="AA12" s="46">
        <v>0</v>
      </c>
      <c r="AB12" s="46">
        <v>0</v>
      </c>
      <c r="AC12" s="46">
        <v>0</v>
      </c>
      <c r="AD12" s="46">
        <v>0</v>
      </c>
      <c r="AE12" s="46">
        <v>0</v>
      </c>
      <c r="AF12" s="46">
        <v>0</v>
      </c>
      <c r="AG12" s="46">
        <v>0</v>
      </c>
      <c r="AH12" s="46">
        <v>0</v>
      </c>
      <c r="AI12" s="46">
        <v>0</v>
      </c>
      <c r="AJ12" s="46">
        <v>0</v>
      </c>
      <c r="AK12" s="46">
        <v>0</v>
      </c>
      <c r="AL12" s="46">
        <v>0</v>
      </c>
      <c r="AM12" s="46">
        <v>0</v>
      </c>
      <c r="AN12" s="46">
        <v>0</v>
      </c>
      <c r="AO12" s="46">
        <v>0</v>
      </c>
      <c r="AP12" s="46">
        <v>0</v>
      </c>
      <c r="AQ12" s="46">
        <v>-4468463</v>
      </c>
      <c r="AR12" s="46">
        <v>0</v>
      </c>
      <c r="AS12" s="46">
        <v>0</v>
      </c>
      <c r="AT12" s="46">
        <v>0</v>
      </c>
      <c r="AU12" s="46">
        <v>0</v>
      </c>
      <c r="AV12" s="46">
        <v>0</v>
      </c>
      <c r="AW12" s="46">
        <v>0</v>
      </c>
      <c r="AX12" s="46">
        <v>0</v>
      </c>
      <c r="AY12" s="46">
        <v>0</v>
      </c>
      <c r="AZ12" s="46">
        <v>0</v>
      </c>
      <c r="BA12" s="46">
        <v>0</v>
      </c>
      <c r="BB12" s="46">
        <v>0</v>
      </c>
      <c r="BC12" s="46">
        <v>0</v>
      </c>
      <c r="BD12" s="46">
        <v>0</v>
      </c>
      <c r="BE12" s="46">
        <v>0</v>
      </c>
      <c r="BF12" s="46">
        <v>0</v>
      </c>
      <c r="BG12" s="46">
        <v>0</v>
      </c>
      <c r="BH12" s="46">
        <v>0</v>
      </c>
      <c r="BI12" s="46">
        <v>0</v>
      </c>
      <c r="BJ12" s="46">
        <v>0</v>
      </c>
      <c r="BK12" s="46">
        <v>0</v>
      </c>
      <c r="BL12" s="46">
        <v>0</v>
      </c>
      <c r="BM12" s="46">
        <v>0</v>
      </c>
      <c r="BN12" s="46">
        <v>0</v>
      </c>
      <c r="BO12" s="46">
        <v>0</v>
      </c>
      <c r="BP12" s="46">
        <v>0</v>
      </c>
      <c r="BQ12" s="46">
        <v>0</v>
      </c>
      <c r="BR12" s="46">
        <v>0</v>
      </c>
      <c r="BS12" s="46">
        <v>0</v>
      </c>
      <c r="BT12" s="46">
        <v>0</v>
      </c>
      <c r="BU12" s="46">
        <v>0</v>
      </c>
      <c r="BV12" s="46">
        <v>0</v>
      </c>
      <c r="BW12" s="46">
        <v>0</v>
      </c>
      <c r="BX12" s="46">
        <v>0</v>
      </c>
      <c r="BY12" s="46">
        <v>0</v>
      </c>
      <c r="BZ12" s="46">
        <v>0</v>
      </c>
      <c r="CA12" s="46">
        <v>13599645</v>
      </c>
      <c r="CB12" s="46">
        <v>80241518</v>
      </c>
      <c r="CC12" s="46">
        <v>0</v>
      </c>
      <c r="CD12" s="46">
        <v>0</v>
      </c>
      <c r="CE12" s="46">
        <v>0</v>
      </c>
      <c r="CF12" s="46">
        <v>0</v>
      </c>
      <c r="CG12" s="46">
        <v>0</v>
      </c>
      <c r="CH12" s="46">
        <v>0</v>
      </c>
      <c r="CI12" s="46">
        <v>0</v>
      </c>
      <c r="CJ12" s="46">
        <v>0</v>
      </c>
      <c r="CK12" s="46">
        <v>0</v>
      </c>
      <c r="CL12" s="46">
        <v>0</v>
      </c>
      <c r="CM12" s="46">
        <v>0</v>
      </c>
      <c r="CN12" s="46">
        <v>0</v>
      </c>
      <c r="CO12" s="46">
        <v>0</v>
      </c>
      <c r="CP12" s="46">
        <v>0</v>
      </c>
      <c r="CQ12" s="46">
        <v>0</v>
      </c>
      <c r="CR12" s="46">
        <v>0</v>
      </c>
      <c r="CS12" s="46">
        <v>0</v>
      </c>
      <c r="CT12" s="46">
        <v>0</v>
      </c>
      <c r="CU12" s="46">
        <v>0</v>
      </c>
      <c r="CV12" s="46">
        <v>0</v>
      </c>
      <c r="CW12" s="46">
        <v>0</v>
      </c>
      <c r="CX12" s="46">
        <v>0</v>
      </c>
      <c r="CY12" s="46">
        <v>0</v>
      </c>
      <c r="CZ12" s="46">
        <v>0</v>
      </c>
      <c r="DA12" s="46">
        <v>0</v>
      </c>
      <c r="DB12" s="46">
        <v>-1079624</v>
      </c>
      <c r="DC12" s="46">
        <v>-4828198</v>
      </c>
      <c r="DD12" s="46">
        <v>0</v>
      </c>
      <c r="DE12" s="46">
        <v>0</v>
      </c>
      <c r="DF12" s="46">
        <v>0</v>
      </c>
      <c r="DG12" s="46">
        <v>0</v>
      </c>
      <c r="DH12" s="46">
        <v>0</v>
      </c>
      <c r="DI12" s="46">
        <v>0</v>
      </c>
      <c r="DJ12" s="46">
        <v>0</v>
      </c>
      <c r="DK12" s="46">
        <v>0</v>
      </c>
      <c r="DL12" s="46">
        <v>0</v>
      </c>
      <c r="DM12" s="46">
        <v>0</v>
      </c>
      <c r="DN12" s="46">
        <v>0</v>
      </c>
      <c r="DO12" s="46">
        <v>0</v>
      </c>
      <c r="DP12" s="46">
        <v>0</v>
      </c>
      <c r="DQ12" s="46">
        <v>0</v>
      </c>
      <c r="DR12" s="46">
        <v>0</v>
      </c>
      <c r="DS12" s="46">
        <v>0</v>
      </c>
      <c r="DT12" s="46">
        <v>-6683902</v>
      </c>
      <c r="DU12" s="46">
        <v>-30312608</v>
      </c>
      <c r="DV12" s="46">
        <v>0</v>
      </c>
      <c r="DW12" s="46">
        <v>0</v>
      </c>
      <c r="DX12" s="46">
        <v>0</v>
      </c>
      <c r="DY12" s="46">
        <v>0</v>
      </c>
      <c r="DZ12" s="46">
        <v>0</v>
      </c>
      <c r="EA12" s="46">
        <v>0</v>
      </c>
      <c r="EB12" s="46">
        <v>0</v>
      </c>
      <c r="EC12" s="46">
        <v>0</v>
      </c>
      <c r="ED12" s="46">
        <v>0</v>
      </c>
      <c r="EE12" s="46">
        <v>0</v>
      </c>
      <c r="EF12" s="46">
        <v>0</v>
      </c>
      <c r="EG12" s="46">
        <v>0</v>
      </c>
      <c r="EH12" s="46">
        <v>0</v>
      </c>
      <c r="EI12" s="46">
        <v>0</v>
      </c>
      <c r="EJ12" s="46">
        <v>0</v>
      </c>
      <c r="EK12" s="46">
        <v>0</v>
      </c>
      <c r="EL12" s="46">
        <v>0</v>
      </c>
      <c r="EM12" s="46">
        <v>0</v>
      </c>
      <c r="EN12" s="46">
        <v>0</v>
      </c>
      <c r="EO12" s="46">
        <v>0</v>
      </c>
      <c r="EP12" s="46">
        <v>0</v>
      </c>
      <c r="EQ12" s="46">
        <v>0</v>
      </c>
      <c r="ER12" s="46">
        <v>0</v>
      </c>
      <c r="ES12" s="46">
        <v>0</v>
      </c>
      <c r="ET12" s="46">
        <v>0</v>
      </c>
      <c r="EU12" s="46">
        <v>0</v>
      </c>
      <c r="EV12" s="46">
        <v>0</v>
      </c>
      <c r="EW12" s="46">
        <v>0</v>
      </c>
      <c r="EX12" s="46">
        <v>0</v>
      </c>
      <c r="EY12" s="46">
        <v>0</v>
      </c>
      <c r="EZ12" s="46">
        <v>0</v>
      </c>
      <c r="FA12" s="46">
        <v>0</v>
      </c>
      <c r="FB12" s="46">
        <v>0</v>
      </c>
      <c r="FC12" s="46">
        <v>0</v>
      </c>
      <c r="FD12" s="46">
        <v>0</v>
      </c>
      <c r="FE12" s="46">
        <v>0</v>
      </c>
      <c r="FF12" s="46">
        <v>0</v>
      </c>
      <c r="FG12" s="46">
        <v>0</v>
      </c>
      <c r="FH12" s="46">
        <v>0</v>
      </c>
      <c r="FI12" s="46">
        <v>0</v>
      </c>
      <c r="FJ12" s="46">
        <v>0</v>
      </c>
      <c r="FK12" s="46">
        <v>0</v>
      </c>
      <c r="FL12" s="46">
        <v>0</v>
      </c>
      <c r="FM12" s="46">
        <v>0</v>
      </c>
      <c r="FN12" s="46">
        <v>0</v>
      </c>
      <c r="FO12" s="46">
        <v>9145419</v>
      </c>
      <c r="FP12" s="46">
        <v>0</v>
      </c>
      <c r="FQ12" s="46">
        <v>0</v>
      </c>
      <c r="FR12" s="46">
        <v>0</v>
      </c>
      <c r="FS12" s="46">
        <v>0</v>
      </c>
      <c r="FT12" s="46">
        <v>0</v>
      </c>
      <c r="FU12" s="46">
        <v>0</v>
      </c>
      <c r="FV12" s="46">
        <v>0</v>
      </c>
      <c r="FW12" s="46">
        <v>0</v>
      </c>
      <c r="FX12" s="46">
        <v>0</v>
      </c>
      <c r="FY12" s="46">
        <v>0</v>
      </c>
      <c r="FZ12" s="46">
        <v>0</v>
      </c>
      <c r="GA12" s="46">
        <v>0</v>
      </c>
      <c r="GB12" s="46">
        <v>0</v>
      </c>
      <c r="GC12" s="46">
        <v>0</v>
      </c>
      <c r="GD12" s="46">
        <v>0</v>
      </c>
      <c r="GE12" s="46">
        <v>0</v>
      </c>
      <c r="GF12" s="46">
        <v>0</v>
      </c>
      <c r="GG12" s="46">
        <v>0</v>
      </c>
      <c r="GH12" s="46">
        <v>0</v>
      </c>
      <c r="GI12" s="46">
        <v>0</v>
      </c>
      <c r="GJ12" s="46">
        <v>0</v>
      </c>
      <c r="GK12" s="46">
        <v>0</v>
      </c>
      <c r="GL12" s="46">
        <v>0</v>
      </c>
      <c r="GM12" s="46">
        <v>0</v>
      </c>
      <c r="GN12" s="46">
        <v>0</v>
      </c>
      <c r="GO12" s="46">
        <v>0</v>
      </c>
      <c r="GP12" s="46">
        <v>0</v>
      </c>
      <c r="GQ12" s="46">
        <v>0</v>
      </c>
      <c r="GR12" s="46">
        <v>0</v>
      </c>
      <c r="GS12" s="46">
        <v>0</v>
      </c>
      <c r="GT12" s="46">
        <v>0</v>
      </c>
      <c r="GU12" s="46">
        <v>0</v>
      </c>
      <c r="GV12" s="46">
        <v>0</v>
      </c>
      <c r="GW12" s="46">
        <v>0</v>
      </c>
      <c r="GX12" s="46">
        <v>0</v>
      </c>
      <c r="GY12" s="46">
        <v>-4776604</v>
      </c>
      <c r="GZ12" s="46">
        <v>0</v>
      </c>
      <c r="HA12" s="46">
        <v>0</v>
      </c>
      <c r="HB12" s="46">
        <v>0</v>
      </c>
      <c r="HC12" s="46">
        <v>0</v>
      </c>
      <c r="HD12" s="46">
        <v>0</v>
      </c>
      <c r="HE12" s="46">
        <v>0</v>
      </c>
      <c r="HF12" s="46">
        <v>0</v>
      </c>
      <c r="HG12" s="46">
        <v>0</v>
      </c>
      <c r="HH12" s="46">
        <v>0</v>
      </c>
      <c r="HI12" s="46">
        <v>0</v>
      </c>
      <c r="HJ12" s="46">
        <v>0</v>
      </c>
      <c r="HK12" s="46">
        <v>0</v>
      </c>
      <c r="HL12" s="46">
        <v>0</v>
      </c>
      <c r="HM12" s="46">
        <v>0</v>
      </c>
      <c r="HN12" s="46">
        <v>0</v>
      </c>
      <c r="HO12" s="46">
        <v>0</v>
      </c>
      <c r="HP12" s="46">
        <v>343780</v>
      </c>
      <c r="HQ12" s="46">
        <v>0</v>
      </c>
      <c r="HR12" s="46">
        <v>28904001</v>
      </c>
      <c r="HS12" s="46">
        <v>0</v>
      </c>
      <c r="HT12" s="46">
        <v>0</v>
      </c>
      <c r="HU12" s="46">
        <v>0</v>
      </c>
      <c r="HV12" s="46">
        <v>0</v>
      </c>
      <c r="HW12" s="46">
        <v>0</v>
      </c>
      <c r="HX12" s="46">
        <v>0</v>
      </c>
      <c r="HY12" s="46">
        <v>0</v>
      </c>
      <c r="HZ12" s="46">
        <v>0</v>
      </c>
      <c r="IA12" s="46">
        <v>0</v>
      </c>
      <c r="IB12" s="46">
        <v>0</v>
      </c>
      <c r="IC12" s="46">
        <v>0</v>
      </c>
      <c r="ID12" s="46">
        <v>0</v>
      </c>
      <c r="IE12" s="46">
        <v>0</v>
      </c>
      <c r="IF12" s="46">
        <v>0</v>
      </c>
      <c r="IG12" s="46">
        <v>0</v>
      </c>
      <c r="IH12" s="46">
        <v>0</v>
      </c>
      <c r="II12" s="46">
        <v>0</v>
      </c>
      <c r="IJ12" s="46">
        <v>0</v>
      </c>
      <c r="IK12" s="46">
        <v>0</v>
      </c>
      <c r="IL12" s="46">
        <v>0</v>
      </c>
      <c r="IM12" s="46">
        <v>0</v>
      </c>
      <c r="IN12" s="46">
        <v>0</v>
      </c>
      <c r="IO12" s="46">
        <v>0</v>
      </c>
      <c r="IP12" s="46">
        <v>975334</v>
      </c>
      <c r="IQ12" s="46">
        <v>1497573</v>
      </c>
      <c r="IR12" s="46">
        <v>0</v>
      </c>
      <c r="IS12" s="46">
        <v>5769772</v>
      </c>
      <c r="IT12" s="46">
        <v>0</v>
      </c>
      <c r="IU12" s="46">
        <v>79931</v>
      </c>
      <c r="IV12" s="46">
        <v>0</v>
      </c>
      <c r="IW12" s="46">
        <v>0</v>
      </c>
      <c r="IX12" s="46">
        <v>0</v>
      </c>
      <c r="IY12" s="46">
        <v>2216205</v>
      </c>
      <c r="IZ12" s="46">
        <v>-1108103</v>
      </c>
      <c r="JA12" s="46">
        <v>0</v>
      </c>
      <c r="JB12" s="46">
        <v>0</v>
      </c>
      <c r="JC12" s="46">
        <v>0</v>
      </c>
      <c r="JD12" s="46">
        <v>0</v>
      </c>
      <c r="JE12" s="46">
        <v>0</v>
      </c>
      <c r="JF12" s="46">
        <v>0</v>
      </c>
      <c r="JG12" s="46">
        <v>0</v>
      </c>
      <c r="JH12" s="46">
        <v>0</v>
      </c>
      <c r="JI12" s="46">
        <v>511267</v>
      </c>
      <c r="JJ12" s="46">
        <v>286249</v>
      </c>
      <c r="JK12" s="46">
        <v>1596028</v>
      </c>
      <c r="JL12" s="46">
        <v>0</v>
      </c>
      <c r="JM12" s="46">
        <v>0</v>
      </c>
      <c r="JN12" s="46">
        <v>0</v>
      </c>
      <c r="JO12" s="46">
        <v>0</v>
      </c>
      <c r="JP12" s="46">
        <v>0</v>
      </c>
      <c r="JQ12" s="46">
        <v>1724877</v>
      </c>
      <c r="JR12" s="46">
        <v>773601</v>
      </c>
      <c r="JS12" s="46">
        <v>0</v>
      </c>
      <c r="JT12" s="46">
        <v>164746</v>
      </c>
      <c r="JU12" s="46">
        <v>0</v>
      </c>
      <c r="JV12" s="46">
        <v>0</v>
      </c>
      <c r="JW12" s="46">
        <v>0</v>
      </c>
      <c r="JX12" s="46">
        <v>0</v>
      </c>
      <c r="JY12" s="46">
        <v>0</v>
      </c>
      <c r="JZ12" s="46">
        <v>0</v>
      </c>
      <c r="KA12" s="46">
        <v>0</v>
      </c>
      <c r="KB12" s="46">
        <v>15819275</v>
      </c>
      <c r="KC12" s="46">
        <v>0</v>
      </c>
      <c r="KD12" s="46">
        <v>0</v>
      </c>
      <c r="KE12" s="46">
        <v>0</v>
      </c>
      <c r="KF12" s="46">
        <v>0</v>
      </c>
      <c r="KG12" s="46">
        <v>0</v>
      </c>
      <c r="KH12" s="46">
        <v>0</v>
      </c>
      <c r="KI12" s="46">
        <v>0</v>
      </c>
      <c r="KJ12" s="46">
        <v>1536980</v>
      </c>
      <c r="KK12" s="46">
        <v>0</v>
      </c>
      <c r="KL12" s="46">
        <v>309980</v>
      </c>
      <c r="KM12" s="46">
        <v>0</v>
      </c>
      <c r="KN12" s="46">
        <v>0</v>
      </c>
      <c r="KO12" s="46">
        <v>0</v>
      </c>
      <c r="KP12" s="46">
        <v>0</v>
      </c>
      <c r="KQ12" s="46">
        <v>0</v>
      </c>
      <c r="KR12" s="46">
        <v>39941502</v>
      </c>
      <c r="KS12" s="46">
        <v>40333914</v>
      </c>
      <c r="KT12" s="46">
        <v>0</v>
      </c>
      <c r="KU12" s="46">
        <v>1171768</v>
      </c>
      <c r="KV12" s="46">
        <v>0</v>
      </c>
      <c r="KW12" s="46">
        <v>0</v>
      </c>
      <c r="KX12" s="46">
        <v>0</v>
      </c>
      <c r="KY12" s="46">
        <v>0</v>
      </c>
      <c r="KZ12" s="46">
        <v>0</v>
      </c>
      <c r="LA12" s="46">
        <v>207113</v>
      </c>
      <c r="LB12" s="46">
        <v>997252</v>
      </c>
      <c r="LC12" s="46">
        <v>0</v>
      </c>
      <c r="LD12" s="46">
        <v>3408021</v>
      </c>
      <c r="LE12" s="46">
        <v>0</v>
      </c>
      <c r="LF12" s="46">
        <v>0</v>
      </c>
      <c r="LG12" s="46">
        <v>0</v>
      </c>
      <c r="LH12" s="46">
        <v>0</v>
      </c>
      <c r="LI12" s="46">
        <v>0</v>
      </c>
      <c r="LJ12" s="46">
        <v>0</v>
      </c>
      <c r="LK12" s="46">
        <v>341009</v>
      </c>
      <c r="LL12" s="46">
        <v>0</v>
      </c>
      <c r="LM12" s="46">
        <v>649809</v>
      </c>
      <c r="LN12" s="46">
        <v>0</v>
      </c>
      <c r="LO12" s="46">
        <v>0</v>
      </c>
      <c r="LP12" s="46">
        <v>0</v>
      </c>
      <c r="LQ12" s="46">
        <v>0</v>
      </c>
      <c r="LR12" s="46">
        <v>0</v>
      </c>
      <c r="LS12" s="46">
        <v>0</v>
      </c>
      <c r="LT12" s="46">
        <v>0</v>
      </c>
      <c r="LU12" s="46">
        <v>0</v>
      </c>
      <c r="LV12" s="46">
        <v>0</v>
      </c>
      <c r="LW12" s="46">
        <v>0</v>
      </c>
      <c r="LX12" s="46">
        <v>0</v>
      </c>
      <c r="LY12" s="46">
        <v>0</v>
      </c>
      <c r="LZ12" s="46">
        <v>0</v>
      </c>
      <c r="MA12" s="46">
        <v>0</v>
      </c>
      <c r="MB12" s="46">
        <v>8671543</v>
      </c>
      <c r="MC12" s="46">
        <v>14091736</v>
      </c>
      <c r="MD12" s="46">
        <v>0</v>
      </c>
      <c r="ME12" s="46">
        <v>692971</v>
      </c>
      <c r="MF12" s="46">
        <v>0</v>
      </c>
      <c r="MG12" s="46">
        <v>0</v>
      </c>
      <c r="MH12" s="46">
        <v>0</v>
      </c>
      <c r="MI12" s="46">
        <v>0</v>
      </c>
      <c r="MJ12" s="46">
        <v>0</v>
      </c>
      <c r="MK12" s="46">
        <v>3183822</v>
      </c>
      <c r="ML12" s="46">
        <v>14727320</v>
      </c>
      <c r="MM12" s="46">
        <v>0</v>
      </c>
      <c r="MN12" s="46">
        <v>233806</v>
      </c>
      <c r="MO12" s="46">
        <v>0</v>
      </c>
      <c r="MP12" s="46">
        <v>0</v>
      </c>
      <c r="MQ12" s="46">
        <v>0</v>
      </c>
      <c r="MR12" s="46">
        <v>0</v>
      </c>
      <c r="MS12" s="46">
        <v>0</v>
      </c>
      <c r="MT12" s="46">
        <v>4096454</v>
      </c>
      <c r="MU12" s="46">
        <v>13454646</v>
      </c>
      <c r="MV12" s="46">
        <v>0</v>
      </c>
      <c r="MW12" s="46">
        <v>598451</v>
      </c>
      <c r="MX12" s="46">
        <v>0</v>
      </c>
      <c r="MY12" s="46">
        <v>0</v>
      </c>
      <c r="MZ12" s="46">
        <v>0</v>
      </c>
      <c r="NA12" s="46">
        <v>0</v>
      </c>
      <c r="NB12" s="46">
        <v>0</v>
      </c>
      <c r="NC12" s="46">
        <v>3616448</v>
      </c>
      <c r="ND12" s="46">
        <v>8556394</v>
      </c>
      <c r="NE12" s="46">
        <v>0</v>
      </c>
      <c r="NF12" s="46">
        <v>35497</v>
      </c>
      <c r="NG12" s="46">
        <v>0</v>
      </c>
      <c r="NH12" s="46">
        <v>0</v>
      </c>
      <c r="NI12" s="46">
        <v>2463424</v>
      </c>
      <c r="NJ12" s="46">
        <v>0</v>
      </c>
      <c r="NK12" s="46">
        <v>0</v>
      </c>
      <c r="NL12" s="46">
        <v>5719476</v>
      </c>
      <c r="NM12" s="46">
        <v>2506046</v>
      </c>
      <c r="NN12" s="46">
        <v>0</v>
      </c>
      <c r="NO12" s="46">
        <v>3741184</v>
      </c>
      <c r="NP12" s="46">
        <v>0</v>
      </c>
      <c r="NQ12" s="46">
        <v>0</v>
      </c>
      <c r="NR12" s="46">
        <v>0</v>
      </c>
      <c r="NS12" s="46">
        <v>0</v>
      </c>
      <c r="NT12" s="46">
        <v>0</v>
      </c>
      <c r="NU12" s="46">
        <v>0</v>
      </c>
      <c r="NV12" s="46">
        <v>381525</v>
      </c>
      <c r="NW12" s="46">
        <v>21705445</v>
      </c>
      <c r="NX12" s="46">
        <v>68143</v>
      </c>
      <c r="NY12" s="46">
        <v>0</v>
      </c>
      <c r="NZ12" s="46">
        <v>0</v>
      </c>
      <c r="OA12" s="46">
        <v>0</v>
      </c>
      <c r="OB12" s="46">
        <v>0</v>
      </c>
      <c r="OC12" s="46">
        <v>0</v>
      </c>
      <c r="OD12" s="46">
        <v>1970977</v>
      </c>
      <c r="OE12" s="46">
        <v>1394210</v>
      </c>
      <c r="OF12" s="46">
        <v>131507</v>
      </c>
      <c r="OG12" s="46">
        <v>693138</v>
      </c>
      <c r="OH12" s="46">
        <v>0</v>
      </c>
      <c r="OI12" s="46">
        <v>0</v>
      </c>
      <c r="OJ12" s="46">
        <v>0</v>
      </c>
      <c r="OK12" s="46">
        <v>0</v>
      </c>
      <c r="OL12" s="46">
        <v>0</v>
      </c>
      <c r="OM12" s="46">
        <v>0</v>
      </c>
      <c r="ON12" s="46">
        <v>0</v>
      </c>
      <c r="OO12" s="46">
        <v>0</v>
      </c>
      <c r="OP12" s="46">
        <v>0</v>
      </c>
      <c r="OQ12" s="46">
        <v>0</v>
      </c>
      <c r="OR12" s="46">
        <v>0</v>
      </c>
      <c r="OS12" s="46">
        <v>0</v>
      </c>
      <c r="OT12" s="46">
        <v>0</v>
      </c>
      <c r="OU12" s="46">
        <v>0</v>
      </c>
      <c r="OV12" s="46">
        <v>0</v>
      </c>
      <c r="OW12" s="46">
        <v>0</v>
      </c>
      <c r="OX12" s="46">
        <v>0</v>
      </c>
      <c r="OY12" s="46">
        <v>0</v>
      </c>
      <c r="OZ12" s="46">
        <v>0</v>
      </c>
      <c r="PA12" s="46">
        <v>0</v>
      </c>
      <c r="PB12" s="46">
        <v>-18479198</v>
      </c>
      <c r="PC12" s="46">
        <v>0</v>
      </c>
      <c r="PD12" s="46">
        <v>0</v>
      </c>
      <c r="PE12" s="46">
        <v>6085857</v>
      </c>
      <c r="PF12" s="46">
        <v>14442297</v>
      </c>
      <c r="PG12" s="46">
        <v>3910967</v>
      </c>
      <c r="PH12" s="46">
        <v>-25664019</v>
      </c>
      <c r="PI12" s="46">
        <v>221312</v>
      </c>
      <c r="PJ12" s="46">
        <v>-59476</v>
      </c>
      <c r="PK12" s="46">
        <v>6098158</v>
      </c>
      <c r="PL12" s="46">
        <v>0</v>
      </c>
      <c r="PM12" s="46">
        <v>-1053693</v>
      </c>
      <c r="PN12" s="46">
        <v>0</v>
      </c>
      <c r="PO12" s="46">
        <v>0</v>
      </c>
      <c r="PP12" s="46">
        <v>0</v>
      </c>
      <c r="PQ12" s="46">
        <v>0</v>
      </c>
      <c r="PR12" s="46">
        <v>0</v>
      </c>
      <c r="PS12" s="46">
        <v>0</v>
      </c>
      <c r="PT12" s="46">
        <v>36417883</v>
      </c>
      <c r="PU12" s="46">
        <v>0</v>
      </c>
      <c r="PV12" s="46">
        <v>0</v>
      </c>
      <c r="PW12" s="46">
        <v>-13725078</v>
      </c>
      <c r="PX12" s="46">
        <v>-1711368</v>
      </c>
      <c r="PY12" s="46">
        <v>-4323616</v>
      </c>
      <c r="PZ12" s="46">
        <v>0</v>
      </c>
      <c r="QA12" s="46">
        <v>0</v>
      </c>
      <c r="QB12" s="46">
        <v>0</v>
      </c>
      <c r="QC12" s="46">
        <v>-568083</v>
      </c>
      <c r="QD12" s="46">
        <v>0</v>
      </c>
      <c r="QE12" s="46">
        <v>0</v>
      </c>
      <c r="QF12" s="46">
        <v>0</v>
      </c>
      <c r="QG12" s="46">
        <v>-58533</v>
      </c>
      <c r="QH12" s="46">
        <v>0</v>
      </c>
      <c r="QI12" s="46">
        <v>0</v>
      </c>
      <c r="QJ12" s="46">
        <v>0</v>
      </c>
      <c r="QK12" s="46">
        <v>5838706</v>
      </c>
      <c r="QL12" s="46">
        <v>0</v>
      </c>
      <c r="QM12" s="46">
        <v>0</v>
      </c>
      <c r="QN12" s="46">
        <v>-368587</v>
      </c>
      <c r="QO12" s="46">
        <v>0</v>
      </c>
      <c r="QP12" s="46">
        <v>0</v>
      </c>
      <c r="QQ12" s="46">
        <v>0</v>
      </c>
      <c r="QR12" s="46">
        <v>643914</v>
      </c>
      <c r="QS12" s="46">
        <v>0</v>
      </c>
      <c r="QT12" s="46">
        <v>1582792</v>
      </c>
      <c r="QU12" s="46">
        <v>0</v>
      </c>
      <c r="QV12" s="46">
        <v>0</v>
      </c>
      <c r="QW12" s="46">
        <v>0</v>
      </c>
      <c r="QX12" s="46">
        <v>0</v>
      </c>
      <c r="QY12" s="46">
        <v>0</v>
      </c>
      <c r="QZ12" s="46">
        <v>0</v>
      </c>
      <c r="RA12" s="46">
        <v>0</v>
      </c>
      <c r="RB12" s="46">
        <v>0</v>
      </c>
      <c r="RC12" s="46">
        <v>0</v>
      </c>
      <c r="RD12" s="46">
        <v>0</v>
      </c>
      <c r="RE12" s="46">
        <v>0</v>
      </c>
      <c r="RF12" s="46">
        <v>0</v>
      </c>
      <c r="RG12" s="46">
        <v>0</v>
      </c>
      <c r="RH12" s="46">
        <v>0</v>
      </c>
      <c r="RI12" s="46">
        <v>0</v>
      </c>
      <c r="RJ12" s="46">
        <v>0</v>
      </c>
      <c r="RK12" s="46">
        <v>0</v>
      </c>
      <c r="RL12" s="46">
        <v>0</v>
      </c>
      <c r="RM12" s="46">
        <v>0</v>
      </c>
      <c r="RN12" s="46">
        <v>0</v>
      </c>
      <c r="RO12" s="46">
        <v>-16867509</v>
      </c>
      <c r="RP12" s="46">
        <v>0</v>
      </c>
      <c r="RQ12" s="46">
        <v>0</v>
      </c>
      <c r="RR12" s="46">
        <v>0</v>
      </c>
      <c r="RS12" s="46">
        <v>0</v>
      </c>
      <c r="RT12" s="46">
        <v>0</v>
      </c>
      <c r="RU12" s="46">
        <v>0</v>
      </c>
      <c r="RV12" s="46">
        <v>0</v>
      </c>
      <c r="RW12" s="46">
        <v>0</v>
      </c>
      <c r="RX12" s="46">
        <v>0</v>
      </c>
      <c r="RY12" s="46">
        <v>0</v>
      </c>
      <c r="RZ12" s="46">
        <v>0</v>
      </c>
      <c r="SA12" s="46">
        <v>0</v>
      </c>
      <c r="SB12" s="46">
        <v>0</v>
      </c>
      <c r="SC12" s="46">
        <v>0</v>
      </c>
      <c r="SD12" s="46">
        <v>0</v>
      </c>
      <c r="SE12" s="46">
        <v>0</v>
      </c>
      <c r="SF12" s="46">
        <v>0</v>
      </c>
      <c r="SG12" s="46">
        <v>0</v>
      </c>
      <c r="SH12" s="46">
        <v>0</v>
      </c>
      <c r="SI12" s="46">
        <v>0</v>
      </c>
      <c r="SJ12" s="46">
        <v>0</v>
      </c>
      <c r="SK12" s="46">
        <v>0</v>
      </c>
      <c r="SL12" s="46">
        <v>0</v>
      </c>
      <c r="SM12" s="46">
        <v>0</v>
      </c>
      <c r="SN12" s="46">
        <v>0</v>
      </c>
      <c r="SO12" s="46">
        <v>0</v>
      </c>
      <c r="SP12" s="46">
        <v>0</v>
      </c>
      <c r="SQ12" s="46">
        <v>0</v>
      </c>
      <c r="SR12" s="46">
        <v>0</v>
      </c>
      <c r="SS12" s="46">
        <v>0</v>
      </c>
      <c r="ST12" s="46">
        <v>0</v>
      </c>
      <c r="SU12" s="46">
        <v>0</v>
      </c>
      <c r="SV12" s="46">
        <v>0</v>
      </c>
      <c r="SW12" s="46">
        <v>0</v>
      </c>
      <c r="SX12" s="46">
        <v>0</v>
      </c>
      <c r="SY12" s="46">
        <v>22669032</v>
      </c>
      <c r="SZ12" s="46">
        <v>2159512</v>
      </c>
      <c r="TA12" s="46">
        <v>717097</v>
      </c>
      <c r="TB12" s="46">
        <v>0</v>
      </c>
      <c r="TC12" s="46">
        <v>0</v>
      </c>
      <c r="TD12" s="46">
        <v>178925</v>
      </c>
      <c r="TE12" s="46">
        <v>17106</v>
      </c>
      <c r="TF12" s="46">
        <v>768775</v>
      </c>
      <c r="TG12" s="46">
        <v>216910</v>
      </c>
      <c r="TH12" s="46">
        <v>0</v>
      </c>
      <c r="TI12" s="46">
        <v>131507</v>
      </c>
      <c r="TJ12" s="46">
        <v>0</v>
      </c>
      <c r="TK12" s="46">
        <v>0</v>
      </c>
      <c r="TL12" s="46">
        <v>0</v>
      </c>
      <c r="TM12" s="46">
        <v>0</v>
      </c>
      <c r="TN12" s="46">
        <v>0</v>
      </c>
      <c r="TO12" s="46">
        <v>0</v>
      </c>
      <c r="TP12" s="46">
        <v>0</v>
      </c>
      <c r="TQ12" s="46">
        <v>0</v>
      </c>
      <c r="TR12" s="46">
        <v>0</v>
      </c>
      <c r="TS12" s="46">
        <v>0</v>
      </c>
      <c r="TT12" s="46">
        <v>0</v>
      </c>
      <c r="TU12" s="46">
        <v>0</v>
      </c>
      <c r="TV12" s="46">
        <v>0</v>
      </c>
      <c r="TW12" s="46">
        <v>0</v>
      </c>
      <c r="TX12" s="46">
        <v>0</v>
      </c>
      <c r="TY12" s="46">
        <v>0</v>
      </c>
      <c r="TZ12" s="46">
        <v>0</v>
      </c>
      <c r="UA12" s="46">
        <v>0</v>
      </c>
      <c r="UB12" s="46">
        <v>0</v>
      </c>
      <c r="UC12" s="46">
        <v>0</v>
      </c>
      <c r="UD12" s="46">
        <v>0</v>
      </c>
      <c r="UE12" s="46">
        <v>81447184</v>
      </c>
      <c r="UF12" s="46">
        <v>4612386</v>
      </c>
      <c r="UG12" s="46">
        <v>990818</v>
      </c>
      <c r="UH12" s="46">
        <v>0</v>
      </c>
      <c r="UI12" s="46">
        <v>23456250</v>
      </c>
      <c r="UJ12" s="46">
        <v>18144948</v>
      </c>
      <c r="UK12" s="46">
        <v>18149551</v>
      </c>
      <c r="UL12" s="46">
        <v>14671763</v>
      </c>
      <c r="UM12" s="46">
        <v>11966706</v>
      </c>
      <c r="UN12" s="46">
        <v>22155113</v>
      </c>
      <c r="UO12"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4189832</v>
      </c>
      <c r="UP12" s="46">
        <f>SUM(Input[[#This Row],[Oth Exp E&amp;G]],Input[[#This Row],[Oth Exp Desg]],Input[[#This Row],[Oth Exp Aux]],Input[[#This Row],[Oth Exp R Exp]],Input[[#This Row],[Oth Exp Loan]],Input[[#This Row],[Oth Exp Annuity]],Input[[#This Row],[Oth Exp Unexp]],Input[[#This Row],[Oth Exp R of Ind]],Input[[#This Row],[Oth Exp Inv in P]])</f>
        <v>0</v>
      </c>
      <c r="UQ12" s="46"/>
      <c r="UR12" s="46"/>
      <c r="US12" s="8" t="s">
        <v>840</v>
      </c>
      <c r="UT12" s="47" t="s">
        <v>1310</v>
      </c>
      <c r="UU12" s="8" t="s">
        <v>70</v>
      </c>
      <c r="UV12" s="8" t="s">
        <v>841</v>
      </c>
      <c r="UW12" s="47" t="s">
        <v>1310</v>
      </c>
      <c r="UX12" s="8" t="s">
        <v>842</v>
      </c>
      <c r="UY12" s="51" cm="1">
        <f t="array" ref="UY12">IFERROR(_xlfn.IFS(Input[[#This Row],[Type]]="HRI",SUMIFS('FTSE | FTFE'!$P$8:$P$77,'FTSE | FTFE'!$H$8:$H$77,A12),Input[[#This Row],[Type]]="UNIV",SUMIFS('FTSE | FTFE'!$P$104:$P$139,'FTSE | FTFE'!$H$104:$H$139,A12),OR(Input[[#This Row],[Type]]="TSTC",Input[[#This Row],[Type]]="LSC"),SUMIFS('FTSE | FTFE'!$O$88:$O$96,'FTSE | FTFE'!$H$88:$H$96,A12),Input[[#This Row],[Type]]="AHM",SUMIFS(Hidden!$H$42:$H$45,Hidden!$G$42:$G$45,A12)),"N/A")</f>
        <v>8877</v>
      </c>
      <c r="UZ12" s="51" cm="1">
        <f t="array" ref="UZ12">IFERROR(_xlfn.IFS(Input[[#This Row],[Type]]="HRI",SUMIFS('FTSE | FTFE'!$Q$8:$Q$77,'FTSE | FTFE'!$H$8:$H$77,A12),Input[[#This Row],[Type]]="UNIV",SUMIFS('FTSE | FTFE'!$Q$104:$Q$139,'FTSE | FTFE'!$H$104:$H$139,A12),OR(Input[[#This Row],[Type]]="TSTC",Input[[#This Row],[Type]]="LSC"),SUMIFS('FTSE | FTFE'!$P$88:$P$96,'FTSE | FTFE'!$H$88:$H$96,A12)),"N/A")</f>
        <v>150</v>
      </c>
      <c r="VA1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76018005</v>
      </c>
      <c r="VB1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2" s="46">
        <f>SUM(Input[[#This Row],[Fed G&amp;C E&amp;G]],Input[[#This Row],[Fed G&amp;C Desg]],Input[[#This Row],[Fed G&amp;C R Exp]],Input[[#This Row],[Fed G&amp;C Loan]],Input[[#This Row],[Fed G&amp;C Annuity]],Input[[#This Row],[Fed G&amp;C Unexp]],Input[[#This Row],[Fed G&amp;C R of Ind]],Input[[#This Row],[Fed G&amp;C Inv in P]])</f>
        <v>29247781</v>
      </c>
      <c r="VD1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16048191</v>
      </c>
      <c r="VE1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50936831</v>
      </c>
      <c r="VF1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12" s="46">
        <f>SUM(Input[[#This Row],[Oth Inc E&amp;G]],Input[[#This Row],[Oth Exp Desg]],Input[[#This Row],[Oth Exp R Exp]],Input[[#This Row],[Oth Exp Loan]],Input[[#This Row],[Oth Exp Annuity]],Input[[#This Row],[Oth Exp Unexp]],Input[[#This Row],[Oth Exp R of Ind]],Input[[#This Row],[Oth Exp Inv in P]])</f>
        <v>0</v>
      </c>
      <c r="VH12" s="46">
        <f>SUM(Input[[#This Row],[Instr E&amp;G]],Input[[#This Row],[Instr Desg]],Input[[#This Row],[Instr R Exp]],Input[[#This Row],[Instr Loan]],Input[[#This Row],[Instr Annuity]],Input[[#This Row],[Instr Unexp]],Input[[#This Row],[Instr R of Ind]],Input[[#This Row],[Instr Inv in P]])</f>
        <v>81447184</v>
      </c>
      <c r="VI12" s="46">
        <f>SUM(Input[[#This Row],[Res E&amp;G]],Input[[#This Row],[Res Desg]],Input[[#This Row],[Res R Exp]],Input[[#This Row],[Res Loan]],Input[[#This Row],[Res Annuity]],Input[[#This Row],[Res Unexp]],Input[[#This Row],[Res R of Ind]],Input[[#This Row],[Res Inv in P]])</f>
        <v>4612386</v>
      </c>
      <c r="VJ12" s="46">
        <f>SUM(Input[[#This Row],[Acad Sup E&amp;G]],Input[[#This Row],[Acad Sup Desg]],Input[[#This Row],[Acad Sup R Exp]],Input[[#This Row],[Acad Sup Loan]],Input[[#This Row],[Acad Sup Annuity]],Input[[#This Row],[Acad Sup Unexp]],Input[[#This Row],[Acad Sup R of Ind]],Input[[#This Row],[Acad Sup Inv in P]])</f>
        <v>23456250</v>
      </c>
      <c r="VK12" s="46">
        <f>SUM(Input[[#This Row],[Stu Svc E&amp;G]],Input[[#This Row],[Stu Svc Desg]],Input[[#This Row],[Stu Svc R Exp]],Input[[#This Row],[Stu Svc Loan]],Input[[#This Row],[Stu Svc Annuity]],Input[[#This Row],[Stu Svc Unexp]],Input[[#This Row],[Stu Svc R of Ind]],Input[[#This Row],[Stu Svc Inv in P]])</f>
        <v>18144948</v>
      </c>
      <c r="VL12" s="46">
        <f>SUM(Input[[#This Row],[Inst. Spt E&amp;G]],Input[[#This Row],[Inst. Spt Desg]],Input[[#This Row],[Inst. Spt R Exp]],Input[[#This Row],[Inst. Spt Loan]],Input[[#This Row],[Inst. Spt Annuity]],Input[[#This Row],[Inst. Spt Unexp]],Input[[#This Row],[Inst. Spt R of Ind]],Input[[#This Row],[Inst. Spt Inv in P]])</f>
        <v>18149551</v>
      </c>
      <c r="VM12" s="46">
        <f>SUM(Input[[#This Row],[M&amp;O Plnt E&amp;G]],Input[[#This Row],[M&amp;O Plnt Desg]],Input[[#This Row],[M&amp;O Plnt R Exp]],Input[[#This Row],[M&amp;O Plnt Loan]],Input[[#This Row],[M&amp;O Plnt Annuity]],Input[[#This Row],[M&amp;O Plnt Unexp]],Input[[#This Row],[M&amp;O Plnt R of Ind]],Input[[#This Row],[M&amp;O Plnt Inv in P]])</f>
        <v>14671763</v>
      </c>
      <c r="VN12" s="46">
        <f>SUM(Input[[#This Row],[Schl &amp; Fell E&amp;G]],Input[[#This Row],[Schl &amp; Fell Desg]],Input[[#This Row],[Schl &amp; Fell R Exp]],Input[[#This Row],[Schl &amp; Fell Loan]],Input[[#This Row],[Schl &amp; Fell Annuity]],Input[[#This Row],[Schl &amp; Fell Unexp]],Input[[#This Row],[Schl &amp; Fell R of Ind]],Input[[#This Row],[Schl &amp; Fell Inv in P]])</f>
        <v>11966706</v>
      </c>
      <c r="VO12" s="46">
        <f>SUM(Input[[#This Row],[Cap Out fund E&amp;G]],Input[[#This Row],[Cap Out fund Desg]],Input[[#This Row],[Cap Out fund R Exp]],Input[[#This Row],[Cap Out fund Loan]],Input[[#This Row],[Cap Out fund Annuity]],Input[[#This Row],[Cap Out fund Unexp]],Input[[#This Row],[Cap Out fund R of Ind]],Input[[#This Row],[Cap Out fund Inv in P]])</f>
        <v>4058325</v>
      </c>
      <c r="VP12" s="46">
        <f>SUM(Input[[#This Row],[Oth Exp E&amp;G]],Input[[#This Row],[Oth Exp Desg]],Input[[#This Row],[Oth Exp R Exp]],Input[[#This Row],[Oth Exp Loan]],Input[[#This Row],[Oth Exp Annuity]],Input[[#This Row],[Oth Exp Unexp]],Input[[#This Row],[Oth Exp R of Ind]],Input[[#This Row],[Oth Exp Inv in P]],Input[[#This Row],[Oth Exp Inv in P]])</f>
        <v>0</v>
      </c>
    </row>
    <row r="13" spans="1:588" ht="30" customHeight="1" x14ac:dyDescent="0.3">
      <c r="A13" s="15" t="s">
        <v>27</v>
      </c>
      <c r="B13" s="36" t="s">
        <v>118</v>
      </c>
      <c r="C13" s="36" t="s">
        <v>110</v>
      </c>
      <c r="D13" s="36">
        <v>111</v>
      </c>
      <c r="E13" s="36" t="s">
        <v>134</v>
      </c>
      <c r="F13" s="95" cm="1">
        <f t="array" ref="F13">IFERROR(_xlfn.IFS(Input[[#This Row],[Type]]="HRI",SUMIFS('FTSE | FTFE'!$I$8:$I$77,'FTSE | FTFE'!$H$8:$H$77,A13),Input[[#This Row],[Type]]="UNIV",SUMIFS('FTSE | FTFE'!$I$104:$I$139,'FTSE | FTFE'!$H$104:$H$139,A13),OR(Input[[#This Row],[Type]]="TSTC",Input[[#This Row],[Type]]="LSC"),SUMIFS('FTSE | FTFE'!$I$88:$I$96,'FTSE | FTFE'!$H$88:$H$96,A13)),"N/A")</f>
        <v>3624</v>
      </c>
      <c r="G13" s="46">
        <v>63141158</v>
      </c>
      <c r="H13" s="46">
        <v>0</v>
      </c>
      <c r="I13" s="46">
        <v>0</v>
      </c>
      <c r="J13" s="46">
        <v>0</v>
      </c>
      <c r="K13" s="46">
        <v>0</v>
      </c>
      <c r="L13" s="46">
        <v>0</v>
      </c>
      <c r="M13" s="46">
        <v>0</v>
      </c>
      <c r="N13" s="46">
        <v>0</v>
      </c>
      <c r="O13" s="46">
        <v>0</v>
      </c>
      <c r="P13" s="46">
        <v>10174351</v>
      </c>
      <c r="Q13" s="46">
        <v>6850</v>
      </c>
      <c r="R13" s="46">
        <v>0</v>
      </c>
      <c r="S13" s="46">
        <v>2798860</v>
      </c>
      <c r="T13" s="46">
        <v>0</v>
      </c>
      <c r="U13" s="46">
        <v>0</v>
      </c>
      <c r="V13" s="46">
        <v>0</v>
      </c>
      <c r="W13" s="46">
        <v>0</v>
      </c>
      <c r="X13" s="46">
        <v>0</v>
      </c>
      <c r="Y13" s="46">
        <v>0</v>
      </c>
      <c r="Z13" s="46">
        <v>0</v>
      </c>
      <c r="AA13" s="46">
        <v>0</v>
      </c>
      <c r="AB13" s="46">
        <v>0</v>
      </c>
      <c r="AC13" s="46">
        <v>0</v>
      </c>
      <c r="AD13" s="46">
        <v>0</v>
      </c>
      <c r="AE13" s="46">
        <v>0</v>
      </c>
      <c r="AF13" s="46">
        <v>0</v>
      </c>
      <c r="AG13" s="46">
        <v>0</v>
      </c>
      <c r="AH13" s="46">
        <v>0</v>
      </c>
      <c r="AI13" s="46">
        <v>0</v>
      </c>
      <c r="AJ13" s="46">
        <v>0</v>
      </c>
      <c r="AK13" s="46">
        <v>0</v>
      </c>
      <c r="AL13" s="46">
        <v>0</v>
      </c>
      <c r="AM13" s="46">
        <v>0</v>
      </c>
      <c r="AN13" s="46">
        <v>0</v>
      </c>
      <c r="AO13" s="46">
        <v>0</v>
      </c>
      <c r="AP13" s="46">
        <v>0</v>
      </c>
      <c r="AQ13" s="46">
        <v>-3782558</v>
      </c>
      <c r="AR13" s="46">
        <v>-52544</v>
      </c>
      <c r="AS13" s="46">
        <v>0</v>
      </c>
      <c r="AT13" s="46">
        <v>0</v>
      </c>
      <c r="AU13" s="46">
        <v>0</v>
      </c>
      <c r="AV13" s="46">
        <v>0</v>
      </c>
      <c r="AW13" s="46">
        <v>0</v>
      </c>
      <c r="AX13" s="46">
        <v>0</v>
      </c>
      <c r="AY13" s="46">
        <v>0</v>
      </c>
      <c r="AZ13" s="46">
        <v>0</v>
      </c>
      <c r="BA13" s="46">
        <v>0</v>
      </c>
      <c r="BB13" s="46">
        <v>0</v>
      </c>
      <c r="BC13" s="46">
        <v>0</v>
      </c>
      <c r="BD13" s="46">
        <v>0</v>
      </c>
      <c r="BE13" s="46">
        <v>0</v>
      </c>
      <c r="BF13" s="46">
        <v>0</v>
      </c>
      <c r="BG13" s="46">
        <v>0</v>
      </c>
      <c r="BH13" s="46">
        <v>0</v>
      </c>
      <c r="BI13" s="46">
        <v>0</v>
      </c>
      <c r="BJ13" s="46">
        <v>0</v>
      </c>
      <c r="BK13" s="46">
        <v>0</v>
      </c>
      <c r="BL13" s="46">
        <v>0</v>
      </c>
      <c r="BM13" s="46">
        <v>0</v>
      </c>
      <c r="BN13" s="46">
        <v>0</v>
      </c>
      <c r="BO13" s="46">
        <v>0</v>
      </c>
      <c r="BP13" s="46">
        <v>0</v>
      </c>
      <c r="BQ13" s="46">
        <v>0</v>
      </c>
      <c r="BR13" s="46">
        <v>0</v>
      </c>
      <c r="BS13" s="46">
        <v>0</v>
      </c>
      <c r="BT13" s="46">
        <v>0</v>
      </c>
      <c r="BU13" s="46">
        <v>0</v>
      </c>
      <c r="BV13" s="46">
        <v>0</v>
      </c>
      <c r="BW13" s="46">
        <v>0</v>
      </c>
      <c r="BX13" s="46">
        <v>0</v>
      </c>
      <c r="BY13" s="46">
        <v>0</v>
      </c>
      <c r="BZ13" s="46">
        <v>0</v>
      </c>
      <c r="CA13" s="46">
        <v>15974712</v>
      </c>
      <c r="CB13" s="46">
        <v>61969675</v>
      </c>
      <c r="CC13" s="46">
        <v>0</v>
      </c>
      <c r="CD13" s="46">
        <v>0</v>
      </c>
      <c r="CE13" s="46">
        <v>0</v>
      </c>
      <c r="CF13" s="46">
        <v>0</v>
      </c>
      <c r="CG13" s="46">
        <v>0</v>
      </c>
      <c r="CH13" s="46">
        <v>0</v>
      </c>
      <c r="CI13" s="46">
        <v>0</v>
      </c>
      <c r="CJ13" s="46">
        <v>0</v>
      </c>
      <c r="CK13" s="46">
        <v>0</v>
      </c>
      <c r="CL13" s="46">
        <v>0</v>
      </c>
      <c r="CM13" s="46">
        <v>0</v>
      </c>
      <c r="CN13" s="46">
        <v>0</v>
      </c>
      <c r="CO13" s="46">
        <v>0</v>
      </c>
      <c r="CP13" s="46">
        <v>0</v>
      </c>
      <c r="CQ13" s="46">
        <v>0</v>
      </c>
      <c r="CR13" s="46">
        <v>0</v>
      </c>
      <c r="CS13" s="46">
        <v>0</v>
      </c>
      <c r="CT13" s="46">
        <v>0</v>
      </c>
      <c r="CU13" s="46">
        <v>0</v>
      </c>
      <c r="CV13" s="46">
        <v>0</v>
      </c>
      <c r="CW13" s="46">
        <v>0</v>
      </c>
      <c r="CX13" s="46">
        <v>0</v>
      </c>
      <c r="CY13" s="46">
        <v>0</v>
      </c>
      <c r="CZ13" s="46">
        <v>0</v>
      </c>
      <c r="DA13" s="46">
        <v>0</v>
      </c>
      <c r="DB13" s="46">
        <v>-1011406</v>
      </c>
      <c r="DC13" s="46">
        <v>-5187357</v>
      </c>
      <c r="DD13" s="46">
        <v>0</v>
      </c>
      <c r="DE13" s="46">
        <v>0</v>
      </c>
      <c r="DF13" s="46">
        <v>0</v>
      </c>
      <c r="DG13" s="46">
        <v>0</v>
      </c>
      <c r="DH13" s="46">
        <v>0</v>
      </c>
      <c r="DI13" s="46">
        <v>0</v>
      </c>
      <c r="DJ13" s="46">
        <v>0</v>
      </c>
      <c r="DK13" s="46">
        <v>0</v>
      </c>
      <c r="DL13" s="46">
        <v>0</v>
      </c>
      <c r="DM13" s="46">
        <v>0</v>
      </c>
      <c r="DN13" s="46">
        <v>0</v>
      </c>
      <c r="DO13" s="46">
        <v>0</v>
      </c>
      <c r="DP13" s="46">
        <v>0</v>
      </c>
      <c r="DQ13" s="46">
        <v>0</v>
      </c>
      <c r="DR13" s="46">
        <v>0</v>
      </c>
      <c r="DS13" s="46">
        <v>0</v>
      </c>
      <c r="DT13" s="46">
        <v>-9955691</v>
      </c>
      <c r="DU13" s="46">
        <v>-40504921</v>
      </c>
      <c r="DV13" s="46">
        <v>0</v>
      </c>
      <c r="DW13" s="46">
        <v>0</v>
      </c>
      <c r="DX13" s="46">
        <v>0</v>
      </c>
      <c r="DY13" s="46">
        <v>0</v>
      </c>
      <c r="DZ13" s="46">
        <v>0</v>
      </c>
      <c r="EA13" s="46">
        <v>0</v>
      </c>
      <c r="EB13" s="46">
        <v>0</v>
      </c>
      <c r="EC13" s="46">
        <v>0</v>
      </c>
      <c r="ED13" s="46">
        <v>0</v>
      </c>
      <c r="EE13" s="46">
        <v>0</v>
      </c>
      <c r="EF13" s="46">
        <v>0</v>
      </c>
      <c r="EG13" s="46">
        <v>0</v>
      </c>
      <c r="EH13" s="46">
        <v>0</v>
      </c>
      <c r="EI13" s="46">
        <v>0</v>
      </c>
      <c r="EJ13" s="46">
        <v>0</v>
      </c>
      <c r="EK13" s="46">
        <v>0</v>
      </c>
      <c r="EL13" s="46">
        <v>0</v>
      </c>
      <c r="EM13" s="46">
        <v>0</v>
      </c>
      <c r="EN13" s="46">
        <v>0</v>
      </c>
      <c r="EO13" s="46">
        <v>0</v>
      </c>
      <c r="EP13" s="46">
        <v>0</v>
      </c>
      <c r="EQ13" s="46">
        <v>0</v>
      </c>
      <c r="ER13" s="46">
        <v>0</v>
      </c>
      <c r="ES13" s="46">
        <v>0</v>
      </c>
      <c r="ET13" s="46">
        <v>0</v>
      </c>
      <c r="EU13" s="46">
        <v>0</v>
      </c>
      <c r="EV13" s="46">
        <v>0</v>
      </c>
      <c r="EW13" s="46">
        <v>0</v>
      </c>
      <c r="EX13" s="46">
        <v>0</v>
      </c>
      <c r="EY13" s="46">
        <v>0</v>
      </c>
      <c r="EZ13" s="46">
        <v>0</v>
      </c>
      <c r="FA13" s="46">
        <v>0</v>
      </c>
      <c r="FB13" s="46">
        <v>0</v>
      </c>
      <c r="FC13" s="46">
        <v>0</v>
      </c>
      <c r="FD13" s="46">
        <v>0</v>
      </c>
      <c r="FE13" s="46">
        <v>0</v>
      </c>
      <c r="FF13" s="46">
        <v>0</v>
      </c>
      <c r="FG13" s="46">
        <v>0</v>
      </c>
      <c r="FH13" s="46">
        <v>0</v>
      </c>
      <c r="FI13" s="46">
        <v>0</v>
      </c>
      <c r="FJ13" s="46">
        <v>0</v>
      </c>
      <c r="FK13" s="46">
        <v>0</v>
      </c>
      <c r="FL13" s="46">
        <v>0</v>
      </c>
      <c r="FM13" s="46">
        <v>177626</v>
      </c>
      <c r="FN13" s="46">
        <v>28622284</v>
      </c>
      <c r="FO13" s="46">
        <v>5735791</v>
      </c>
      <c r="FP13" s="46">
        <v>0</v>
      </c>
      <c r="FQ13" s="46">
        <v>0</v>
      </c>
      <c r="FR13" s="46">
        <v>0</v>
      </c>
      <c r="FS13" s="46">
        <v>0</v>
      </c>
      <c r="FT13" s="46">
        <v>0</v>
      </c>
      <c r="FU13" s="46">
        <v>0</v>
      </c>
      <c r="FV13" s="46">
        <v>0</v>
      </c>
      <c r="FW13" s="46">
        <v>0</v>
      </c>
      <c r="FX13" s="46">
        <v>0</v>
      </c>
      <c r="FY13" s="46">
        <v>0</v>
      </c>
      <c r="FZ13" s="46">
        <v>0</v>
      </c>
      <c r="GA13" s="46">
        <v>0</v>
      </c>
      <c r="GB13" s="46">
        <v>0</v>
      </c>
      <c r="GC13" s="46">
        <v>0</v>
      </c>
      <c r="GD13" s="46">
        <v>0</v>
      </c>
      <c r="GE13" s="46">
        <v>0</v>
      </c>
      <c r="GF13" s="46">
        <v>0</v>
      </c>
      <c r="GG13" s="46">
        <v>0</v>
      </c>
      <c r="GH13" s="46">
        <v>0</v>
      </c>
      <c r="GI13" s="46">
        <v>0</v>
      </c>
      <c r="GJ13" s="46">
        <v>0</v>
      </c>
      <c r="GK13" s="46">
        <v>0</v>
      </c>
      <c r="GL13" s="46">
        <v>0</v>
      </c>
      <c r="GM13" s="46">
        <v>0</v>
      </c>
      <c r="GN13" s="46">
        <v>-9781</v>
      </c>
      <c r="GO13" s="46">
        <v>-2036549</v>
      </c>
      <c r="GP13" s="46">
        <v>-294042</v>
      </c>
      <c r="GQ13" s="46">
        <v>0</v>
      </c>
      <c r="GR13" s="46">
        <v>0</v>
      </c>
      <c r="GS13" s="46">
        <v>0</v>
      </c>
      <c r="GT13" s="46">
        <v>0</v>
      </c>
      <c r="GU13" s="46">
        <v>0</v>
      </c>
      <c r="GV13" s="46">
        <v>0</v>
      </c>
      <c r="GW13" s="46">
        <v>0</v>
      </c>
      <c r="GX13" s="46">
        <v>0</v>
      </c>
      <c r="GY13" s="46">
        <v>0</v>
      </c>
      <c r="GZ13" s="46">
        <v>0</v>
      </c>
      <c r="HA13" s="46">
        <v>0</v>
      </c>
      <c r="HB13" s="46">
        <v>0</v>
      </c>
      <c r="HC13" s="46">
        <v>0</v>
      </c>
      <c r="HD13" s="46">
        <v>0</v>
      </c>
      <c r="HE13" s="46">
        <v>0</v>
      </c>
      <c r="HF13" s="46">
        <v>0</v>
      </c>
      <c r="HG13" s="46">
        <v>-94335</v>
      </c>
      <c r="HH13" s="46">
        <v>-1799956</v>
      </c>
      <c r="HI13" s="46">
        <v>0</v>
      </c>
      <c r="HJ13" s="46">
        <v>0</v>
      </c>
      <c r="HK13" s="46">
        <v>0</v>
      </c>
      <c r="HL13" s="46">
        <v>0</v>
      </c>
      <c r="HM13" s="46">
        <v>0</v>
      </c>
      <c r="HN13" s="46">
        <v>0</v>
      </c>
      <c r="HO13" s="46">
        <v>0</v>
      </c>
      <c r="HP13" s="46">
        <v>118836</v>
      </c>
      <c r="HQ13" s="46">
        <v>0</v>
      </c>
      <c r="HR13" s="46">
        <v>33152687</v>
      </c>
      <c r="HS13" s="46">
        <v>0</v>
      </c>
      <c r="HT13" s="46">
        <v>0</v>
      </c>
      <c r="HU13" s="46">
        <v>0</v>
      </c>
      <c r="HV13" s="46">
        <v>0</v>
      </c>
      <c r="HW13" s="46">
        <v>0</v>
      </c>
      <c r="HX13" s="46">
        <v>0</v>
      </c>
      <c r="HY13" s="46">
        <v>0</v>
      </c>
      <c r="HZ13" s="46">
        <v>0</v>
      </c>
      <c r="IA13" s="46">
        <v>0</v>
      </c>
      <c r="IB13" s="46">
        <v>0</v>
      </c>
      <c r="IC13" s="46">
        <v>0</v>
      </c>
      <c r="ID13" s="46">
        <v>0</v>
      </c>
      <c r="IE13" s="46">
        <v>0</v>
      </c>
      <c r="IF13" s="46">
        <v>0</v>
      </c>
      <c r="IG13" s="46">
        <v>0</v>
      </c>
      <c r="IH13" s="46">
        <v>0</v>
      </c>
      <c r="II13" s="46">
        <v>0</v>
      </c>
      <c r="IJ13" s="46">
        <v>0</v>
      </c>
      <c r="IK13" s="46">
        <v>0</v>
      </c>
      <c r="IL13" s="46">
        <v>0</v>
      </c>
      <c r="IM13" s="46">
        <v>0</v>
      </c>
      <c r="IN13" s="46">
        <v>0</v>
      </c>
      <c r="IO13" s="46">
        <v>0</v>
      </c>
      <c r="IP13" s="46">
        <v>104432</v>
      </c>
      <c r="IQ13" s="46">
        <v>6278914</v>
      </c>
      <c r="IR13" s="46">
        <v>170972</v>
      </c>
      <c r="IS13" s="46">
        <v>5699066</v>
      </c>
      <c r="IT13" s="46">
        <v>0</v>
      </c>
      <c r="IU13" s="46">
        <v>68339</v>
      </c>
      <c r="IV13" s="46">
        <v>0</v>
      </c>
      <c r="IW13" s="46">
        <v>0</v>
      </c>
      <c r="IX13" s="46">
        <v>0</v>
      </c>
      <c r="IY13" s="46">
        <v>0</v>
      </c>
      <c r="IZ13" s="46">
        <v>87336</v>
      </c>
      <c r="JA13" s="46">
        <v>0</v>
      </c>
      <c r="JB13" s="46">
        <v>945369</v>
      </c>
      <c r="JC13" s="46">
        <v>0</v>
      </c>
      <c r="JD13" s="46">
        <v>0</v>
      </c>
      <c r="JE13" s="46">
        <v>0</v>
      </c>
      <c r="JF13" s="46">
        <v>0</v>
      </c>
      <c r="JG13" s="46">
        <v>0</v>
      </c>
      <c r="JH13" s="46">
        <v>0</v>
      </c>
      <c r="JI13" s="46">
        <v>14069</v>
      </c>
      <c r="JJ13" s="46">
        <v>1759553</v>
      </c>
      <c r="JK13" s="46">
        <v>8823467</v>
      </c>
      <c r="JL13" s="46">
        <v>0</v>
      </c>
      <c r="JM13" s="46">
        <v>0</v>
      </c>
      <c r="JN13" s="46">
        <v>0</v>
      </c>
      <c r="JO13" s="46">
        <v>0</v>
      </c>
      <c r="JP13" s="46">
        <v>0</v>
      </c>
      <c r="JQ13" s="46">
        <v>115351</v>
      </c>
      <c r="JR13" s="46">
        <v>4939350</v>
      </c>
      <c r="JS13" s="46">
        <v>0</v>
      </c>
      <c r="JT13" s="46">
        <v>827661</v>
      </c>
      <c r="JU13" s="46">
        <v>0</v>
      </c>
      <c r="JV13" s="46">
        <v>0</v>
      </c>
      <c r="JW13" s="46">
        <v>0</v>
      </c>
      <c r="JX13" s="46">
        <v>0</v>
      </c>
      <c r="JY13" s="46">
        <v>0</v>
      </c>
      <c r="JZ13" s="46">
        <v>0</v>
      </c>
      <c r="KA13" s="46">
        <v>0</v>
      </c>
      <c r="KB13" s="46">
        <v>37954862</v>
      </c>
      <c r="KC13" s="46">
        <v>0</v>
      </c>
      <c r="KD13" s="46">
        <v>0</v>
      </c>
      <c r="KE13" s="46">
        <v>0</v>
      </c>
      <c r="KF13" s="46">
        <v>0</v>
      </c>
      <c r="KG13" s="46">
        <v>0</v>
      </c>
      <c r="KH13" s="46">
        <v>0</v>
      </c>
      <c r="KI13" s="46">
        <v>14103</v>
      </c>
      <c r="KJ13" s="46">
        <v>374266</v>
      </c>
      <c r="KK13" s="46">
        <v>686910</v>
      </c>
      <c r="KL13" s="46">
        <v>687587</v>
      </c>
      <c r="KM13" s="46">
        <v>9058</v>
      </c>
      <c r="KN13" s="46">
        <v>0</v>
      </c>
      <c r="KO13" s="46">
        <v>5116347</v>
      </c>
      <c r="KP13" s="46">
        <v>0</v>
      </c>
      <c r="KQ13" s="46">
        <v>0</v>
      </c>
      <c r="KR13" s="46">
        <v>46366291</v>
      </c>
      <c r="KS13" s="46">
        <v>21095301</v>
      </c>
      <c r="KT13" s="46">
        <v>0</v>
      </c>
      <c r="KU13" s="46">
        <v>3844383</v>
      </c>
      <c r="KV13" s="46">
        <v>0</v>
      </c>
      <c r="KW13" s="46">
        <v>0</v>
      </c>
      <c r="KX13" s="46">
        <v>186214</v>
      </c>
      <c r="KY13" s="46">
        <v>0</v>
      </c>
      <c r="KZ13" s="46">
        <v>0</v>
      </c>
      <c r="LA13" s="46">
        <v>860856</v>
      </c>
      <c r="LB13" s="46">
        <v>2166359</v>
      </c>
      <c r="LC13" s="46">
        <v>0</v>
      </c>
      <c r="LD13" s="46">
        <v>2056049</v>
      </c>
      <c r="LE13" s="46">
        <v>0</v>
      </c>
      <c r="LF13" s="46">
        <v>0</v>
      </c>
      <c r="LG13" s="46">
        <v>144523</v>
      </c>
      <c r="LH13" s="46">
        <v>0</v>
      </c>
      <c r="LI13" s="46">
        <v>0</v>
      </c>
      <c r="LJ13" s="46">
        <v>148414</v>
      </c>
      <c r="LK13" s="46">
        <v>954064</v>
      </c>
      <c r="LL13" s="46">
        <v>0</v>
      </c>
      <c r="LM13" s="46">
        <v>920605</v>
      </c>
      <c r="LN13" s="46">
        <v>0</v>
      </c>
      <c r="LO13" s="46">
        <v>0</v>
      </c>
      <c r="LP13" s="46">
        <v>0</v>
      </c>
      <c r="LQ13" s="46">
        <v>0</v>
      </c>
      <c r="LR13" s="46">
        <v>0</v>
      </c>
      <c r="LS13" s="46">
        <v>0</v>
      </c>
      <c r="LT13" s="46">
        <v>0</v>
      </c>
      <c r="LU13" s="46">
        <v>0</v>
      </c>
      <c r="LV13" s="46">
        <v>0</v>
      </c>
      <c r="LW13" s="46">
        <v>0</v>
      </c>
      <c r="LX13" s="46">
        <v>0</v>
      </c>
      <c r="LY13" s="46">
        <v>0</v>
      </c>
      <c r="LZ13" s="46">
        <v>0</v>
      </c>
      <c r="MA13" s="46">
        <v>0</v>
      </c>
      <c r="MB13" s="46">
        <v>7467546</v>
      </c>
      <c r="MC13" s="46">
        <v>10966074</v>
      </c>
      <c r="MD13" s="46">
        <v>0</v>
      </c>
      <c r="ME13" s="46">
        <v>2013036</v>
      </c>
      <c r="MF13" s="46">
        <v>0</v>
      </c>
      <c r="MG13" s="46">
        <v>0</v>
      </c>
      <c r="MH13" s="46">
        <v>13083</v>
      </c>
      <c r="MI13" s="46">
        <v>0</v>
      </c>
      <c r="MJ13" s="46">
        <v>0</v>
      </c>
      <c r="MK13" s="46">
        <v>3780809</v>
      </c>
      <c r="ML13" s="46">
        <v>7227312</v>
      </c>
      <c r="MM13" s="46">
        <v>0</v>
      </c>
      <c r="MN13" s="46">
        <v>1241897</v>
      </c>
      <c r="MO13" s="46">
        <v>49749</v>
      </c>
      <c r="MP13" s="46">
        <v>0</v>
      </c>
      <c r="MQ13" s="46">
        <v>120503</v>
      </c>
      <c r="MR13" s="46">
        <v>0</v>
      </c>
      <c r="MS13" s="46">
        <v>0</v>
      </c>
      <c r="MT13" s="46">
        <v>13535455</v>
      </c>
      <c r="MU13" s="46">
        <v>20597840</v>
      </c>
      <c r="MV13" s="46">
        <v>0</v>
      </c>
      <c r="MW13" s="46">
        <v>630524</v>
      </c>
      <c r="MX13" s="46">
        <v>0</v>
      </c>
      <c r="MY13" s="46">
        <v>0</v>
      </c>
      <c r="MZ13" s="46">
        <v>1150418</v>
      </c>
      <c r="NA13" s="46">
        <v>0</v>
      </c>
      <c r="NB13" s="46">
        <v>0</v>
      </c>
      <c r="NC13" s="46">
        <v>3004789</v>
      </c>
      <c r="ND13" s="46">
        <v>8530545</v>
      </c>
      <c r="NE13" s="46">
        <v>0</v>
      </c>
      <c r="NF13" s="46">
        <v>44323</v>
      </c>
      <c r="NG13" s="46">
        <v>0</v>
      </c>
      <c r="NH13" s="46">
        <v>0</v>
      </c>
      <c r="NI13" s="46">
        <v>4409683</v>
      </c>
      <c r="NJ13" s="46">
        <v>0</v>
      </c>
      <c r="NK13" s="46">
        <v>0</v>
      </c>
      <c r="NL13" s="46">
        <v>1429875</v>
      </c>
      <c r="NM13" s="46">
        <v>2838981</v>
      </c>
      <c r="NN13" s="46">
        <v>0</v>
      </c>
      <c r="NO13" s="46">
        <v>4284351</v>
      </c>
      <c r="NP13" s="46">
        <v>0</v>
      </c>
      <c r="NQ13" s="46">
        <v>0</v>
      </c>
      <c r="NR13" s="46">
        <v>0</v>
      </c>
      <c r="NS13" s="46">
        <v>0</v>
      </c>
      <c r="NT13" s="46">
        <v>0</v>
      </c>
      <c r="NU13" s="46">
        <v>19710</v>
      </c>
      <c r="NV13" s="46">
        <v>2302</v>
      </c>
      <c r="NW13" s="46">
        <v>53196381</v>
      </c>
      <c r="NX13" s="46">
        <v>17438</v>
      </c>
      <c r="NY13" s="46">
        <v>0</v>
      </c>
      <c r="NZ13" s="46">
        <v>0</v>
      </c>
      <c r="OA13" s="46">
        <v>0</v>
      </c>
      <c r="OB13" s="46">
        <v>0</v>
      </c>
      <c r="OC13" s="46">
        <v>0</v>
      </c>
      <c r="OD13" s="46">
        <v>265612</v>
      </c>
      <c r="OE13" s="46">
        <v>842209</v>
      </c>
      <c r="OF13" s="46">
        <v>356751</v>
      </c>
      <c r="OG13" s="46">
        <v>1774219</v>
      </c>
      <c r="OH13" s="46">
        <v>0</v>
      </c>
      <c r="OI13" s="46">
        <v>0</v>
      </c>
      <c r="OJ13" s="46">
        <v>0</v>
      </c>
      <c r="OK13" s="46">
        <v>0</v>
      </c>
      <c r="OL13" s="46">
        <v>0</v>
      </c>
      <c r="OM13" s="46">
        <v>0</v>
      </c>
      <c r="ON13" s="46">
        <v>77790</v>
      </c>
      <c r="OO13" s="46">
        <v>200000</v>
      </c>
      <c r="OP13" s="46">
        <v>0</v>
      </c>
      <c r="OQ13" s="46">
        <v>0</v>
      </c>
      <c r="OR13" s="46">
        <v>0</v>
      </c>
      <c r="OS13" s="46">
        <v>3069</v>
      </c>
      <c r="OT13" s="46">
        <v>66341</v>
      </c>
      <c r="OU13" s="46">
        <v>0</v>
      </c>
      <c r="OV13" s="46">
        <v>0</v>
      </c>
      <c r="OW13" s="46">
        <v>0</v>
      </c>
      <c r="OX13" s="46">
        <v>0</v>
      </c>
      <c r="OY13" s="46">
        <v>0</v>
      </c>
      <c r="OZ13" s="46">
        <v>0</v>
      </c>
      <c r="PA13" s="46">
        <v>0</v>
      </c>
      <c r="PB13" s="46">
        <v>-36438415</v>
      </c>
      <c r="PC13" s="46">
        <v>0</v>
      </c>
      <c r="PD13" s="46">
        <v>39677207</v>
      </c>
      <c r="PE13" s="46">
        <v>-2451961</v>
      </c>
      <c r="PF13" s="46">
        <v>11467948</v>
      </c>
      <c r="PG13" s="46">
        <v>6689417</v>
      </c>
      <c r="PH13" s="46">
        <v>-31323328</v>
      </c>
      <c r="PI13" s="46">
        <v>0</v>
      </c>
      <c r="PJ13" s="46">
        <v>249873</v>
      </c>
      <c r="PK13" s="46">
        <v>75613044</v>
      </c>
      <c r="PL13" s="46">
        <v>960850</v>
      </c>
      <c r="PM13" s="46">
        <v>1120457</v>
      </c>
      <c r="PN13" s="46">
        <v>0</v>
      </c>
      <c r="PO13" s="46">
        <v>0</v>
      </c>
      <c r="PP13" s="46">
        <v>0</v>
      </c>
      <c r="PQ13" s="46">
        <v>0</v>
      </c>
      <c r="PR13" s="46">
        <v>0</v>
      </c>
      <c r="PS13" s="46">
        <v>0</v>
      </c>
      <c r="PT13" s="46">
        <v>0</v>
      </c>
      <c r="PU13" s="46">
        <v>0</v>
      </c>
      <c r="PV13" s="46">
        <v>894509</v>
      </c>
      <c r="PW13" s="46">
        <v>0</v>
      </c>
      <c r="PX13" s="46">
        <v>0</v>
      </c>
      <c r="PY13" s="46">
        <v>0</v>
      </c>
      <c r="PZ13" s="46">
        <v>0</v>
      </c>
      <c r="QA13" s="46">
        <v>0</v>
      </c>
      <c r="QB13" s="46">
        <v>0</v>
      </c>
      <c r="QC13" s="46">
        <v>0</v>
      </c>
      <c r="QD13" s="46">
        <v>0</v>
      </c>
      <c r="QE13" s="46">
        <v>0</v>
      </c>
      <c r="QF13" s="46">
        <v>0</v>
      </c>
      <c r="QG13" s="46">
        <v>4166740</v>
      </c>
      <c r="QH13" s="46">
        <v>0</v>
      </c>
      <c r="QI13" s="46">
        <v>0</v>
      </c>
      <c r="QJ13" s="46">
        <v>0</v>
      </c>
      <c r="QK13" s="46">
        <v>5722767</v>
      </c>
      <c r="QL13" s="46">
        <v>0</v>
      </c>
      <c r="QM13" s="46">
        <v>0</v>
      </c>
      <c r="QN13" s="46">
        <v>-59353</v>
      </c>
      <c r="QO13" s="46">
        <v>0</v>
      </c>
      <c r="QP13" s="46">
        <v>0</v>
      </c>
      <c r="QQ13" s="46">
        <v>0</v>
      </c>
      <c r="QR13" s="46">
        <v>0</v>
      </c>
      <c r="QS13" s="46">
        <v>0</v>
      </c>
      <c r="QT13" s="46">
        <v>49367627</v>
      </c>
      <c r="QU13" s="46">
        <v>0</v>
      </c>
      <c r="QV13" s="46">
        <v>0</v>
      </c>
      <c r="QW13" s="46">
        <v>0</v>
      </c>
      <c r="QX13" s="46">
        <v>0</v>
      </c>
      <c r="QY13" s="46">
        <v>0</v>
      </c>
      <c r="QZ13" s="46">
        <v>0</v>
      </c>
      <c r="RA13" s="46">
        <v>0</v>
      </c>
      <c r="RB13" s="46">
        <v>0</v>
      </c>
      <c r="RC13" s="46">
        <v>0</v>
      </c>
      <c r="RD13" s="46">
        <v>0</v>
      </c>
      <c r="RE13" s="46">
        <v>-894509</v>
      </c>
      <c r="RF13" s="46">
        <v>0</v>
      </c>
      <c r="RG13" s="46">
        <v>0</v>
      </c>
      <c r="RH13" s="46">
        <v>0</v>
      </c>
      <c r="RI13" s="46">
        <v>0</v>
      </c>
      <c r="RJ13" s="46">
        <v>0</v>
      </c>
      <c r="RK13" s="46">
        <v>0</v>
      </c>
      <c r="RL13" s="46">
        <v>0</v>
      </c>
      <c r="RM13" s="46">
        <v>0</v>
      </c>
      <c r="RN13" s="46">
        <v>0</v>
      </c>
      <c r="RO13" s="46">
        <v>-23333532</v>
      </c>
      <c r="RP13" s="46">
        <v>0</v>
      </c>
      <c r="RQ13" s="46">
        <v>0</v>
      </c>
      <c r="RR13" s="46">
        <v>0</v>
      </c>
      <c r="RS13" s="46">
        <v>0</v>
      </c>
      <c r="RT13" s="46">
        <v>0</v>
      </c>
      <c r="RU13" s="46">
        <v>0</v>
      </c>
      <c r="RV13" s="46">
        <v>0</v>
      </c>
      <c r="RW13" s="46">
        <v>0</v>
      </c>
      <c r="RX13" s="46">
        <v>0</v>
      </c>
      <c r="RY13" s="46">
        <v>0</v>
      </c>
      <c r="RZ13" s="46">
        <v>0</v>
      </c>
      <c r="SA13" s="46">
        <v>0</v>
      </c>
      <c r="SB13" s="46">
        <v>0</v>
      </c>
      <c r="SC13" s="46">
        <v>0</v>
      </c>
      <c r="SD13" s="46">
        <v>0</v>
      </c>
      <c r="SE13" s="46">
        <v>0</v>
      </c>
      <c r="SF13" s="46">
        <v>0</v>
      </c>
      <c r="SG13" s="46">
        <v>0</v>
      </c>
      <c r="SH13" s="46">
        <v>0</v>
      </c>
      <c r="SI13" s="46">
        <v>0</v>
      </c>
      <c r="SJ13" s="46">
        <v>0</v>
      </c>
      <c r="SK13" s="46">
        <v>0</v>
      </c>
      <c r="SL13" s="46">
        <v>0</v>
      </c>
      <c r="SM13" s="46">
        <v>0</v>
      </c>
      <c r="SN13" s="46">
        <v>0</v>
      </c>
      <c r="SO13" s="46">
        <v>0</v>
      </c>
      <c r="SP13" s="46">
        <v>0</v>
      </c>
      <c r="SQ13" s="46">
        <v>0</v>
      </c>
      <c r="SR13" s="46">
        <v>0</v>
      </c>
      <c r="SS13" s="46">
        <v>0</v>
      </c>
      <c r="ST13" s="46">
        <v>0</v>
      </c>
      <c r="SU13" s="46">
        <v>0</v>
      </c>
      <c r="SV13" s="46">
        <v>0</v>
      </c>
      <c r="SW13" s="46">
        <v>0</v>
      </c>
      <c r="SX13" s="46">
        <v>0</v>
      </c>
      <c r="SY13" s="46">
        <v>0</v>
      </c>
      <c r="SZ13" s="46">
        <v>243560</v>
      </c>
      <c r="TA13" s="46">
        <v>193635</v>
      </c>
      <c r="TB13" s="46">
        <v>11000</v>
      </c>
      <c r="TC13" s="46">
        <v>0</v>
      </c>
      <c r="TD13" s="46">
        <v>614319</v>
      </c>
      <c r="TE13" s="46">
        <v>151451</v>
      </c>
      <c r="TF13" s="46">
        <v>11340</v>
      </c>
      <c r="TG13" s="46">
        <v>1724886</v>
      </c>
      <c r="TH13" s="46">
        <v>288600</v>
      </c>
      <c r="TI13" s="46">
        <v>0</v>
      </c>
      <c r="TJ13" s="46">
        <v>0</v>
      </c>
      <c r="TK13" s="46">
        <v>0</v>
      </c>
      <c r="TL13" s="46">
        <v>0</v>
      </c>
      <c r="TM13" s="46">
        <v>0</v>
      </c>
      <c r="TN13" s="46">
        <v>0</v>
      </c>
      <c r="TO13" s="46">
        <v>0</v>
      </c>
      <c r="TP13" s="46">
        <v>0</v>
      </c>
      <c r="TQ13" s="46">
        <v>0</v>
      </c>
      <c r="TR13" s="46">
        <v>0</v>
      </c>
      <c r="TS13" s="46">
        <v>0</v>
      </c>
      <c r="TT13" s="46">
        <v>0</v>
      </c>
      <c r="TU13" s="46">
        <v>0</v>
      </c>
      <c r="TV13" s="46">
        <v>0</v>
      </c>
      <c r="TW13" s="46">
        <v>0</v>
      </c>
      <c r="TX13" s="46">
        <v>0</v>
      </c>
      <c r="TY13" s="46">
        <v>0</v>
      </c>
      <c r="TZ13" s="46">
        <v>0</v>
      </c>
      <c r="UA13" s="46">
        <v>0</v>
      </c>
      <c r="UB13" s="46">
        <v>0</v>
      </c>
      <c r="UC13" s="46">
        <v>0</v>
      </c>
      <c r="UD13" s="46">
        <v>0</v>
      </c>
      <c r="UE13" s="46">
        <v>71492189</v>
      </c>
      <c r="UF13" s="46">
        <v>5227787</v>
      </c>
      <c r="UG13" s="46">
        <v>2023083</v>
      </c>
      <c r="UH13" s="46">
        <v>0</v>
      </c>
      <c r="UI13" s="46">
        <v>20459739</v>
      </c>
      <c r="UJ13" s="46">
        <v>12420270</v>
      </c>
      <c r="UK13" s="46">
        <v>35914237</v>
      </c>
      <c r="UL13" s="46">
        <v>15989340</v>
      </c>
      <c r="UM13" s="46">
        <v>8553207</v>
      </c>
      <c r="UN13" s="46">
        <v>53235831</v>
      </c>
      <c r="UO1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3238791</v>
      </c>
      <c r="UP13" s="46">
        <f>SUM(Input[[#This Row],[Oth Exp E&amp;G]],Input[[#This Row],[Oth Exp Desg]],Input[[#This Row],[Oth Exp Aux]],Input[[#This Row],[Oth Exp R Exp]],Input[[#This Row],[Oth Exp Loan]],Input[[#This Row],[Oth Exp Annuity]],Input[[#This Row],[Oth Exp Unexp]],Input[[#This Row],[Oth Exp R of Ind]],Input[[#This Row],[Oth Exp Inv in P]])</f>
        <v>347200</v>
      </c>
      <c r="UQ13" s="46"/>
      <c r="UR13" s="46"/>
      <c r="US13" s="8" t="s">
        <v>764</v>
      </c>
      <c r="UT13" s="47">
        <v>9364682354</v>
      </c>
      <c r="UU13" s="8" t="s">
        <v>84</v>
      </c>
      <c r="UV13" s="8" t="s">
        <v>765</v>
      </c>
      <c r="UW13" s="47">
        <v>9364686550</v>
      </c>
      <c r="UX13" s="8" t="s">
        <v>766</v>
      </c>
      <c r="UY13" s="51" cm="1">
        <f t="array" ref="UY13">IFERROR(_xlfn.IFS(Input[[#This Row],[Type]]="HRI",SUMIFS('FTSE | FTFE'!$P$8:$P$77,'FTSE | FTFE'!$H$8:$H$77,A13),Input[[#This Row],[Type]]="UNIV",SUMIFS('FTSE | FTFE'!$P$104:$P$139,'FTSE | FTFE'!$H$104:$H$139,A13),OR(Input[[#This Row],[Type]]="TSTC",Input[[#This Row],[Type]]="LSC"),SUMIFS('FTSE | FTFE'!$O$88:$O$96,'FTSE | FTFE'!$H$88:$H$96,A13),Input[[#This Row],[Type]]="AHM",SUMIFS(Hidden!$H$42:$H$45,Hidden!$G$42:$G$45,A13)),"N/A")</f>
        <v>8860</v>
      </c>
      <c r="UZ13" s="51" cm="1">
        <f t="array" ref="UZ13">IFERROR(_xlfn.IFS(Input[[#This Row],[Type]]="HRI",SUMIFS('FTSE | FTFE'!$Q$8:$Q$77,'FTSE | FTFE'!$H$8:$H$77,A13),Input[[#This Row],[Type]]="UNIV",SUMIFS('FTSE | FTFE'!$Q$104:$Q$139,'FTSE | FTFE'!$H$104:$H$139,A13),OR(Input[[#This Row],[Type]]="TSTC",Input[[#This Row],[Type]]="LSC"),SUMIFS('FTSE | FTFE'!$P$88:$P$96,'FTSE | FTFE'!$H$88:$H$96,A13)),"N/A")</f>
        <v>353</v>
      </c>
      <c r="VA1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76121219</v>
      </c>
      <c r="VB1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3" s="46">
        <f>SUM(Input[[#This Row],[Fed G&amp;C E&amp;G]],Input[[#This Row],[Fed G&amp;C Desg]],Input[[#This Row],[Fed G&amp;C R Exp]],Input[[#This Row],[Fed G&amp;C Loan]],Input[[#This Row],[Fed G&amp;C Annuity]],Input[[#This Row],[Fed G&amp;C Unexp]],Input[[#This Row],[Fed G&amp;C R of Ind]],Input[[#This Row],[Fed G&amp;C Inv in P]])</f>
        <v>33271523</v>
      </c>
      <c r="VD1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34104715</v>
      </c>
      <c r="VE1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21285012</v>
      </c>
      <c r="VF1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26659245</v>
      </c>
      <c r="VG13" s="46">
        <f>SUM(Input[[#This Row],[Oth Inc E&amp;G]],Input[[#This Row],[Oth Exp Desg]],Input[[#This Row],[Oth Exp R Exp]],Input[[#This Row],[Oth Exp Loan]],Input[[#This Row],[Oth Exp Annuity]],Input[[#This Row],[Oth Exp Unexp]],Input[[#This Row],[Oth Exp R of Ind]],Input[[#This Row],[Oth Exp Inv in P]])</f>
        <v>161303</v>
      </c>
      <c r="VH13" s="46">
        <f>SUM(Input[[#This Row],[Instr E&amp;G]],Input[[#This Row],[Instr Desg]],Input[[#This Row],[Instr R Exp]],Input[[#This Row],[Instr Loan]],Input[[#This Row],[Instr Annuity]],Input[[#This Row],[Instr Unexp]],Input[[#This Row],[Instr R of Ind]],Input[[#This Row],[Instr Inv in P]])</f>
        <v>71492189</v>
      </c>
      <c r="VI13" s="46">
        <f>SUM(Input[[#This Row],[Res E&amp;G]],Input[[#This Row],[Res Desg]],Input[[#This Row],[Res R Exp]],Input[[#This Row],[Res Loan]],Input[[#This Row],[Res Annuity]],Input[[#This Row],[Res Unexp]],Input[[#This Row],[Res R of Ind]],Input[[#This Row],[Res Inv in P]])</f>
        <v>5227787</v>
      </c>
      <c r="VJ13" s="46">
        <f>SUM(Input[[#This Row],[Acad Sup E&amp;G]],Input[[#This Row],[Acad Sup Desg]],Input[[#This Row],[Acad Sup R Exp]],Input[[#This Row],[Acad Sup Loan]],Input[[#This Row],[Acad Sup Annuity]],Input[[#This Row],[Acad Sup Unexp]],Input[[#This Row],[Acad Sup R of Ind]],Input[[#This Row],[Acad Sup Inv in P]])</f>
        <v>20459739</v>
      </c>
      <c r="VK13" s="46">
        <f>SUM(Input[[#This Row],[Stu Svc E&amp;G]],Input[[#This Row],[Stu Svc Desg]],Input[[#This Row],[Stu Svc R Exp]],Input[[#This Row],[Stu Svc Loan]],Input[[#This Row],[Stu Svc Annuity]],Input[[#This Row],[Stu Svc Unexp]],Input[[#This Row],[Stu Svc R of Ind]],Input[[#This Row],[Stu Svc Inv in P]])</f>
        <v>12420270</v>
      </c>
      <c r="VL13" s="46">
        <f>SUM(Input[[#This Row],[Inst. Spt E&amp;G]],Input[[#This Row],[Inst. Spt Desg]],Input[[#This Row],[Inst. Spt R Exp]],Input[[#This Row],[Inst. Spt Loan]],Input[[#This Row],[Inst. Spt Annuity]],Input[[#This Row],[Inst. Spt Unexp]],Input[[#This Row],[Inst. Spt R of Ind]],Input[[#This Row],[Inst. Spt Inv in P]])</f>
        <v>35914237</v>
      </c>
      <c r="VM13" s="46">
        <f>SUM(Input[[#This Row],[M&amp;O Plnt E&amp;G]],Input[[#This Row],[M&amp;O Plnt Desg]],Input[[#This Row],[M&amp;O Plnt R Exp]],Input[[#This Row],[M&amp;O Plnt Loan]],Input[[#This Row],[M&amp;O Plnt Annuity]],Input[[#This Row],[M&amp;O Plnt Unexp]],Input[[#This Row],[M&amp;O Plnt R of Ind]],Input[[#This Row],[M&amp;O Plnt Inv in P]])</f>
        <v>15989340</v>
      </c>
      <c r="VN13" s="46">
        <f>SUM(Input[[#This Row],[Schl &amp; Fell E&amp;G]],Input[[#This Row],[Schl &amp; Fell Desg]],Input[[#This Row],[Schl &amp; Fell R Exp]],Input[[#This Row],[Schl &amp; Fell Loan]],Input[[#This Row],[Schl &amp; Fell Annuity]],Input[[#This Row],[Schl &amp; Fell Unexp]],Input[[#This Row],[Schl &amp; Fell R of Ind]],Input[[#This Row],[Schl &amp; Fell Inv in P]])</f>
        <v>8553207</v>
      </c>
      <c r="VO13" s="46">
        <f>SUM(Input[[#This Row],[Cap Out fund E&amp;G]],Input[[#This Row],[Cap Out fund Desg]],Input[[#This Row],[Cap Out fund R Exp]],Input[[#This Row],[Cap Out fund Loan]],Input[[#This Row],[Cap Out fund Annuity]],Input[[#This Row],[Cap Out fund Unexp]],Input[[#This Row],[Cap Out fund R of Ind]],Input[[#This Row],[Cap Out fund Inv in P]])</f>
        <v>2882040</v>
      </c>
      <c r="VP13" s="46">
        <f>SUM(Input[[#This Row],[Oth Exp E&amp;G]],Input[[#This Row],[Oth Exp Desg]],Input[[#This Row],[Oth Exp R Exp]],Input[[#This Row],[Oth Exp Loan]],Input[[#This Row],[Oth Exp Annuity]],Input[[#This Row],[Oth Exp Unexp]],Input[[#This Row],[Oth Exp R of Ind]],Input[[#This Row],[Oth Exp Inv in P]],Input[[#This Row],[Oth Exp Inv in P]])</f>
        <v>147200</v>
      </c>
    </row>
    <row r="14" spans="1:588" ht="30" customHeight="1" x14ac:dyDescent="0.3">
      <c r="A14" s="15" t="s">
        <v>167</v>
      </c>
      <c r="B14" s="36" t="s">
        <v>124</v>
      </c>
      <c r="C14" s="36" t="s">
        <v>120</v>
      </c>
      <c r="D14" s="36">
        <v>200</v>
      </c>
      <c r="E14" s="36" t="s">
        <v>132</v>
      </c>
      <c r="F14" s="95" t="s">
        <v>106</v>
      </c>
      <c r="G14" s="46">
        <v>265743050</v>
      </c>
      <c r="H14" s="46">
        <v>0</v>
      </c>
      <c r="I14" s="46">
        <v>0</v>
      </c>
      <c r="J14" s="46">
        <v>0</v>
      </c>
      <c r="K14" s="46">
        <v>0</v>
      </c>
      <c r="L14" s="46">
        <v>0</v>
      </c>
      <c r="M14" s="46">
        <v>0</v>
      </c>
      <c r="N14" s="46">
        <v>0</v>
      </c>
      <c r="O14" s="46">
        <v>0</v>
      </c>
      <c r="P14" s="46">
        <v>0</v>
      </c>
      <c r="Q14" s="46">
        <v>0</v>
      </c>
      <c r="R14" s="46">
        <v>0</v>
      </c>
      <c r="S14" s="46">
        <v>100000</v>
      </c>
      <c r="T14" s="46">
        <v>0</v>
      </c>
      <c r="U14" s="46">
        <v>0</v>
      </c>
      <c r="V14" s="46">
        <v>0</v>
      </c>
      <c r="W14" s="46">
        <v>0</v>
      </c>
      <c r="X14" s="46">
        <v>0</v>
      </c>
      <c r="Y14" s="46">
        <v>0</v>
      </c>
      <c r="Z14" s="46">
        <v>0</v>
      </c>
      <c r="AA14" s="46">
        <v>0</v>
      </c>
      <c r="AB14" s="46">
        <v>0</v>
      </c>
      <c r="AC14" s="46">
        <v>0</v>
      </c>
      <c r="AD14" s="46">
        <v>0</v>
      </c>
      <c r="AE14" s="46">
        <v>0</v>
      </c>
      <c r="AF14" s="46">
        <v>0</v>
      </c>
      <c r="AG14" s="46">
        <v>0</v>
      </c>
      <c r="AH14" s="46">
        <v>0</v>
      </c>
      <c r="AI14" s="46">
        <v>673927705</v>
      </c>
      <c r="AJ14" s="46">
        <v>0</v>
      </c>
      <c r="AK14" s="46">
        <v>0</v>
      </c>
      <c r="AL14" s="46">
        <v>0</v>
      </c>
      <c r="AM14" s="46">
        <v>0</v>
      </c>
      <c r="AN14" s="46">
        <v>0</v>
      </c>
      <c r="AO14" s="46">
        <v>0</v>
      </c>
      <c r="AP14" s="46">
        <v>0</v>
      </c>
      <c r="AQ14" s="46">
        <v>0</v>
      </c>
      <c r="AR14" s="46">
        <v>0</v>
      </c>
      <c r="AS14" s="46">
        <v>0</v>
      </c>
      <c r="AT14" s="46">
        <v>0</v>
      </c>
      <c r="AU14" s="46">
        <v>0</v>
      </c>
      <c r="AV14" s="46">
        <v>0</v>
      </c>
      <c r="AW14" s="46">
        <v>0</v>
      </c>
      <c r="AX14" s="46">
        <v>0</v>
      </c>
      <c r="AY14" s="46">
        <v>0</v>
      </c>
      <c r="AZ14" s="46">
        <v>0</v>
      </c>
      <c r="BA14" s="46">
        <v>0</v>
      </c>
      <c r="BB14" s="46">
        <v>0</v>
      </c>
      <c r="BC14" s="46">
        <v>0</v>
      </c>
      <c r="BD14" s="46">
        <v>0</v>
      </c>
      <c r="BE14" s="46">
        <v>0</v>
      </c>
      <c r="BF14" s="46">
        <v>0</v>
      </c>
      <c r="BG14" s="46">
        <v>0</v>
      </c>
      <c r="BH14" s="46">
        <v>0</v>
      </c>
      <c r="BI14" s="46">
        <v>0</v>
      </c>
      <c r="BJ14" s="46">
        <v>0</v>
      </c>
      <c r="BK14" s="46">
        <v>0</v>
      </c>
      <c r="BL14" s="46">
        <v>0</v>
      </c>
      <c r="BM14" s="46">
        <v>0</v>
      </c>
      <c r="BN14" s="46">
        <v>0</v>
      </c>
      <c r="BO14" s="46">
        <v>0</v>
      </c>
      <c r="BP14" s="46">
        <v>0</v>
      </c>
      <c r="BQ14" s="46">
        <v>0</v>
      </c>
      <c r="BR14" s="46">
        <v>0</v>
      </c>
      <c r="BS14" s="46">
        <v>0</v>
      </c>
      <c r="BT14" s="46">
        <v>0</v>
      </c>
      <c r="BU14" s="46">
        <v>0</v>
      </c>
      <c r="BV14" s="46">
        <v>0</v>
      </c>
      <c r="BW14" s="46">
        <v>0</v>
      </c>
      <c r="BX14" s="46">
        <v>0</v>
      </c>
      <c r="BY14" s="46">
        <v>0</v>
      </c>
      <c r="BZ14" s="46">
        <v>0</v>
      </c>
      <c r="CA14" s="46">
        <v>0</v>
      </c>
      <c r="CB14" s="46">
        <v>0</v>
      </c>
      <c r="CC14" s="46">
        <v>0</v>
      </c>
      <c r="CD14" s="46">
        <v>0</v>
      </c>
      <c r="CE14" s="46">
        <v>0</v>
      </c>
      <c r="CF14" s="46">
        <v>0</v>
      </c>
      <c r="CG14" s="46">
        <v>0</v>
      </c>
      <c r="CH14" s="46">
        <v>0</v>
      </c>
      <c r="CI14" s="46">
        <v>0</v>
      </c>
      <c r="CJ14" s="46">
        <v>0</v>
      </c>
      <c r="CK14" s="46">
        <v>0</v>
      </c>
      <c r="CL14" s="46">
        <v>0</v>
      </c>
      <c r="CM14" s="46">
        <v>0</v>
      </c>
      <c r="CN14" s="46">
        <v>0</v>
      </c>
      <c r="CO14" s="46">
        <v>0</v>
      </c>
      <c r="CP14" s="46">
        <v>0</v>
      </c>
      <c r="CQ14" s="46">
        <v>0</v>
      </c>
      <c r="CR14" s="46">
        <v>0</v>
      </c>
      <c r="CS14" s="46">
        <v>0</v>
      </c>
      <c r="CT14" s="46">
        <v>0</v>
      </c>
      <c r="CU14" s="46">
        <v>0</v>
      </c>
      <c r="CV14" s="46">
        <v>0</v>
      </c>
      <c r="CW14" s="46">
        <v>0</v>
      </c>
      <c r="CX14" s="46">
        <v>0</v>
      </c>
      <c r="CY14" s="46">
        <v>0</v>
      </c>
      <c r="CZ14" s="46">
        <v>0</v>
      </c>
      <c r="DA14" s="46">
        <v>0</v>
      </c>
      <c r="DB14" s="46">
        <v>0</v>
      </c>
      <c r="DC14" s="46">
        <v>0</v>
      </c>
      <c r="DD14" s="46">
        <v>0</v>
      </c>
      <c r="DE14" s="46">
        <v>0</v>
      </c>
      <c r="DF14" s="46">
        <v>0</v>
      </c>
      <c r="DG14" s="46">
        <v>0</v>
      </c>
      <c r="DH14" s="46">
        <v>0</v>
      </c>
      <c r="DI14" s="46">
        <v>0</v>
      </c>
      <c r="DJ14" s="46">
        <v>0</v>
      </c>
      <c r="DK14" s="46">
        <v>0</v>
      </c>
      <c r="DL14" s="46">
        <v>0</v>
      </c>
      <c r="DM14" s="46">
        <v>0</v>
      </c>
      <c r="DN14" s="46">
        <v>0</v>
      </c>
      <c r="DO14" s="46">
        <v>0</v>
      </c>
      <c r="DP14" s="46">
        <v>0</v>
      </c>
      <c r="DQ14" s="46">
        <v>0</v>
      </c>
      <c r="DR14" s="46">
        <v>0</v>
      </c>
      <c r="DS14" s="46">
        <v>0</v>
      </c>
      <c r="DT14" s="46">
        <v>0</v>
      </c>
      <c r="DU14" s="46">
        <v>0</v>
      </c>
      <c r="DV14" s="46">
        <v>0</v>
      </c>
      <c r="DW14" s="46">
        <v>0</v>
      </c>
      <c r="DX14" s="46">
        <v>0</v>
      </c>
      <c r="DY14" s="46">
        <v>0</v>
      </c>
      <c r="DZ14" s="46">
        <v>0</v>
      </c>
      <c r="EA14" s="46">
        <v>0</v>
      </c>
      <c r="EB14" s="46">
        <v>0</v>
      </c>
      <c r="EC14" s="46">
        <v>0</v>
      </c>
      <c r="ED14" s="46">
        <v>0</v>
      </c>
      <c r="EE14" s="46">
        <v>0</v>
      </c>
      <c r="EF14" s="46">
        <v>0</v>
      </c>
      <c r="EG14" s="46">
        <v>0</v>
      </c>
      <c r="EH14" s="46">
        <v>0</v>
      </c>
      <c r="EI14" s="46">
        <v>0</v>
      </c>
      <c r="EJ14" s="46">
        <v>0</v>
      </c>
      <c r="EK14" s="46">
        <v>0</v>
      </c>
      <c r="EL14" s="46">
        <v>0</v>
      </c>
      <c r="EM14" s="46">
        <v>0</v>
      </c>
      <c r="EN14" s="46">
        <v>0</v>
      </c>
      <c r="EO14" s="46">
        <v>0</v>
      </c>
      <c r="EP14" s="46">
        <v>0</v>
      </c>
      <c r="EQ14" s="46">
        <v>0</v>
      </c>
      <c r="ER14" s="46">
        <v>0</v>
      </c>
      <c r="ES14" s="46">
        <v>0</v>
      </c>
      <c r="ET14" s="46">
        <v>0</v>
      </c>
      <c r="EU14" s="46">
        <v>0</v>
      </c>
      <c r="EV14" s="46">
        <v>0</v>
      </c>
      <c r="EW14" s="46">
        <v>0</v>
      </c>
      <c r="EX14" s="46">
        <v>0</v>
      </c>
      <c r="EY14" s="46">
        <v>0</v>
      </c>
      <c r="EZ14" s="46">
        <v>0</v>
      </c>
      <c r="FA14" s="46">
        <v>0</v>
      </c>
      <c r="FB14" s="46">
        <v>0</v>
      </c>
      <c r="FC14" s="46">
        <v>0</v>
      </c>
      <c r="FD14" s="46">
        <v>0</v>
      </c>
      <c r="FE14" s="46">
        <v>0</v>
      </c>
      <c r="FF14" s="46">
        <v>0</v>
      </c>
      <c r="FG14" s="46">
        <v>0</v>
      </c>
      <c r="FH14" s="46">
        <v>0</v>
      </c>
      <c r="FI14" s="46">
        <v>0</v>
      </c>
      <c r="FJ14" s="46">
        <v>0</v>
      </c>
      <c r="FK14" s="46">
        <v>0</v>
      </c>
      <c r="FL14" s="46">
        <v>0</v>
      </c>
      <c r="FM14" s="46">
        <v>0</v>
      </c>
      <c r="FN14" s="46">
        <v>0</v>
      </c>
      <c r="FO14" s="46">
        <v>0</v>
      </c>
      <c r="FP14" s="46">
        <v>0</v>
      </c>
      <c r="FQ14" s="46">
        <v>0</v>
      </c>
      <c r="FR14" s="46">
        <v>0</v>
      </c>
      <c r="FS14" s="46">
        <v>0</v>
      </c>
      <c r="FT14" s="46">
        <v>0</v>
      </c>
      <c r="FU14" s="46">
        <v>0</v>
      </c>
      <c r="FV14" s="46">
        <v>0</v>
      </c>
      <c r="FW14" s="46">
        <v>0</v>
      </c>
      <c r="FX14" s="46">
        <v>0</v>
      </c>
      <c r="FY14" s="46">
        <v>0</v>
      </c>
      <c r="FZ14" s="46">
        <v>0</v>
      </c>
      <c r="GA14" s="46">
        <v>0</v>
      </c>
      <c r="GB14" s="46">
        <v>0</v>
      </c>
      <c r="GC14" s="46">
        <v>0</v>
      </c>
      <c r="GD14" s="46">
        <v>0</v>
      </c>
      <c r="GE14" s="46">
        <v>0</v>
      </c>
      <c r="GF14" s="46">
        <v>0</v>
      </c>
      <c r="GG14" s="46">
        <v>0</v>
      </c>
      <c r="GH14" s="46">
        <v>0</v>
      </c>
      <c r="GI14" s="46">
        <v>0</v>
      </c>
      <c r="GJ14" s="46">
        <v>0</v>
      </c>
      <c r="GK14" s="46">
        <v>0</v>
      </c>
      <c r="GL14" s="46">
        <v>0</v>
      </c>
      <c r="GM14" s="46">
        <v>0</v>
      </c>
      <c r="GN14" s="46">
        <v>0</v>
      </c>
      <c r="GO14" s="46">
        <v>0</v>
      </c>
      <c r="GP14" s="46">
        <v>0</v>
      </c>
      <c r="GQ14" s="46">
        <v>0</v>
      </c>
      <c r="GR14" s="46">
        <v>0</v>
      </c>
      <c r="GS14" s="46">
        <v>0</v>
      </c>
      <c r="GT14" s="46">
        <v>0</v>
      </c>
      <c r="GU14" s="46">
        <v>0</v>
      </c>
      <c r="GV14" s="46">
        <v>0</v>
      </c>
      <c r="GW14" s="46">
        <v>0</v>
      </c>
      <c r="GX14" s="46">
        <v>0</v>
      </c>
      <c r="GY14" s="46">
        <v>0</v>
      </c>
      <c r="GZ14" s="46">
        <v>0</v>
      </c>
      <c r="HA14" s="46">
        <v>0</v>
      </c>
      <c r="HB14" s="46">
        <v>0</v>
      </c>
      <c r="HC14" s="46">
        <v>0</v>
      </c>
      <c r="HD14" s="46">
        <v>0</v>
      </c>
      <c r="HE14" s="46">
        <v>0</v>
      </c>
      <c r="HF14" s="46">
        <v>0</v>
      </c>
      <c r="HG14" s="46">
        <v>0</v>
      </c>
      <c r="HH14" s="46">
        <v>0</v>
      </c>
      <c r="HI14" s="46">
        <v>0</v>
      </c>
      <c r="HJ14" s="46">
        <v>0</v>
      </c>
      <c r="HK14" s="46">
        <v>0</v>
      </c>
      <c r="HL14" s="46">
        <v>0</v>
      </c>
      <c r="HM14" s="46">
        <v>0</v>
      </c>
      <c r="HN14" s="46">
        <v>0</v>
      </c>
      <c r="HO14" s="46">
        <v>0</v>
      </c>
      <c r="HP14" s="46">
        <v>29297393</v>
      </c>
      <c r="HQ14" s="46">
        <v>0</v>
      </c>
      <c r="HR14" s="46">
        <v>2068968</v>
      </c>
      <c r="HS14" s="46">
        <v>0</v>
      </c>
      <c r="HT14" s="46">
        <v>0</v>
      </c>
      <c r="HU14" s="46">
        <v>0</v>
      </c>
      <c r="HV14" s="46">
        <v>0</v>
      </c>
      <c r="HW14" s="46">
        <v>0</v>
      </c>
      <c r="HX14" s="46">
        <v>0</v>
      </c>
      <c r="HY14" s="46">
        <v>0</v>
      </c>
      <c r="HZ14" s="46">
        <v>0</v>
      </c>
      <c r="IA14" s="46">
        <v>0</v>
      </c>
      <c r="IB14" s="46">
        <v>0</v>
      </c>
      <c r="IC14" s="46">
        <v>0</v>
      </c>
      <c r="ID14" s="46">
        <v>0</v>
      </c>
      <c r="IE14" s="46">
        <v>0</v>
      </c>
      <c r="IF14" s="46">
        <v>0</v>
      </c>
      <c r="IG14" s="46">
        <v>0</v>
      </c>
      <c r="IH14" s="46">
        <v>0</v>
      </c>
      <c r="II14" s="46">
        <v>0</v>
      </c>
      <c r="IJ14" s="46">
        <v>0</v>
      </c>
      <c r="IK14" s="46">
        <v>0</v>
      </c>
      <c r="IL14" s="46">
        <v>0</v>
      </c>
      <c r="IM14" s="46">
        <v>0</v>
      </c>
      <c r="IN14" s="46">
        <v>0</v>
      </c>
      <c r="IO14" s="46">
        <v>0</v>
      </c>
      <c r="IP14" s="46">
        <v>0</v>
      </c>
      <c r="IQ14" s="46">
        <v>120633244</v>
      </c>
      <c r="IR14" s="46">
        <v>46523</v>
      </c>
      <c r="IS14" s="46">
        <v>13060</v>
      </c>
      <c r="IT14" s="46">
        <v>0</v>
      </c>
      <c r="IU14" s="46">
        <v>72068678</v>
      </c>
      <c r="IV14" s="46">
        <v>14316009</v>
      </c>
      <c r="IW14" s="46">
        <v>31335552</v>
      </c>
      <c r="IX14" s="46">
        <v>0</v>
      </c>
      <c r="IY14" s="46">
        <v>0</v>
      </c>
      <c r="IZ14" s="46">
        <v>0</v>
      </c>
      <c r="JA14" s="46">
        <v>0</v>
      </c>
      <c r="JB14" s="46">
        <v>0</v>
      </c>
      <c r="JC14" s="46">
        <v>0</v>
      </c>
      <c r="JD14" s="46">
        <v>0</v>
      </c>
      <c r="JE14" s="46">
        <v>0</v>
      </c>
      <c r="JF14" s="46">
        <v>0</v>
      </c>
      <c r="JG14" s="46">
        <v>0</v>
      </c>
      <c r="JH14" s="46">
        <v>0</v>
      </c>
      <c r="JI14" s="46">
        <v>1417751</v>
      </c>
      <c r="JJ14" s="46">
        <v>0</v>
      </c>
      <c r="JK14" s="46">
        <v>240677</v>
      </c>
      <c r="JL14" s="46">
        <v>0</v>
      </c>
      <c r="JM14" s="46">
        <v>0</v>
      </c>
      <c r="JN14" s="46">
        <v>210880</v>
      </c>
      <c r="JO14" s="46">
        <v>0</v>
      </c>
      <c r="JP14" s="46">
        <v>0</v>
      </c>
      <c r="JQ14" s="46">
        <v>0</v>
      </c>
      <c r="JR14" s="46">
        <v>10914503</v>
      </c>
      <c r="JS14" s="46">
        <v>0</v>
      </c>
      <c r="JT14" s="46">
        <v>17988</v>
      </c>
      <c r="JU14" s="46">
        <v>0</v>
      </c>
      <c r="JV14" s="46">
        <v>0</v>
      </c>
      <c r="JW14" s="46">
        <v>0</v>
      </c>
      <c r="JX14" s="46">
        <v>0</v>
      </c>
      <c r="JY14" s="46">
        <v>0</v>
      </c>
      <c r="JZ14" s="46">
        <v>0</v>
      </c>
      <c r="KA14" s="46">
        <v>0</v>
      </c>
      <c r="KB14" s="46">
        <v>0</v>
      </c>
      <c r="KC14" s="46">
        <v>0</v>
      </c>
      <c r="KD14" s="46">
        <v>0</v>
      </c>
      <c r="KE14" s="46">
        <v>0</v>
      </c>
      <c r="KF14" s="46">
        <v>0</v>
      </c>
      <c r="KG14" s="46">
        <v>0</v>
      </c>
      <c r="KH14" s="46">
        <v>0</v>
      </c>
      <c r="KI14" s="46">
        <v>0</v>
      </c>
      <c r="KJ14" s="46">
        <v>28769576</v>
      </c>
      <c r="KK14" s="46">
        <v>855894</v>
      </c>
      <c r="KL14" s="46">
        <v>39848</v>
      </c>
      <c r="KM14" s="46">
        <v>0</v>
      </c>
      <c r="KN14" s="46">
        <v>0</v>
      </c>
      <c r="KO14" s="46">
        <v>0</v>
      </c>
      <c r="KP14" s="46">
        <v>214524</v>
      </c>
      <c r="KQ14" s="46">
        <v>411235</v>
      </c>
      <c r="KR14" s="46">
        <v>0</v>
      </c>
      <c r="KS14" s="46">
        <v>0</v>
      </c>
      <c r="KT14" s="46">
        <v>0</v>
      </c>
      <c r="KU14" s="46">
        <v>0</v>
      </c>
      <c r="KV14" s="46">
        <v>0</v>
      </c>
      <c r="KW14" s="46">
        <v>0</v>
      </c>
      <c r="KX14" s="46">
        <v>0</v>
      </c>
      <c r="KY14" s="46">
        <v>0</v>
      </c>
      <c r="KZ14" s="46">
        <v>0</v>
      </c>
      <c r="LA14" s="46">
        <v>1514435</v>
      </c>
      <c r="LB14" s="46">
        <v>254072</v>
      </c>
      <c r="LC14" s="46">
        <v>0</v>
      </c>
      <c r="LD14" s="46">
        <v>870006</v>
      </c>
      <c r="LE14" s="46">
        <v>0</v>
      </c>
      <c r="LF14" s="46">
        <v>0</v>
      </c>
      <c r="LG14" s="46">
        <v>0</v>
      </c>
      <c r="LH14" s="46">
        <v>0</v>
      </c>
      <c r="LI14" s="46">
        <v>0</v>
      </c>
      <c r="LJ14" s="46">
        <v>0</v>
      </c>
      <c r="LK14" s="46">
        <v>0</v>
      </c>
      <c r="LL14" s="46">
        <v>0</v>
      </c>
      <c r="LM14" s="46">
        <v>1208659</v>
      </c>
      <c r="LN14" s="46">
        <v>0</v>
      </c>
      <c r="LO14" s="46">
        <v>0</v>
      </c>
      <c r="LP14" s="46">
        <v>0</v>
      </c>
      <c r="LQ14" s="46">
        <v>0</v>
      </c>
      <c r="LR14" s="46">
        <v>0</v>
      </c>
      <c r="LS14" s="46">
        <v>0</v>
      </c>
      <c r="LT14" s="46">
        <v>0</v>
      </c>
      <c r="LU14" s="46">
        <v>0</v>
      </c>
      <c r="LV14" s="46">
        <v>0</v>
      </c>
      <c r="LW14" s="46">
        <v>0</v>
      </c>
      <c r="LX14" s="46">
        <v>0</v>
      </c>
      <c r="LY14" s="46">
        <v>0</v>
      </c>
      <c r="LZ14" s="46">
        <v>0</v>
      </c>
      <c r="MA14" s="46">
        <v>0</v>
      </c>
      <c r="MB14" s="46">
        <v>0</v>
      </c>
      <c r="MC14" s="46">
        <v>0</v>
      </c>
      <c r="MD14" s="46">
        <v>0</v>
      </c>
      <c r="ME14" s="46">
        <v>0</v>
      </c>
      <c r="MF14" s="46">
        <v>0</v>
      </c>
      <c r="MG14" s="46">
        <v>0</v>
      </c>
      <c r="MH14" s="46">
        <v>0</v>
      </c>
      <c r="MI14" s="46">
        <v>0</v>
      </c>
      <c r="MJ14" s="46">
        <v>0</v>
      </c>
      <c r="MK14" s="46">
        <v>0</v>
      </c>
      <c r="ML14" s="46">
        <v>0</v>
      </c>
      <c r="MM14" s="46">
        <v>0</v>
      </c>
      <c r="MN14" s="46">
        <v>0</v>
      </c>
      <c r="MO14" s="46">
        <v>0</v>
      </c>
      <c r="MP14" s="46">
        <v>0</v>
      </c>
      <c r="MQ14" s="46">
        <v>0</v>
      </c>
      <c r="MR14" s="46">
        <v>0</v>
      </c>
      <c r="MS14" s="46">
        <v>0</v>
      </c>
      <c r="MT14" s="46">
        <v>808252</v>
      </c>
      <c r="MU14" s="46">
        <v>214438530</v>
      </c>
      <c r="MV14" s="46">
        <v>0</v>
      </c>
      <c r="MW14" s="46">
        <v>146997</v>
      </c>
      <c r="MX14" s="46">
        <v>0</v>
      </c>
      <c r="MY14" s="46">
        <v>0</v>
      </c>
      <c r="MZ14" s="46">
        <v>0</v>
      </c>
      <c r="NA14" s="46">
        <v>0</v>
      </c>
      <c r="NB14" s="46">
        <v>0</v>
      </c>
      <c r="NC14" s="46">
        <v>0</v>
      </c>
      <c r="ND14" s="46">
        <v>0</v>
      </c>
      <c r="NE14" s="46">
        <v>0</v>
      </c>
      <c r="NF14" s="46">
        <v>251545</v>
      </c>
      <c r="NG14" s="46">
        <v>0</v>
      </c>
      <c r="NH14" s="46">
        <v>0</v>
      </c>
      <c r="NI14" s="46">
        <v>-322249</v>
      </c>
      <c r="NJ14" s="46">
        <v>0</v>
      </c>
      <c r="NK14" s="46">
        <v>0</v>
      </c>
      <c r="NL14" s="46">
        <v>731526</v>
      </c>
      <c r="NM14" s="46">
        <v>0</v>
      </c>
      <c r="NN14" s="46">
        <v>0</v>
      </c>
      <c r="NO14" s="46">
        <v>27337</v>
      </c>
      <c r="NP14" s="46">
        <v>0</v>
      </c>
      <c r="NQ14" s="46">
        <v>0</v>
      </c>
      <c r="NR14" s="46">
        <v>0</v>
      </c>
      <c r="NS14" s="46">
        <v>0</v>
      </c>
      <c r="NT14" s="46">
        <v>0</v>
      </c>
      <c r="NU14" s="46">
        <v>0</v>
      </c>
      <c r="NV14" s="46">
        <v>0</v>
      </c>
      <c r="NW14" s="46">
        <v>572236</v>
      </c>
      <c r="NX14" s="46">
        <v>0</v>
      </c>
      <c r="NY14" s="46">
        <v>0</v>
      </c>
      <c r="NZ14" s="46">
        <v>0</v>
      </c>
      <c r="OA14" s="46">
        <v>0</v>
      </c>
      <c r="OB14" s="46">
        <v>0</v>
      </c>
      <c r="OC14" s="46">
        <v>0</v>
      </c>
      <c r="OD14" s="46">
        <v>31200</v>
      </c>
      <c r="OE14" s="46">
        <v>7034971</v>
      </c>
      <c r="OF14" s="46">
        <v>0</v>
      </c>
      <c r="OG14" s="46">
        <v>0</v>
      </c>
      <c r="OH14" s="46">
        <v>0</v>
      </c>
      <c r="OI14" s="46">
        <v>0</v>
      </c>
      <c r="OJ14" s="46">
        <v>0</v>
      </c>
      <c r="OK14" s="46">
        <v>0</v>
      </c>
      <c r="OL14" s="46">
        <v>0</v>
      </c>
      <c r="OM14" s="46">
        <v>0</v>
      </c>
      <c r="ON14" s="46">
        <v>19674869</v>
      </c>
      <c r="OO14" s="46">
        <v>0</v>
      </c>
      <c r="OP14" s="46">
        <v>0</v>
      </c>
      <c r="OQ14" s="46">
        <v>0</v>
      </c>
      <c r="OR14" s="46">
        <v>918372</v>
      </c>
      <c r="OS14" s="46">
        <v>2512932</v>
      </c>
      <c r="OT14" s="46">
        <v>203749404</v>
      </c>
      <c r="OU14" s="46">
        <v>4469</v>
      </c>
      <c r="OV14" s="46">
        <v>0</v>
      </c>
      <c r="OW14" s="46">
        <v>0</v>
      </c>
      <c r="OX14" s="46">
        <v>0</v>
      </c>
      <c r="OY14" s="46">
        <v>0</v>
      </c>
      <c r="OZ14" s="46">
        <v>0</v>
      </c>
      <c r="PA14" s="46">
        <v>0</v>
      </c>
      <c r="PB14" s="46">
        <v>748246323</v>
      </c>
      <c r="PC14" s="46">
        <v>0</v>
      </c>
      <c r="PD14" s="46">
        <v>0</v>
      </c>
      <c r="PE14" s="46">
        <v>-204258401</v>
      </c>
      <c r="PF14" s="46">
        <v>-536983544</v>
      </c>
      <c r="PG14" s="46">
        <v>0</v>
      </c>
      <c r="PH14" s="46">
        <v>143330</v>
      </c>
      <c r="PI14" s="46">
        <v>0</v>
      </c>
      <c r="PJ14" s="46">
        <v>-67636581</v>
      </c>
      <c r="PK14" s="46">
        <v>-378110291</v>
      </c>
      <c r="PL14" s="46">
        <v>784831833</v>
      </c>
      <c r="PM14" s="46">
        <v>0</v>
      </c>
      <c r="PN14" s="46">
        <v>0</v>
      </c>
      <c r="PO14" s="46">
        <v>0</v>
      </c>
      <c r="PP14" s="46">
        <v>0</v>
      </c>
      <c r="PQ14" s="46">
        <v>0</v>
      </c>
      <c r="PR14" s="46">
        <v>0</v>
      </c>
      <c r="PS14" s="46">
        <v>0</v>
      </c>
      <c r="PT14" s="46">
        <v>0</v>
      </c>
      <c r="PU14" s="46">
        <v>0</v>
      </c>
      <c r="PV14" s="46">
        <v>0</v>
      </c>
      <c r="PW14" s="46">
        <v>0</v>
      </c>
      <c r="PX14" s="46">
        <v>0</v>
      </c>
      <c r="PY14" s="46">
        <v>0</v>
      </c>
      <c r="PZ14" s="46">
        <v>0</v>
      </c>
      <c r="QA14" s="46">
        <v>0</v>
      </c>
      <c r="QB14" s="46">
        <v>0</v>
      </c>
      <c r="QC14" s="46">
        <v>0</v>
      </c>
      <c r="QD14" s="46">
        <v>223861192</v>
      </c>
      <c r="QE14" s="46">
        <v>0</v>
      </c>
      <c r="QF14" s="46">
        <v>0</v>
      </c>
      <c r="QG14" s="46">
        <v>-25866471</v>
      </c>
      <c r="QH14" s="46">
        <v>0</v>
      </c>
      <c r="QI14" s="46">
        <v>-20799</v>
      </c>
      <c r="QJ14" s="46">
        <v>0</v>
      </c>
      <c r="QK14" s="46">
        <v>357053</v>
      </c>
      <c r="QL14" s="46">
        <v>0</v>
      </c>
      <c r="QM14" s="46">
        <v>0</v>
      </c>
      <c r="QN14" s="46">
        <v>0</v>
      </c>
      <c r="QO14" s="46">
        <v>0</v>
      </c>
      <c r="QP14" s="46">
        <v>0</v>
      </c>
      <c r="QQ14" s="46">
        <v>0</v>
      </c>
      <c r="QR14" s="46">
        <v>0</v>
      </c>
      <c r="QS14" s="46">
        <v>0</v>
      </c>
      <c r="QT14" s="46">
        <v>0</v>
      </c>
      <c r="QU14" s="46">
        <v>0</v>
      </c>
      <c r="QV14" s="46">
        <v>0</v>
      </c>
      <c r="QW14" s="46">
        <v>0</v>
      </c>
      <c r="QX14" s="46">
        <v>0</v>
      </c>
      <c r="QY14" s="46">
        <v>0</v>
      </c>
      <c r="QZ14" s="46">
        <v>0</v>
      </c>
      <c r="RA14" s="46">
        <v>0</v>
      </c>
      <c r="RB14" s="46">
        <v>0</v>
      </c>
      <c r="RC14" s="46">
        <v>0</v>
      </c>
      <c r="RD14" s="46">
        <v>0</v>
      </c>
      <c r="RE14" s="46">
        <v>0</v>
      </c>
      <c r="RF14" s="46">
        <v>0</v>
      </c>
      <c r="RG14" s="46">
        <v>0</v>
      </c>
      <c r="RH14" s="46">
        <v>0</v>
      </c>
      <c r="RI14" s="46">
        <v>0</v>
      </c>
      <c r="RJ14" s="46">
        <v>0</v>
      </c>
      <c r="RK14" s="46">
        <v>0</v>
      </c>
      <c r="RL14" s="46">
        <v>0</v>
      </c>
      <c r="RM14" s="46">
        <v>0</v>
      </c>
      <c r="RN14" s="46">
        <v>0</v>
      </c>
      <c r="RO14" s="46">
        <v>-27968048</v>
      </c>
      <c r="RP14" s="46">
        <v>0</v>
      </c>
      <c r="RQ14" s="46">
        <v>0</v>
      </c>
      <c r="RR14" s="46">
        <v>0</v>
      </c>
      <c r="RS14" s="46">
        <v>0</v>
      </c>
      <c r="RT14" s="46">
        <v>0</v>
      </c>
      <c r="RU14" s="46">
        <v>0</v>
      </c>
      <c r="RV14" s="46">
        <v>0</v>
      </c>
      <c r="RW14" s="46">
        <v>0</v>
      </c>
      <c r="RX14" s="46">
        <v>-50854397</v>
      </c>
      <c r="RY14" s="46">
        <v>0</v>
      </c>
      <c r="RZ14" s="46">
        <v>0</v>
      </c>
      <c r="SA14" s="46">
        <v>0</v>
      </c>
      <c r="SB14" s="46">
        <v>0</v>
      </c>
      <c r="SC14" s="46">
        <v>0</v>
      </c>
      <c r="SD14" s="46">
        <v>0</v>
      </c>
      <c r="SE14" s="46">
        <v>0</v>
      </c>
      <c r="SF14" s="46">
        <v>0</v>
      </c>
      <c r="SG14" s="46">
        <v>0</v>
      </c>
      <c r="SH14" s="46">
        <v>0</v>
      </c>
      <c r="SI14" s="46">
        <v>0</v>
      </c>
      <c r="SJ14" s="46">
        <v>0</v>
      </c>
      <c r="SK14" s="46">
        <v>0</v>
      </c>
      <c r="SL14" s="46">
        <v>0</v>
      </c>
      <c r="SM14" s="46">
        <v>0</v>
      </c>
      <c r="SN14" s="46">
        <v>0</v>
      </c>
      <c r="SO14" s="46">
        <v>0</v>
      </c>
      <c r="SP14" s="46">
        <v>2127000</v>
      </c>
      <c r="SQ14" s="46">
        <v>31200</v>
      </c>
      <c r="SR14" s="46">
        <v>7034971</v>
      </c>
      <c r="SS14" s="46">
        <v>0</v>
      </c>
      <c r="ST14" s="46">
        <v>0</v>
      </c>
      <c r="SU14" s="46">
        <v>0</v>
      </c>
      <c r="SV14" s="46">
        <v>0</v>
      </c>
      <c r="SW14" s="46">
        <v>-748246323</v>
      </c>
      <c r="SX14" s="46">
        <v>0</v>
      </c>
      <c r="SY14" s="46">
        <v>0</v>
      </c>
      <c r="SZ14" s="46">
        <v>0</v>
      </c>
      <c r="TA14" s="46">
        <v>31200</v>
      </c>
      <c r="TB14" s="46">
        <v>0</v>
      </c>
      <c r="TC14" s="46">
        <v>0</v>
      </c>
      <c r="TD14" s="46">
        <v>0</v>
      </c>
      <c r="TE14" s="46">
        <v>0</v>
      </c>
      <c r="TF14" s="46">
        <v>7034971</v>
      </c>
      <c r="TG14" s="46">
        <v>0</v>
      </c>
      <c r="TH14" s="46">
        <v>0</v>
      </c>
      <c r="TI14" s="46">
        <v>0</v>
      </c>
      <c r="TJ14" s="46">
        <v>0</v>
      </c>
      <c r="TK14" s="46">
        <v>0</v>
      </c>
      <c r="TL14" s="46">
        <v>862659</v>
      </c>
      <c r="TM14" s="46">
        <v>0</v>
      </c>
      <c r="TN14" s="46">
        <v>0</v>
      </c>
      <c r="TO14" s="46">
        <v>0</v>
      </c>
      <c r="TP14" s="46">
        <v>0</v>
      </c>
      <c r="TQ14" s="46">
        <v>0</v>
      </c>
      <c r="TR14" s="46">
        <v>0</v>
      </c>
      <c r="TS14" s="46">
        <v>0</v>
      </c>
      <c r="TT14" s="46">
        <v>0</v>
      </c>
      <c r="TU14" s="46">
        <v>247018</v>
      </c>
      <c r="TV14" s="46">
        <v>0</v>
      </c>
      <c r="TW14" s="46">
        <v>0</v>
      </c>
      <c r="TX14" s="46">
        <v>0</v>
      </c>
      <c r="TY14" s="46">
        <v>0</v>
      </c>
      <c r="TZ14" s="46">
        <v>750000</v>
      </c>
      <c r="UA14" s="46">
        <v>0</v>
      </c>
      <c r="UB14" s="46">
        <v>731526</v>
      </c>
      <c r="UC14" s="46">
        <v>0</v>
      </c>
      <c r="UD14" s="46">
        <v>0</v>
      </c>
      <c r="UE14" s="46">
        <v>0</v>
      </c>
      <c r="UF14" s="46">
        <v>2638513</v>
      </c>
      <c r="UG14" s="46">
        <v>1208659</v>
      </c>
      <c r="UH14" s="46">
        <v>0</v>
      </c>
      <c r="UI14" s="46">
        <v>0</v>
      </c>
      <c r="UJ14" s="46">
        <v>0</v>
      </c>
      <c r="UK14" s="46">
        <v>215393779</v>
      </c>
      <c r="UL14" s="46">
        <v>-70704</v>
      </c>
      <c r="UM14" s="46">
        <v>758863</v>
      </c>
      <c r="UN14" s="46">
        <v>572236</v>
      </c>
      <c r="UO14" s="46" t="s">
        <v>106</v>
      </c>
      <c r="UP14" s="46" t="s">
        <v>106</v>
      </c>
      <c r="UQ14" s="46"/>
      <c r="UR14" s="46"/>
      <c r="US14" s="8" t="s">
        <v>742</v>
      </c>
      <c r="UT14" s="47">
        <v>9798459761</v>
      </c>
      <c r="UU14" s="8" t="s">
        <v>71</v>
      </c>
      <c r="UV14" s="8" t="s">
        <v>783</v>
      </c>
      <c r="UW14" s="47" t="s">
        <v>1252</v>
      </c>
      <c r="UX14" s="8" t="s">
        <v>784</v>
      </c>
      <c r="UY14" s="51" t="str" cm="1">
        <f t="array" ref="UY14">IFERROR(_xlfn.IFS(Input[[#This Row],[Type]]="HRI",SUMIFS('FTSE | FTFE'!$P$8:$P$77,'FTSE | FTFE'!$H$8:$H$77,A14),Input[[#This Row],[Type]]="UNIV",SUMIFS('FTSE | FTFE'!$P$104:$P$139,'FTSE | FTFE'!$H$104:$H$139,A14),OR(Input[[#This Row],[Type]]="TSTC",Input[[#This Row],[Type]]="LSC"),SUMIFS('FTSE | FTFE'!$O$88:$O$96,'FTSE | FTFE'!$H$88:$H$96,A14),Input[[#This Row],[Type]]="AHM",SUMIFS(Hidden!$H$42:$H$45,Hidden!$G$42:$G$45,A14)),"N/A")</f>
        <v>N/A</v>
      </c>
      <c r="UZ14" s="51" t="str" cm="1">
        <f t="array" ref="UZ14">IFERROR(_xlfn.IFS(Input[[#This Row],[Type]]="HRI",SUMIFS('FTSE | FTFE'!$Q$8:$Q$77,'FTSE | FTFE'!$H$8:$H$77,A14),Input[[#This Row],[Type]]="UNIV",SUMIFS('FTSE | FTFE'!$Q$104:$Q$139,'FTSE | FTFE'!$H$104:$H$139,A14),OR(Input[[#This Row],[Type]]="TSTC",Input[[#This Row],[Type]]="LSC"),SUMIFS('FTSE | FTFE'!$P$88:$P$96,'FTSE | FTFE'!$H$88:$H$96,A14)),"N/A")</f>
        <v>N/A</v>
      </c>
      <c r="VA1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265843050</v>
      </c>
      <c r="VB1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673927705</v>
      </c>
      <c r="VC14" s="46">
        <f>SUM(Input[[#This Row],[Fed G&amp;C E&amp;G]],Input[[#This Row],[Fed G&amp;C Desg]],Input[[#This Row],[Fed G&amp;C R Exp]],Input[[#This Row],[Fed G&amp;C Loan]],Input[[#This Row],[Fed G&amp;C Annuity]],Input[[#This Row],[Fed G&amp;C Unexp]],Input[[#This Row],[Fed G&amp;C R of Ind]],Input[[#This Row],[Fed G&amp;C Inv in P]])</f>
        <v>31366361</v>
      </c>
      <c r="VD1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280603525</v>
      </c>
      <c r="VE1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1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14" s="46">
        <f>SUM(Input[[#This Row],[Oth Inc E&amp;G]],Input[[#This Row],[Oth Exp Desg]],Input[[#This Row],[Oth Exp R Exp]],Input[[#This Row],[Oth Exp Loan]],Input[[#This Row],[Oth Exp Annuity]],Input[[#This Row],[Oth Exp Unexp]],Input[[#This Row],[Oth Exp R of Ind]],Input[[#This Row],[Oth Exp Inv in P]])</f>
        <v>226860046</v>
      </c>
      <c r="VH14" s="46">
        <f>SUM(Input[[#This Row],[Instr E&amp;G]],Input[[#This Row],[Instr Desg]],Input[[#This Row],[Instr R Exp]],Input[[#This Row],[Instr Loan]],Input[[#This Row],[Instr Annuity]],Input[[#This Row],[Instr Unexp]],Input[[#This Row],[Instr R of Ind]],Input[[#This Row],[Instr Inv in P]])</f>
        <v>0</v>
      </c>
      <c r="VI14" s="46">
        <f>SUM(Input[[#This Row],[Res E&amp;G]],Input[[#This Row],[Res Desg]],Input[[#This Row],[Res R Exp]],Input[[#This Row],[Res Loan]],Input[[#This Row],[Res Annuity]],Input[[#This Row],[Res Unexp]],Input[[#This Row],[Res R of Ind]],Input[[#This Row],[Res Inv in P]])</f>
        <v>2638513</v>
      </c>
      <c r="VJ14" s="46">
        <f>SUM(Input[[#This Row],[Acad Sup E&amp;G]],Input[[#This Row],[Acad Sup Desg]],Input[[#This Row],[Acad Sup R Exp]],Input[[#This Row],[Acad Sup Loan]],Input[[#This Row],[Acad Sup Annuity]],Input[[#This Row],[Acad Sup Unexp]],Input[[#This Row],[Acad Sup R of Ind]],Input[[#This Row],[Acad Sup Inv in P]])</f>
        <v>0</v>
      </c>
      <c r="VK14" s="46">
        <f>SUM(Input[[#This Row],[Stu Svc E&amp;G]],Input[[#This Row],[Stu Svc Desg]],Input[[#This Row],[Stu Svc R Exp]],Input[[#This Row],[Stu Svc Loan]],Input[[#This Row],[Stu Svc Annuity]],Input[[#This Row],[Stu Svc Unexp]],Input[[#This Row],[Stu Svc R of Ind]],Input[[#This Row],[Stu Svc Inv in P]])</f>
        <v>0</v>
      </c>
      <c r="VL14" s="46">
        <f>SUM(Input[[#This Row],[Inst. Spt E&amp;G]],Input[[#This Row],[Inst. Spt Desg]],Input[[#This Row],[Inst. Spt R Exp]],Input[[#This Row],[Inst. Spt Loan]],Input[[#This Row],[Inst. Spt Annuity]],Input[[#This Row],[Inst. Spt Unexp]],Input[[#This Row],[Inst. Spt R of Ind]],Input[[#This Row],[Inst. Spt Inv in P]])</f>
        <v>215393779</v>
      </c>
      <c r="VM14" s="46">
        <f>SUM(Input[[#This Row],[M&amp;O Plnt E&amp;G]],Input[[#This Row],[M&amp;O Plnt Desg]],Input[[#This Row],[M&amp;O Plnt R Exp]],Input[[#This Row],[M&amp;O Plnt Loan]],Input[[#This Row],[M&amp;O Plnt Annuity]],Input[[#This Row],[M&amp;O Plnt Unexp]],Input[[#This Row],[M&amp;O Plnt R of Ind]],Input[[#This Row],[M&amp;O Plnt Inv in P]])</f>
        <v>-70704</v>
      </c>
      <c r="VN14" s="46">
        <f>SUM(Input[[#This Row],[Schl &amp; Fell E&amp;G]],Input[[#This Row],[Schl &amp; Fell Desg]],Input[[#This Row],[Schl &amp; Fell R Exp]],Input[[#This Row],[Schl &amp; Fell Loan]],Input[[#This Row],[Schl &amp; Fell Annuity]],Input[[#This Row],[Schl &amp; Fell Unexp]],Input[[#This Row],[Schl &amp; Fell R of Ind]],Input[[#This Row],[Schl &amp; Fell Inv in P]])</f>
        <v>758863</v>
      </c>
      <c r="VO14" s="46">
        <f>SUM(Input[[#This Row],[Cap Out fund E&amp;G]],Input[[#This Row],[Cap Out fund Desg]],Input[[#This Row],[Cap Out fund R Exp]],Input[[#This Row],[Cap Out fund Loan]],Input[[#This Row],[Cap Out fund Annuity]],Input[[#This Row],[Cap Out fund Unexp]],Input[[#This Row],[Cap Out fund R of Ind]],Input[[#This Row],[Cap Out fund Inv in P]])</f>
        <v>7066171</v>
      </c>
      <c r="VP14" s="46">
        <f>SUM(Input[[#This Row],[Oth Exp E&amp;G]],Input[[#This Row],[Oth Exp Desg]],Input[[#This Row],[Oth Exp R Exp]],Input[[#This Row],[Oth Exp Loan]],Input[[#This Row],[Oth Exp Annuity]],Input[[#This Row],[Oth Exp Unexp]],Input[[#This Row],[Oth Exp R of Ind]],Input[[#This Row],[Oth Exp Inv in P]],Input[[#This Row],[Oth Exp Inv in P]])</f>
        <v>226864515</v>
      </c>
    </row>
    <row r="15" spans="1:588" ht="30" customHeight="1" x14ac:dyDescent="0.3">
      <c r="A15" s="15" t="s">
        <v>4</v>
      </c>
      <c r="B15" s="36" t="s">
        <v>111</v>
      </c>
      <c r="C15" s="36" t="s">
        <v>110</v>
      </c>
      <c r="D15" s="36">
        <v>201</v>
      </c>
      <c r="E15" s="36" t="s">
        <v>132</v>
      </c>
      <c r="F15" s="95" cm="1">
        <f t="array" ref="F15">IFERROR(_xlfn.IFS(Input[[#This Row],[Type]]="HRI",SUMIFS('FTSE | FTFE'!$I$8:$I$77,'FTSE | FTFE'!$H$8:$H$77,A15),Input[[#This Row],[Type]]="UNIV",SUMIFS('FTSE | FTFE'!$I$104:$I$139,'FTSE | FTFE'!$H$104:$H$139,A15),OR(Input[[#This Row],[Type]]="TSTC",Input[[#This Row],[Type]]="LSC"),SUMIFS('FTSE | FTFE'!$I$88:$I$96,'FTSE | FTFE'!$H$88:$H$96,A15)),"N/A")</f>
        <v>3632</v>
      </c>
      <c r="G15" s="46">
        <v>506048290</v>
      </c>
      <c r="H15" s="46">
        <v>0</v>
      </c>
      <c r="I15" s="46">
        <v>0</v>
      </c>
      <c r="J15" s="46">
        <v>0</v>
      </c>
      <c r="K15" s="46">
        <v>0</v>
      </c>
      <c r="L15" s="46">
        <v>0</v>
      </c>
      <c r="M15" s="46">
        <v>0</v>
      </c>
      <c r="N15" s="46">
        <v>0</v>
      </c>
      <c r="O15" s="46">
        <v>0</v>
      </c>
      <c r="P15" s="46">
        <v>36760427</v>
      </c>
      <c r="Q15" s="46">
        <v>482681</v>
      </c>
      <c r="R15" s="46">
        <v>0</v>
      </c>
      <c r="S15" s="46">
        <v>19063558</v>
      </c>
      <c r="T15" s="46">
        <v>0</v>
      </c>
      <c r="U15" s="46">
        <v>0</v>
      </c>
      <c r="V15" s="46">
        <v>0</v>
      </c>
      <c r="W15" s="46">
        <v>0</v>
      </c>
      <c r="X15" s="46">
        <v>0</v>
      </c>
      <c r="Y15" s="46">
        <v>0</v>
      </c>
      <c r="Z15" s="46">
        <v>0</v>
      </c>
      <c r="AA15" s="46">
        <v>0</v>
      </c>
      <c r="AB15" s="46">
        <v>0</v>
      </c>
      <c r="AC15" s="46">
        <v>0</v>
      </c>
      <c r="AD15" s="46">
        <v>0</v>
      </c>
      <c r="AE15" s="46">
        <v>0</v>
      </c>
      <c r="AF15" s="46">
        <v>0</v>
      </c>
      <c r="AG15" s="46">
        <v>0</v>
      </c>
      <c r="AH15" s="46">
        <v>102495488</v>
      </c>
      <c r="AI15" s="46">
        <v>156804799</v>
      </c>
      <c r="AJ15" s="46">
        <v>0</v>
      </c>
      <c r="AK15" s="46">
        <v>0</v>
      </c>
      <c r="AL15" s="46">
        <v>0</v>
      </c>
      <c r="AM15" s="46">
        <v>0</v>
      </c>
      <c r="AN15" s="46">
        <v>0</v>
      </c>
      <c r="AO15" s="46">
        <v>0</v>
      </c>
      <c r="AP15" s="46">
        <v>0</v>
      </c>
      <c r="AQ15" s="46">
        <v>-54474715</v>
      </c>
      <c r="AR15" s="46">
        <v>-29419432</v>
      </c>
      <c r="AS15" s="46">
        <v>0</v>
      </c>
      <c r="AT15" s="46">
        <v>0</v>
      </c>
      <c r="AU15" s="46">
        <v>0</v>
      </c>
      <c r="AV15" s="46">
        <v>0</v>
      </c>
      <c r="AW15" s="46">
        <v>0</v>
      </c>
      <c r="AX15" s="46">
        <v>0</v>
      </c>
      <c r="AY15" s="46">
        <v>0</v>
      </c>
      <c r="AZ15" s="46">
        <v>-9840</v>
      </c>
      <c r="BA15" s="46">
        <v>-12516</v>
      </c>
      <c r="BB15" s="46">
        <v>0</v>
      </c>
      <c r="BC15" s="46">
        <v>0</v>
      </c>
      <c r="BD15" s="46">
        <v>0</v>
      </c>
      <c r="BE15" s="46">
        <v>0</v>
      </c>
      <c r="BF15" s="46">
        <v>0</v>
      </c>
      <c r="BG15" s="46">
        <v>0</v>
      </c>
      <c r="BH15" s="46">
        <v>0</v>
      </c>
      <c r="BI15" s="46">
        <v>0</v>
      </c>
      <c r="BJ15" s="46">
        <v>0</v>
      </c>
      <c r="BK15" s="46">
        <v>0</v>
      </c>
      <c r="BL15" s="46">
        <v>0</v>
      </c>
      <c r="BM15" s="46">
        <v>0</v>
      </c>
      <c r="BN15" s="46">
        <v>0</v>
      </c>
      <c r="BO15" s="46">
        <v>0</v>
      </c>
      <c r="BP15" s="46">
        <v>0</v>
      </c>
      <c r="BQ15" s="46">
        <v>0</v>
      </c>
      <c r="BR15" s="46">
        <v>0</v>
      </c>
      <c r="BS15" s="46">
        <v>0</v>
      </c>
      <c r="BT15" s="46">
        <v>0</v>
      </c>
      <c r="BU15" s="46">
        <v>0</v>
      </c>
      <c r="BV15" s="46">
        <v>0</v>
      </c>
      <c r="BW15" s="46">
        <v>0</v>
      </c>
      <c r="BX15" s="46">
        <v>0</v>
      </c>
      <c r="BY15" s="46">
        <v>0</v>
      </c>
      <c r="BZ15" s="46">
        <v>0</v>
      </c>
      <c r="CA15" s="46">
        <v>136493130</v>
      </c>
      <c r="CB15" s="46">
        <v>526750185</v>
      </c>
      <c r="CC15" s="46">
        <v>0</v>
      </c>
      <c r="CD15" s="46">
        <v>0</v>
      </c>
      <c r="CE15" s="46">
        <v>0</v>
      </c>
      <c r="CF15" s="46">
        <v>0</v>
      </c>
      <c r="CG15" s="46">
        <v>0</v>
      </c>
      <c r="CH15" s="46">
        <v>0</v>
      </c>
      <c r="CI15" s="46">
        <v>0</v>
      </c>
      <c r="CJ15" s="46">
        <v>0</v>
      </c>
      <c r="CK15" s="46">
        <v>0</v>
      </c>
      <c r="CL15" s="46">
        <v>0</v>
      </c>
      <c r="CM15" s="46">
        <v>0</v>
      </c>
      <c r="CN15" s="46">
        <v>0</v>
      </c>
      <c r="CO15" s="46">
        <v>0</v>
      </c>
      <c r="CP15" s="46">
        <v>0</v>
      </c>
      <c r="CQ15" s="46">
        <v>0</v>
      </c>
      <c r="CR15" s="46">
        <v>0</v>
      </c>
      <c r="CS15" s="46">
        <v>0</v>
      </c>
      <c r="CT15" s="46">
        <v>0</v>
      </c>
      <c r="CU15" s="46">
        <v>0</v>
      </c>
      <c r="CV15" s="46">
        <v>0</v>
      </c>
      <c r="CW15" s="46">
        <v>0</v>
      </c>
      <c r="CX15" s="46">
        <v>0</v>
      </c>
      <c r="CY15" s="46">
        <v>0</v>
      </c>
      <c r="CZ15" s="46">
        <v>0</v>
      </c>
      <c r="DA15" s="46">
        <v>0</v>
      </c>
      <c r="DB15" s="46">
        <v>-4372103</v>
      </c>
      <c r="DC15" s="46">
        <v>-21996767</v>
      </c>
      <c r="DD15" s="46">
        <v>0</v>
      </c>
      <c r="DE15" s="46">
        <v>0</v>
      </c>
      <c r="DF15" s="46">
        <v>0</v>
      </c>
      <c r="DG15" s="46">
        <v>0</v>
      </c>
      <c r="DH15" s="46">
        <v>0</v>
      </c>
      <c r="DI15" s="46">
        <v>0</v>
      </c>
      <c r="DJ15" s="46">
        <v>0</v>
      </c>
      <c r="DK15" s="46">
        <v>0</v>
      </c>
      <c r="DL15" s="46">
        <v>0</v>
      </c>
      <c r="DM15" s="46">
        <v>0</v>
      </c>
      <c r="DN15" s="46">
        <v>0</v>
      </c>
      <c r="DO15" s="46">
        <v>0</v>
      </c>
      <c r="DP15" s="46">
        <v>0</v>
      </c>
      <c r="DQ15" s="46">
        <v>0</v>
      </c>
      <c r="DR15" s="46">
        <v>0</v>
      </c>
      <c r="DS15" s="46">
        <v>0</v>
      </c>
      <c r="DT15" s="46">
        <v>-35764357</v>
      </c>
      <c r="DU15" s="46">
        <v>-132743301</v>
      </c>
      <c r="DV15" s="46">
        <v>0</v>
      </c>
      <c r="DW15" s="46">
        <v>0</v>
      </c>
      <c r="DX15" s="46">
        <v>0</v>
      </c>
      <c r="DY15" s="46">
        <v>0</v>
      </c>
      <c r="DZ15" s="46">
        <v>0</v>
      </c>
      <c r="EA15" s="46">
        <v>0</v>
      </c>
      <c r="EB15" s="46">
        <v>0</v>
      </c>
      <c r="EC15" s="46">
        <v>0</v>
      </c>
      <c r="ED15" s="46">
        <v>-825747</v>
      </c>
      <c r="EE15" s="46">
        <v>0</v>
      </c>
      <c r="EF15" s="46">
        <v>0</v>
      </c>
      <c r="EG15" s="46">
        <v>0</v>
      </c>
      <c r="EH15" s="46">
        <v>0</v>
      </c>
      <c r="EI15" s="46">
        <v>0</v>
      </c>
      <c r="EJ15" s="46">
        <v>0</v>
      </c>
      <c r="EK15" s="46">
        <v>0</v>
      </c>
      <c r="EL15" s="46">
        <v>0</v>
      </c>
      <c r="EM15" s="46">
        <v>0</v>
      </c>
      <c r="EN15" s="46">
        <v>0</v>
      </c>
      <c r="EO15" s="46">
        <v>0</v>
      </c>
      <c r="EP15" s="46">
        <v>0</v>
      </c>
      <c r="EQ15" s="46">
        <v>0</v>
      </c>
      <c r="ER15" s="46">
        <v>0</v>
      </c>
      <c r="ES15" s="46">
        <v>0</v>
      </c>
      <c r="ET15" s="46">
        <v>0</v>
      </c>
      <c r="EU15" s="46">
        <v>0</v>
      </c>
      <c r="EV15" s="46">
        <v>0</v>
      </c>
      <c r="EW15" s="46">
        <v>0</v>
      </c>
      <c r="EX15" s="46">
        <v>0</v>
      </c>
      <c r="EY15" s="46">
        <v>0</v>
      </c>
      <c r="EZ15" s="46">
        <v>0</v>
      </c>
      <c r="FA15" s="46">
        <v>0</v>
      </c>
      <c r="FB15" s="46">
        <v>0</v>
      </c>
      <c r="FC15" s="46">
        <v>0</v>
      </c>
      <c r="FD15" s="46">
        <v>0</v>
      </c>
      <c r="FE15" s="46">
        <v>0</v>
      </c>
      <c r="FF15" s="46">
        <v>0</v>
      </c>
      <c r="FG15" s="46">
        <v>0</v>
      </c>
      <c r="FH15" s="46">
        <v>0</v>
      </c>
      <c r="FI15" s="46">
        <v>0</v>
      </c>
      <c r="FJ15" s="46">
        <v>0</v>
      </c>
      <c r="FK15" s="46">
        <v>0</v>
      </c>
      <c r="FL15" s="46">
        <v>0</v>
      </c>
      <c r="FM15" s="46">
        <v>685840</v>
      </c>
      <c r="FN15" s="46">
        <v>351214358</v>
      </c>
      <c r="FO15" s="46">
        <v>45040080</v>
      </c>
      <c r="FP15" s="46">
        <v>0</v>
      </c>
      <c r="FQ15" s="46">
        <v>0</v>
      </c>
      <c r="FR15" s="46">
        <v>0</v>
      </c>
      <c r="FS15" s="46">
        <v>0</v>
      </c>
      <c r="FT15" s="46">
        <v>0</v>
      </c>
      <c r="FU15" s="46">
        <v>0</v>
      </c>
      <c r="FV15" s="46">
        <v>0</v>
      </c>
      <c r="FW15" s="46">
        <v>0</v>
      </c>
      <c r="FX15" s="46">
        <v>0</v>
      </c>
      <c r="FY15" s="46">
        <v>0</v>
      </c>
      <c r="FZ15" s="46">
        <v>0</v>
      </c>
      <c r="GA15" s="46">
        <v>0</v>
      </c>
      <c r="GB15" s="46">
        <v>0</v>
      </c>
      <c r="GC15" s="46">
        <v>0</v>
      </c>
      <c r="GD15" s="46">
        <v>0</v>
      </c>
      <c r="GE15" s="46">
        <v>0</v>
      </c>
      <c r="GF15" s="46">
        <v>0</v>
      </c>
      <c r="GG15" s="46">
        <v>0</v>
      </c>
      <c r="GH15" s="46">
        <v>0</v>
      </c>
      <c r="GI15" s="46">
        <v>0</v>
      </c>
      <c r="GJ15" s="46">
        <v>0</v>
      </c>
      <c r="GK15" s="46">
        <v>0</v>
      </c>
      <c r="GL15" s="46">
        <v>0</v>
      </c>
      <c r="GM15" s="46">
        <v>0</v>
      </c>
      <c r="GN15" s="46">
        <v>-2808</v>
      </c>
      <c r="GO15" s="46">
        <v>-11924848</v>
      </c>
      <c r="GP15" s="46">
        <v>-1594542</v>
      </c>
      <c r="GQ15" s="46">
        <v>0</v>
      </c>
      <c r="GR15" s="46">
        <v>0</v>
      </c>
      <c r="GS15" s="46">
        <v>0</v>
      </c>
      <c r="GT15" s="46">
        <v>0</v>
      </c>
      <c r="GU15" s="46">
        <v>0</v>
      </c>
      <c r="GV15" s="46">
        <v>0</v>
      </c>
      <c r="GW15" s="46">
        <v>0</v>
      </c>
      <c r="GX15" s="46">
        <v>0</v>
      </c>
      <c r="GY15" s="46">
        <v>-90718</v>
      </c>
      <c r="GZ15" s="46">
        <v>0</v>
      </c>
      <c r="HA15" s="46">
        <v>0</v>
      </c>
      <c r="HB15" s="46">
        <v>0</v>
      </c>
      <c r="HC15" s="46">
        <v>0</v>
      </c>
      <c r="HD15" s="46">
        <v>0</v>
      </c>
      <c r="HE15" s="46">
        <v>0</v>
      </c>
      <c r="HF15" s="46">
        <v>-199692</v>
      </c>
      <c r="HG15" s="46">
        <v>-91272399</v>
      </c>
      <c r="HH15" s="46">
        <v>-11617957</v>
      </c>
      <c r="HI15" s="46">
        <v>0</v>
      </c>
      <c r="HJ15" s="46">
        <v>0</v>
      </c>
      <c r="HK15" s="46">
        <v>0</v>
      </c>
      <c r="HL15" s="46">
        <v>0</v>
      </c>
      <c r="HM15" s="46">
        <v>0</v>
      </c>
      <c r="HN15" s="46">
        <v>0</v>
      </c>
      <c r="HO15" s="46">
        <v>0</v>
      </c>
      <c r="HP15" s="46">
        <v>32440930</v>
      </c>
      <c r="HQ15" s="46">
        <v>0</v>
      </c>
      <c r="HR15" s="46">
        <v>201902496</v>
      </c>
      <c r="HS15" s="46">
        <v>0</v>
      </c>
      <c r="HT15" s="46">
        <v>0</v>
      </c>
      <c r="HU15" s="46">
        <v>0</v>
      </c>
      <c r="HV15" s="46">
        <v>0</v>
      </c>
      <c r="HW15" s="46">
        <v>0</v>
      </c>
      <c r="HX15" s="46">
        <v>0</v>
      </c>
      <c r="HY15" s="46">
        <v>0</v>
      </c>
      <c r="HZ15" s="46">
        <v>0</v>
      </c>
      <c r="IA15" s="46">
        <v>0</v>
      </c>
      <c r="IB15" s="46">
        <v>0</v>
      </c>
      <c r="IC15" s="46">
        <v>0</v>
      </c>
      <c r="ID15" s="46">
        <v>0</v>
      </c>
      <c r="IE15" s="46">
        <v>0</v>
      </c>
      <c r="IF15" s="46">
        <v>0</v>
      </c>
      <c r="IG15" s="46">
        <v>0</v>
      </c>
      <c r="IH15" s="46">
        <v>0</v>
      </c>
      <c r="II15" s="46">
        <v>0</v>
      </c>
      <c r="IJ15" s="46">
        <v>0</v>
      </c>
      <c r="IK15" s="46">
        <v>0</v>
      </c>
      <c r="IL15" s="46">
        <v>0</v>
      </c>
      <c r="IM15" s="46">
        <v>0</v>
      </c>
      <c r="IN15" s="46">
        <v>0</v>
      </c>
      <c r="IO15" s="46">
        <v>0</v>
      </c>
      <c r="IP15" s="46">
        <v>4743727</v>
      </c>
      <c r="IQ15" s="46">
        <v>154624833</v>
      </c>
      <c r="IR15" s="46">
        <v>9695542</v>
      </c>
      <c r="IS15" s="46">
        <v>3068053</v>
      </c>
      <c r="IT15" s="46">
        <v>47753</v>
      </c>
      <c r="IU15" s="46">
        <v>24978</v>
      </c>
      <c r="IV15" s="46">
        <v>1123927</v>
      </c>
      <c r="IW15" s="46">
        <v>0</v>
      </c>
      <c r="IX15" s="46">
        <v>0</v>
      </c>
      <c r="IY15" s="46">
        <v>0</v>
      </c>
      <c r="IZ15" s="46">
        <v>18999</v>
      </c>
      <c r="JA15" s="46">
        <v>0</v>
      </c>
      <c r="JB15" s="46">
        <v>101979</v>
      </c>
      <c r="JC15" s="46">
        <v>0</v>
      </c>
      <c r="JD15" s="46">
        <v>0</v>
      </c>
      <c r="JE15" s="46">
        <v>0</v>
      </c>
      <c r="JF15" s="46">
        <v>0</v>
      </c>
      <c r="JG15" s="46">
        <v>0</v>
      </c>
      <c r="JH15" s="46">
        <v>0</v>
      </c>
      <c r="JI15" s="46">
        <v>9067368</v>
      </c>
      <c r="JJ15" s="46">
        <v>29953503</v>
      </c>
      <c r="JK15" s="46">
        <v>245131970</v>
      </c>
      <c r="JL15" s="46">
        <v>449830</v>
      </c>
      <c r="JM15" s="46">
        <v>0</v>
      </c>
      <c r="JN15" s="46">
        <v>0</v>
      </c>
      <c r="JO15" s="46">
        <v>0</v>
      </c>
      <c r="JP15" s="46">
        <v>0</v>
      </c>
      <c r="JQ15" s="46">
        <v>51100450</v>
      </c>
      <c r="JR15" s="46">
        <v>155267953</v>
      </c>
      <c r="JS15" s="46">
        <v>0</v>
      </c>
      <c r="JT15" s="46">
        <v>1746112</v>
      </c>
      <c r="JU15" s="46">
        <v>0</v>
      </c>
      <c r="JV15" s="46">
        <v>0</v>
      </c>
      <c r="JW15" s="46">
        <v>0</v>
      </c>
      <c r="JX15" s="46">
        <v>0</v>
      </c>
      <c r="JY15" s="46">
        <v>0</v>
      </c>
      <c r="JZ15" s="46">
        <v>0</v>
      </c>
      <c r="KA15" s="46">
        <v>0</v>
      </c>
      <c r="KB15" s="46">
        <v>283273709</v>
      </c>
      <c r="KC15" s="46">
        <v>0</v>
      </c>
      <c r="KD15" s="46">
        <v>0</v>
      </c>
      <c r="KE15" s="46">
        <v>0</v>
      </c>
      <c r="KF15" s="46">
        <v>0</v>
      </c>
      <c r="KG15" s="46">
        <v>0</v>
      </c>
      <c r="KH15" s="46">
        <v>0</v>
      </c>
      <c r="KI15" s="46">
        <v>319762</v>
      </c>
      <c r="KJ15" s="46">
        <v>45842761</v>
      </c>
      <c r="KK15" s="46">
        <v>6458550</v>
      </c>
      <c r="KL15" s="46">
        <v>919710</v>
      </c>
      <c r="KM15" s="46">
        <v>1637050</v>
      </c>
      <c r="KN15" s="46">
        <v>0</v>
      </c>
      <c r="KO15" s="46">
        <v>0</v>
      </c>
      <c r="KP15" s="46">
        <v>0</v>
      </c>
      <c r="KQ15" s="46">
        <v>-1720687</v>
      </c>
      <c r="KR15" s="46">
        <v>536811052</v>
      </c>
      <c r="KS15" s="46">
        <v>186971262</v>
      </c>
      <c r="KT15" s="46">
        <v>0</v>
      </c>
      <c r="KU15" s="46">
        <v>41090454</v>
      </c>
      <c r="KV15" s="46">
        <v>0</v>
      </c>
      <c r="KW15" s="46">
        <v>0</v>
      </c>
      <c r="KX15" s="46">
        <v>0</v>
      </c>
      <c r="KY15" s="46">
        <v>0</v>
      </c>
      <c r="KZ15" s="46">
        <v>0</v>
      </c>
      <c r="LA15" s="46">
        <v>25686283</v>
      </c>
      <c r="LB15" s="46">
        <v>119747576</v>
      </c>
      <c r="LC15" s="46">
        <v>0</v>
      </c>
      <c r="LD15" s="46">
        <v>169534550</v>
      </c>
      <c r="LE15" s="46">
        <v>0</v>
      </c>
      <c r="LF15" s="46">
        <v>0</v>
      </c>
      <c r="LG15" s="46">
        <v>462881</v>
      </c>
      <c r="LH15" s="46">
        <v>0</v>
      </c>
      <c r="LI15" s="46">
        <v>0</v>
      </c>
      <c r="LJ15" s="46">
        <v>3713850</v>
      </c>
      <c r="LK15" s="46">
        <v>24529784</v>
      </c>
      <c r="LL15" s="46">
        <v>0</v>
      </c>
      <c r="LM15" s="46">
        <v>8297721</v>
      </c>
      <c r="LN15" s="46">
        <v>0</v>
      </c>
      <c r="LO15" s="46">
        <v>0</v>
      </c>
      <c r="LP15" s="46">
        <v>0</v>
      </c>
      <c r="LQ15" s="46">
        <v>0</v>
      </c>
      <c r="LR15" s="46">
        <v>0</v>
      </c>
      <c r="LS15" s="46">
        <v>0</v>
      </c>
      <c r="LT15" s="46">
        <v>0</v>
      </c>
      <c r="LU15" s="46">
        <v>0</v>
      </c>
      <c r="LV15" s="46">
        <v>0</v>
      </c>
      <c r="LW15" s="46">
        <v>0</v>
      </c>
      <c r="LX15" s="46">
        <v>0</v>
      </c>
      <c r="LY15" s="46">
        <v>0</v>
      </c>
      <c r="LZ15" s="46">
        <v>0</v>
      </c>
      <c r="MA15" s="46">
        <v>0</v>
      </c>
      <c r="MB15" s="46">
        <v>113992442</v>
      </c>
      <c r="MC15" s="46">
        <v>217912886</v>
      </c>
      <c r="MD15" s="46">
        <v>0</v>
      </c>
      <c r="ME15" s="46">
        <v>40787248</v>
      </c>
      <c r="MF15" s="46">
        <v>0</v>
      </c>
      <c r="MG15" s="46">
        <v>0</v>
      </c>
      <c r="MH15" s="46">
        <v>0</v>
      </c>
      <c r="MI15" s="46">
        <v>0</v>
      </c>
      <c r="MJ15" s="46">
        <v>0</v>
      </c>
      <c r="MK15" s="46">
        <v>19826708</v>
      </c>
      <c r="ML15" s="46">
        <v>82852802</v>
      </c>
      <c r="MM15" s="46">
        <v>0</v>
      </c>
      <c r="MN15" s="46">
        <v>7439227</v>
      </c>
      <c r="MO15" s="46">
        <v>1309189</v>
      </c>
      <c r="MP15" s="46">
        <v>0</v>
      </c>
      <c r="MQ15" s="46">
        <v>0</v>
      </c>
      <c r="MR15" s="46">
        <v>0</v>
      </c>
      <c r="MS15" s="46">
        <v>0</v>
      </c>
      <c r="MT15" s="46">
        <v>46799796</v>
      </c>
      <c r="MU15" s="46">
        <v>83003699</v>
      </c>
      <c r="MV15" s="46">
        <v>0</v>
      </c>
      <c r="MW15" s="46">
        <v>2074512</v>
      </c>
      <c r="MX15" s="46">
        <v>0</v>
      </c>
      <c r="MY15" s="46">
        <v>0</v>
      </c>
      <c r="MZ15" s="46">
        <v>0</v>
      </c>
      <c r="NA15" s="46">
        <v>0</v>
      </c>
      <c r="NB15" s="46">
        <v>0</v>
      </c>
      <c r="NC15" s="46">
        <v>71986793</v>
      </c>
      <c r="ND15" s="46">
        <v>83540511</v>
      </c>
      <c r="NE15" s="46">
        <v>0</v>
      </c>
      <c r="NF15" s="46">
        <v>4081213</v>
      </c>
      <c r="NG15" s="46">
        <v>0</v>
      </c>
      <c r="NH15" s="46">
        <v>0</v>
      </c>
      <c r="NI15" s="46">
        <v>68270387</v>
      </c>
      <c r="NJ15" s="46">
        <v>0</v>
      </c>
      <c r="NK15" s="46">
        <v>0</v>
      </c>
      <c r="NL15" s="46">
        <v>8211414</v>
      </c>
      <c r="NM15" s="46">
        <v>51722674</v>
      </c>
      <c r="NN15" s="46">
        <v>0</v>
      </c>
      <c r="NO15" s="46">
        <v>25306065</v>
      </c>
      <c r="NP15" s="46">
        <v>0</v>
      </c>
      <c r="NQ15" s="46">
        <v>0</v>
      </c>
      <c r="NR15" s="46">
        <v>0</v>
      </c>
      <c r="NS15" s="46">
        <v>0</v>
      </c>
      <c r="NT15" s="46">
        <v>0</v>
      </c>
      <c r="NU15" s="46">
        <v>0</v>
      </c>
      <c r="NV15" s="46">
        <v>0</v>
      </c>
      <c r="NW15" s="46">
        <v>311948952</v>
      </c>
      <c r="NX15" s="46">
        <v>0</v>
      </c>
      <c r="NY15" s="46">
        <v>0</v>
      </c>
      <c r="NZ15" s="46">
        <v>0</v>
      </c>
      <c r="OA15" s="46">
        <v>0</v>
      </c>
      <c r="OB15" s="46">
        <v>0</v>
      </c>
      <c r="OC15" s="46">
        <v>0</v>
      </c>
      <c r="OD15" s="46">
        <v>973140</v>
      </c>
      <c r="OE15" s="46">
        <v>24180881</v>
      </c>
      <c r="OF15" s="46">
        <v>4691147</v>
      </c>
      <c r="OG15" s="46">
        <v>13305548</v>
      </c>
      <c r="OH15" s="46">
        <v>0</v>
      </c>
      <c r="OI15" s="46">
        <v>0</v>
      </c>
      <c r="OJ15" s="46">
        <v>0</v>
      </c>
      <c r="OK15" s="46">
        <v>0</v>
      </c>
      <c r="OL15" s="46">
        <v>0</v>
      </c>
      <c r="OM15" s="46">
        <v>854431</v>
      </c>
      <c r="ON15" s="46">
        <v>7760894</v>
      </c>
      <c r="OO15" s="46">
        <v>4232401</v>
      </c>
      <c r="OP15" s="46">
        <v>1469874</v>
      </c>
      <c r="OQ15" s="46">
        <v>0</v>
      </c>
      <c r="OR15" s="46">
        <v>0</v>
      </c>
      <c r="OS15" s="46">
        <v>2651</v>
      </c>
      <c r="OT15" s="46">
        <v>0</v>
      </c>
      <c r="OU15" s="46">
        <v>1662159</v>
      </c>
      <c r="OV15" s="46">
        <v>0</v>
      </c>
      <c r="OW15" s="46">
        <v>0</v>
      </c>
      <c r="OX15" s="46">
        <v>0</v>
      </c>
      <c r="OY15" s="46">
        <v>0</v>
      </c>
      <c r="OZ15" s="46">
        <v>0</v>
      </c>
      <c r="PA15" s="46">
        <v>0</v>
      </c>
      <c r="PB15" s="46">
        <v>91817186</v>
      </c>
      <c r="PC15" s="46">
        <v>0</v>
      </c>
      <c r="PD15" s="46">
        <v>0</v>
      </c>
      <c r="PE15" s="46">
        <v>-5272379</v>
      </c>
      <c r="PF15" s="46">
        <v>-106470740</v>
      </c>
      <c r="PG15" s="46">
        <v>30990974</v>
      </c>
      <c r="PH15" s="46">
        <v>-117623270</v>
      </c>
      <c r="PI15" s="46">
        <v>-434801</v>
      </c>
      <c r="PJ15" s="46">
        <v>7712807</v>
      </c>
      <c r="PK15" s="46">
        <v>81563760</v>
      </c>
      <c r="PL15" s="46">
        <v>0</v>
      </c>
      <c r="PM15" s="46">
        <v>22742</v>
      </c>
      <c r="PN15" s="46">
        <v>0</v>
      </c>
      <c r="PO15" s="46">
        <v>0</v>
      </c>
      <c r="PP15" s="46">
        <v>0</v>
      </c>
      <c r="PQ15" s="46">
        <v>0</v>
      </c>
      <c r="PR15" s="46">
        <v>0</v>
      </c>
      <c r="PS15" s="46">
        <v>0</v>
      </c>
      <c r="PT15" s="46">
        <v>0</v>
      </c>
      <c r="PU15" s="46">
        <v>0</v>
      </c>
      <c r="PV15" s="46">
        <v>0</v>
      </c>
      <c r="PW15" s="46">
        <v>-13167947</v>
      </c>
      <c r="PX15" s="46">
        <v>-29117158</v>
      </c>
      <c r="PY15" s="46">
        <v>-69043782</v>
      </c>
      <c r="PZ15" s="46">
        <v>-13455324</v>
      </c>
      <c r="QA15" s="46">
        <v>0</v>
      </c>
      <c r="QB15" s="46">
        <v>0</v>
      </c>
      <c r="QC15" s="46">
        <v>-17816616</v>
      </c>
      <c r="QD15" s="46">
        <v>0</v>
      </c>
      <c r="QE15" s="46">
        <v>0</v>
      </c>
      <c r="QF15" s="46">
        <v>0</v>
      </c>
      <c r="QG15" s="46">
        <v>95370989</v>
      </c>
      <c r="QH15" s="46">
        <v>0</v>
      </c>
      <c r="QI15" s="46">
        <v>0</v>
      </c>
      <c r="QJ15" s="46">
        <v>0</v>
      </c>
      <c r="QK15" s="46">
        <v>-1065041</v>
      </c>
      <c r="QL15" s="46">
        <v>0</v>
      </c>
      <c r="QM15" s="46">
        <v>0</v>
      </c>
      <c r="QN15" s="46">
        <v>0</v>
      </c>
      <c r="QO15" s="46">
        <v>0</v>
      </c>
      <c r="QP15" s="46">
        <v>0</v>
      </c>
      <c r="QQ15" s="46">
        <v>0</v>
      </c>
      <c r="QR15" s="46">
        <v>0</v>
      </c>
      <c r="QS15" s="46">
        <v>0</v>
      </c>
      <c r="QT15" s="46">
        <v>1101431</v>
      </c>
      <c r="QU15" s="46">
        <v>0</v>
      </c>
      <c r="QV15" s="46">
        <v>0</v>
      </c>
      <c r="QW15" s="46">
        <v>0</v>
      </c>
      <c r="QX15" s="46">
        <v>0</v>
      </c>
      <c r="QY15" s="46">
        <v>0</v>
      </c>
      <c r="QZ15" s="46">
        <v>0</v>
      </c>
      <c r="RA15" s="46">
        <v>0</v>
      </c>
      <c r="RB15" s="46">
        <v>0</v>
      </c>
      <c r="RC15" s="46">
        <v>0</v>
      </c>
      <c r="RD15" s="46">
        <v>0</v>
      </c>
      <c r="RE15" s="46">
        <v>0</v>
      </c>
      <c r="RF15" s="46">
        <v>0</v>
      </c>
      <c r="RG15" s="46">
        <v>0</v>
      </c>
      <c r="RH15" s="46">
        <v>0</v>
      </c>
      <c r="RI15" s="46">
        <v>0</v>
      </c>
      <c r="RJ15" s="46">
        <v>0</v>
      </c>
      <c r="RK15" s="46">
        <v>0</v>
      </c>
      <c r="RL15" s="46">
        <v>0</v>
      </c>
      <c r="RM15" s="46">
        <v>0</v>
      </c>
      <c r="RN15" s="46">
        <v>0</v>
      </c>
      <c r="RO15" s="46">
        <v>-238904426</v>
      </c>
      <c r="RP15" s="46">
        <v>0</v>
      </c>
      <c r="RQ15" s="46">
        <v>0</v>
      </c>
      <c r="RR15" s="46">
        <v>0</v>
      </c>
      <c r="RS15" s="46">
        <v>0</v>
      </c>
      <c r="RT15" s="46">
        <v>0</v>
      </c>
      <c r="RU15" s="46">
        <v>0</v>
      </c>
      <c r="RV15" s="46">
        <v>0</v>
      </c>
      <c r="RW15" s="46">
        <v>0</v>
      </c>
      <c r="RX15" s="46">
        <v>-8219773</v>
      </c>
      <c r="RY15" s="46">
        <v>0</v>
      </c>
      <c r="RZ15" s="46">
        <v>0</v>
      </c>
      <c r="SA15" s="46">
        <v>0</v>
      </c>
      <c r="SB15" s="46">
        <v>0</v>
      </c>
      <c r="SC15" s="46">
        <v>0</v>
      </c>
      <c r="SD15" s="46">
        <v>0</v>
      </c>
      <c r="SE15" s="46">
        <v>0</v>
      </c>
      <c r="SF15" s="46">
        <v>0</v>
      </c>
      <c r="SG15" s="46">
        <v>0</v>
      </c>
      <c r="SH15" s="46">
        <v>0</v>
      </c>
      <c r="SI15" s="46">
        <v>0</v>
      </c>
      <c r="SJ15" s="46">
        <v>0</v>
      </c>
      <c r="SK15" s="46">
        <v>0</v>
      </c>
      <c r="SL15" s="46">
        <v>0</v>
      </c>
      <c r="SM15" s="46">
        <v>0</v>
      </c>
      <c r="SN15" s="46">
        <v>0</v>
      </c>
      <c r="SO15" s="46">
        <v>0</v>
      </c>
      <c r="SP15" s="46">
        <v>2663381</v>
      </c>
      <c r="SQ15" s="46">
        <v>973140</v>
      </c>
      <c r="SR15" s="46">
        <v>24180881</v>
      </c>
      <c r="SS15" s="46">
        <v>4691147</v>
      </c>
      <c r="ST15" s="46">
        <v>13305548</v>
      </c>
      <c r="SU15" s="46">
        <v>0</v>
      </c>
      <c r="SV15" s="46">
        <v>0</v>
      </c>
      <c r="SW15" s="46">
        <v>-91817186</v>
      </c>
      <c r="SX15" s="46">
        <v>0</v>
      </c>
      <c r="SY15" s="46">
        <v>0</v>
      </c>
      <c r="SZ15" s="46">
        <v>3459757</v>
      </c>
      <c r="TA15" s="46">
        <v>26200886</v>
      </c>
      <c r="TB15" s="46">
        <v>-574</v>
      </c>
      <c r="TC15" s="46">
        <v>0</v>
      </c>
      <c r="TD15" s="46">
        <v>6899272</v>
      </c>
      <c r="TE15" s="46">
        <v>341144</v>
      </c>
      <c r="TF15" s="46">
        <v>983333</v>
      </c>
      <c r="TG15" s="46">
        <v>277808</v>
      </c>
      <c r="TH15" s="46">
        <v>297943</v>
      </c>
      <c r="TI15" s="46">
        <v>4691147</v>
      </c>
      <c r="TJ15" s="46">
        <v>0</v>
      </c>
      <c r="TK15" s="46">
        <v>0</v>
      </c>
      <c r="TL15" s="46">
        <v>6108466</v>
      </c>
      <c r="TM15" s="46">
        <v>0</v>
      </c>
      <c r="TN15" s="46">
        <v>0</v>
      </c>
      <c r="TO15" s="46">
        <v>0</v>
      </c>
      <c r="TP15" s="46">
        <v>0</v>
      </c>
      <c r="TQ15" s="46">
        <v>0</v>
      </c>
      <c r="TR15" s="46">
        <v>0</v>
      </c>
      <c r="TS15" s="46">
        <v>0</v>
      </c>
      <c r="TT15" s="46">
        <v>0</v>
      </c>
      <c r="TU15" s="46">
        <v>3798</v>
      </c>
      <c r="TV15" s="46">
        <v>0</v>
      </c>
      <c r="TW15" s="46">
        <v>0</v>
      </c>
      <c r="TX15" s="46">
        <v>0</v>
      </c>
      <c r="TY15" s="46">
        <v>0</v>
      </c>
      <c r="TZ15" s="46">
        <v>0</v>
      </c>
      <c r="UA15" s="46">
        <v>0</v>
      </c>
      <c r="UB15" s="46">
        <v>0</v>
      </c>
      <c r="UC15" s="46">
        <v>0</v>
      </c>
      <c r="UD15" s="46">
        <v>0</v>
      </c>
      <c r="UE15" s="46">
        <v>764872768</v>
      </c>
      <c r="UF15" s="46">
        <v>315431290</v>
      </c>
      <c r="UG15" s="46">
        <v>36541355</v>
      </c>
      <c r="UH15" s="46">
        <v>0</v>
      </c>
      <c r="UI15" s="46">
        <v>372692576</v>
      </c>
      <c r="UJ15" s="46">
        <v>111427926</v>
      </c>
      <c r="UK15" s="46">
        <v>131878007</v>
      </c>
      <c r="UL15" s="46">
        <v>227878904</v>
      </c>
      <c r="UM15" s="46">
        <v>85240153</v>
      </c>
      <c r="UN15" s="46">
        <v>311948952</v>
      </c>
      <c r="UO1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43150716</v>
      </c>
      <c r="UP15" s="46">
        <f>SUM(Input[[#This Row],[Oth Exp E&amp;G]],Input[[#This Row],[Oth Exp Desg]],Input[[#This Row],[Oth Exp Aux]],Input[[#This Row],[Oth Exp R Exp]],Input[[#This Row],[Oth Exp Loan]],Input[[#This Row],[Oth Exp Annuity]],Input[[#This Row],[Oth Exp Unexp]],Input[[#This Row],[Oth Exp R of Ind]],Input[[#This Row],[Oth Exp Inv in P]])</f>
        <v>15982410</v>
      </c>
      <c r="UQ15" s="46"/>
      <c r="UR15" s="46"/>
      <c r="US15" s="8" t="s">
        <v>742</v>
      </c>
      <c r="UT15" s="47">
        <v>9798459761</v>
      </c>
      <c r="UU15" s="8" t="s">
        <v>71</v>
      </c>
      <c r="UV15" s="8" t="s">
        <v>787</v>
      </c>
      <c r="UW15" s="47">
        <v>9794581866</v>
      </c>
      <c r="UX15" s="8" t="s">
        <v>788</v>
      </c>
      <c r="UY15" s="51" cm="1">
        <f t="array" ref="UY15">IFERROR(_xlfn.IFS(Input[[#This Row],[Type]]="HRI",SUMIFS('FTSE | FTFE'!$P$8:$P$77,'FTSE | FTFE'!$H$8:$H$77,A15),Input[[#This Row],[Type]]="UNIV",SUMIFS('FTSE | FTFE'!$P$104:$P$139,'FTSE | FTFE'!$H$104:$H$139,A15),OR(Input[[#This Row],[Type]]="TSTC",Input[[#This Row],[Type]]="LSC"),SUMIFS('FTSE | FTFE'!$O$88:$O$96,'FTSE | FTFE'!$H$88:$H$96,A15),Input[[#This Row],[Type]]="AHM",SUMIFS(Hidden!$H$42:$H$45,Hidden!$G$42:$G$45,A15)),"N/A")</f>
        <v>63243</v>
      </c>
      <c r="UZ15" s="51" cm="1">
        <f t="array" ref="UZ15">IFERROR(_xlfn.IFS(Input[[#This Row],[Type]]="HRI",SUMIFS('FTSE | FTFE'!$Q$8:$Q$77,'FTSE | FTFE'!$H$8:$H$77,A15),Input[[#This Row],[Type]]="UNIV",SUMIFS('FTSE | FTFE'!$Q$104:$Q$139,'FTSE | FTFE'!$H$104:$H$139,A15),OR(Input[[#This Row],[Type]]="TSTC",Input[[#This Row],[Type]]="LSC"),SUMIFS('FTSE | FTFE'!$P$88:$P$96,'FTSE | FTFE'!$H$88:$H$96,A15)),"N/A")</f>
        <v>1558</v>
      </c>
      <c r="VA1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562354956</v>
      </c>
      <c r="VB1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259300287</v>
      </c>
      <c r="VC15" s="46">
        <f>SUM(Input[[#This Row],[Fed G&amp;C E&amp;G]],Input[[#This Row],[Fed G&amp;C Desg]],Input[[#This Row],[Fed G&amp;C R Exp]],Input[[#This Row],[Fed G&amp;C Loan]],Input[[#This Row],[Fed G&amp;C Annuity]],Input[[#This Row],[Fed G&amp;C Unexp]],Input[[#This Row],[Fed G&amp;C R of Ind]],Input[[#This Row],[Fed G&amp;C Inv in P]])</f>
        <v>234343426</v>
      </c>
      <c r="VD1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673516528</v>
      </c>
      <c r="VE1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468366787</v>
      </c>
      <c r="VF1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248500451</v>
      </c>
      <c r="VG15" s="46">
        <f>SUM(Input[[#This Row],[Oth Inc E&amp;G]],Input[[#This Row],[Oth Exp Desg]],Input[[#This Row],[Oth Exp R Exp]],Input[[#This Row],[Oth Exp Loan]],Input[[#This Row],[Oth Exp Annuity]],Input[[#This Row],[Oth Exp Unexp]],Input[[#This Row],[Oth Exp R of Ind]],Input[[#This Row],[Oth Exp Inv in P]])</f>
        <v>11215340</v>
      </c>
      <c r="VH15" s="46">
        <f>SUM(Input[[#This Row],[Instr E&amp;G]],Input[[#This Row],[Instr Desg]],Input[[#This Row],[Instr R Exp]],Input[[#This Row],[Instr Loan]],Input[[#This Row],[Instr Annuity]],Input[[#This Row],[Instr Unexp]],Input[[#This Row],[Instr R of Ind]],Input[[#This Row],[Instr Inv in P]])</f>
        <v>764872768</v>
      </c>
      <c r="VI15" s="46">
        <f>SUM(Input[[#This Row],[Res E&amp;G]],Input[[#This Row],[Res Desg]],Input[[#This Row],[Res R Exp]],Input[[#This Row],[Res Loan]],Input[[#This Row],[Res Annuity]],Input[[#This Row],[Res Unexp]],Input[[#This Row],[Res R of Ind]],Input[[#This Row],[Res Inv in P]])</f>
        <v>315431290</v>
      </c>
      <c r="VJ15" s="46">
        <f>SUM(Input[[#This Row],[Acad Sup E&amp;G]],Input[[#This Row],[Acad Sup Desg]],Input[[#This Row],[Acad Sup R Exp]],Input[[#This Row],[Acad Sup Loan]],Input[[#This Row],[Acad Sup Annuity]],Input[[#This Row],[Acad Sup Unexp]],Input[[#This Row],[Acad Sup R of Ind]],Input[[#This Row],[Acad Sup Inv in P]])</f>
        <v>372692576</v>
      </c>
      <c r="VK15" s="46">
        <f>SUM(Input[[#This Row],[Stu Svc E&amp;G]],Input[[#This Row],[Stu Svc Desg]],Input[[#This Row],[Stu Svc R Exp]],Input[[#This Row],[Stu Svc Loan]],Input[[#This Row],[Stu Svc Annuity]],Input[[#This Row],[Stu Svc Unexp]],Input[[#This Row],[Stu Svc R of Ind]],Input[[#This Row],[Stu Svc Inv in P]])</f>
        <v>111427926</v>
      </c>
      <c r="VL15" s="46">
        <f>SUM(Input[[#This Row],[Inst. Spt E&amp;G]],Input[[#This Row],[Inst. Spt Desg]],Input[[#This Row],[Inst. Spt R Exp]],Input[[#This Row],[Inst. Spt Loan]],Input[[#This Row],[Inst. Spt Annuity]],Input[[#This Row],[Inst. Spt Unexp]],Input[[#This Row],[Inst. Spt R of Ind]],Input[[#This Row],[Inst. Spt Inv in P]])</f>
        <v>131878007</v>
      </c>
      <c r="VM15" s="46">
        <f>SUM(Input[[#This Row],[M&amp;O Plnt E&amp;G]],Input[[#This Row],[M&amp;O Plnt Desg]],Input[[#This Row],[M&amp;O Plnt R Exp]],Input[[#This Row],[M&amp;O Plnt Loan]],Input[[#This Row],[M&amp;O Plnt Annuity]],Input[[#This Row],[M&amp;O Plnt Unexp]],Input[[#This Row],[M&amp;O Plnt R of Ind]],Input[[#This Row],[M&amp;O Plnt Inv in P]])</f>
        <v>227878904</v>
      </c>
      <c r="VN15" s="46">
        <f>SUM(Input[[#This Row],[Schl &amp; Fell E&amp;G]],Input[[#This Row],[Schl &amp; Fell Desg]],Input[[#This Row],[Schl &amp; Fell R Exp]],Input[[#This Row],[Schl &amp; Fell Loan]],Input[[#This Row],[Schl &amp; Fell Annuity]],Input[[#This Row],[Schl &amp; Fell Unexp]],Input[[#This Row],[Schl &amp; Fell R of Ind]],Input[[#This Row],[Schl &amp; Fell Inv in P]])</f>
        <v>85240153</v>
      </c>
      <c r="VO15" s="46">
        <f>SUM(Input[[#This Row],[Cap Out fund E&amp;G]],Input[[#This Row],[Cap Out fund Desg]],Input[[#This Row],[Cap Out fund R Exp]],Input[[#This Row],[Cap Out fund Loan]],Input[[#This Row],[Cap Out fund Annuity]],Input[[#This Row],[Cap Out fund Unexp]],Input[[#This Row],[Cap Out fund R of Ind]],Input[[#This Row],[Cap Out fund Inv in P]])</f>
        <v>38459569</v>
      </c>
      <c r="VP15" s="46">
        <f>SUM(Input[[#This Row],[Oth Exp E&amp;G]],Input[[#This Row],[Oth Exp Desg]],Input[[#This Row],[Oth Exp R Exp]],Input[[#This Row],[Oth Exp Loan]],Input[[#This Row],[Oth Exp Annuity]],Input[[#This Row],[Oth Exp Unexp]],Input[[#This Row],[Oth Exp R of Ind]],Input[[#This Row],[Oth Exp Inv in P]],Input[[#This Row],[Oth Exp Inv in P]])</f>
        <v>13412168</v>
      </c>
    </row>
    <row r="16" spans="1:588" ht="30" customHeight="1" x14ac:dyDescent="0.3">
      <c r="A16" s="15" t="s">
        <v>5</v>
      </c>
      <c r="B16" s="36" t="s">
        <v>111</v>
      </c>
      <c r="C16" s="36" t="s">
        <v>110</v>
      </c>
      <c r="D16" s="36">
        <v>203</v>
      </c>
      <c r="E16" s="36" t="s">
        <v>132</v>
      </c>
      <c r="F16" s="95" cm="1">
        <f t="array" ref="F16">IFERROR(_xlfn.IFS(Input[[#This Row],[Type]]="HRI",SUMIFS('FTSE | FTFE'!$I$8:$I$77,'FTSE | FTFE'!$H$8:$H$77,A16),Input[[#This Row],[Type]]="UNIV",SUMIFS('FTSE | FTFE'!$I$104:$I$139,'FTSE | FTFE'!$H$104:$H$139,A16),OR(Input[[#This Row],[Type]]="TSTC",Input[[#This Row],[Type]]="LSC"),SUMIFS('FTSE | FTFE'!$I$88:$I$96,'FTSE | FTFE'!$H$88:$H$96,A16)),"N/A")</f>
        <v>10298</v>
      </c>
      <c r="G16" s="46">
        <v>30033260</v>
      </c>
      <c r="H16" s="46">
        <v>0</v>
      </c>
      <c r="I16" s="46">
        <v>0</v>
      </c>
      <c r="J16" s="46">
        <v>0</v>
      </c>
      <c r="K16" s="46">
        <v>0</v>
      </c>
      <c r="L16" s="46">
        <v>0</v>
      </c>
      <c r="M16" s="46">
        <v>0</v>
      </c>
      <c r="N16" s="46">
        <v>0</v>
      </c>
      <c r="O16" s="46">
        <v>0</v>
      </c>
      <c r="P16" s="46">
        <v>943348</v>
      </c>
      <c r="Q16" s="46">
        <v>10000</v>
      </c>
      <c r="R16" s="46">
        <v>0</v>
      </c>
      <c r="S16" s="46">
        <v>1068737</v>
      </c>
      <c r="T16" s="46">
        <v>0</v>
      </c>
      <c r="U16" s="46">
        <v>0</v>
      </c>
      <c r="V16" s="46">
        <v>0</v>
      </c>
      <c r="W16" s="46">
        <v>0</v>
      </c>
      <c r="X16" s="46">
        <v>0</v>
      </c>
      <c r="Y16" s="46">
        <v>0</v>
      </c>
      <c r="Z16" s="46">
        <v>0</v>
      </c>
      <c r="AA16" s="46">
        <v>0</v>
      </c>
      <c r="AB16" s="46">
        <v>0</v>
      </c>
      <c r="AC16" s="46">
        <v>0</v>
      </c>
      <c r="AD16" s="46">
        <v>0</v>
      </c>
      <c r="AE16" s="46">
        <v>0</v>
      </c>
      <c r="AF16" s="46">
        <v>0</v>
      </c>
      <c r="AG16" s="46">
        <v>0</v>
      </c>
      <c r="AH16" s="46">
        <v>0</v>
      </c>
      <c r="AI16" s="46">
        <v>0</v>
      </c>
      <c r="AJ16" s="46">
        <v>0</v>
      </c>
      <c r="AK16" s="46">
        <v>0</v>
      </c>
      <c r="AL16" s="46">
        <v>0</v>
      </c>
      <c r="AM16" s="46">
        <v>0</v>
      </c>
      <c r="AN16" s="46">
        <v>0</v>
      </c>
      <c r="AO16" s="46">
        <v>0</v>
      </c>
      <c r="AP16" s="46">
        <v>0</v>
      </c>
      <c r="AQ16" s="46">
        <v>-839990</v>
      </c>
      <c r="AR16" s="46">
        <v>-743913</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0</v>
      </c>
      <c r="BS16" s="46">
        <v>0</v>
      </c>
      <c r="BT16" s="46">
        <v>0</v>
      </c>
      <c r="BU16" s="46">
        <v>0</v>
      </c>
      <c r="BV16" s="46">
        <v>0</v>
      </c>
      <c r="BW16" s="46">
        <v>0</v>
      </c>
      <c r="BX16" s="46">
        <v>0</v>
      </c>
      <c r="BY16" s="46">
        <v>0</v>
      </c>
      <c r="BZ16" s="46">
        <v>0</v>
      </c>
      <c r="CA16" s="46">
        <v>4167462</v>
      </c>
      <c r="CB16" s="46">
        <v>17028435</v>
      </c>
      <c r="CC16" s="46">
        <v>0</v>
      </c>
      <c r="CD16" s="46">
        <v>0</v>
      </c>
      <c r="CE16" s="46">
        <v>0</v>
      </c>
      <c r="CF16" s="46">
        <v>0</v>
      </c>
      <c r="CG16" s="46">
        <v>0</v>
      </c>
      <c r="CH16" s="46">
        <v>0</v>
      </c>
      <c r="CI16" s="46">
        <v>0</v>
      </c>
      <c r="CJ16" s="46">
        <v>0</v>
      </c>
      <c r="CK16" s="46">
        <v>0</v>
      </c>
      <c r="CL16" s="46">
        <v>0</v>
      </c>
      <c r="CM16" s="46">
        <v>0</v>
      </c>
      <c r="CN16" s="46">
        <v>0</v>
      </c>
      <c r="CO16" s="46">
        <v>0</v>
      </c>
      <c r="CP16" s="46">
        <v>0</v>
      </c>
      <c r="CQ16" s="46">
        <v>0</v>
      </c>
      <c r="CR16" s="46">
        <v>0</v>
      </c>
      <c r="CS16" s="46">
        <v>0</v>
      </c>
      <c r="CT16" s="46">
        <v>0</v>
      </c>
      <c r="CU16" s="46">
        <v>0</v>
      </c>
      <c r="CV16" s="46">
        <v>0</v>
      </c>
      <c r="CW16" s="46">
        <v>0</v>
      </c>
      <c r="CX16" s="46">
        <v>0</v>
      </c>
      <c r="CY16" s="46">
        <v>0</v>
      </c>
      <c r="CZ16" s="46">
        <v>0</v>
      </c>
      <c r="DA16" s="46">
        <v>0</v>
      </c>
      <c r="DB16" s="46">
        <v>-174763</v>
      </c>
      <c r="DC16" s="46">
        <v>-864948</v>
      </c>
      <c r="DD16" s="46">
        <v>0</v>
      </c>
      <c r="DE16" s="46">
        <v>0</v>
      </c>
      <c r="DF16" s="46">
        <v>0</v>
      </c>
      <c r="DG16" s="46">
        <v>0</v>
      </c>
      <c r="DH16" s="46">
        <v>0</v>
      </c>
      <c r="DI16" s="46">
        <v>0</v>
      </c>
      <c r="DJ16" s="46">
        <v>0</v>
      </c>
      <c r="DK16" s="46">
        <v>0</v>
      </c>
      <c r="DL16" s="46">
        <v>0</v>
      </c>
      <c r="DM16" s="46">
        <v>0</v>
      </c>
      <c r="DN16" s="46">
        <v>0</v>
      </c>
      <c r="DO16" s="46">
        <v>0</v>
      </c>
      <c r="DP16" s="46">
        <v>0</v>
      </c>
      <c r="DQ16" s="46">
        <v>0</v>
      </c>
      <c r="DR16" s="46">
        <v>0</v>
      </c>
      <c r="DS16" s="46">
        <v>0</v>
      </c>
      <c r="DT16" s="46">
        <v>-876823</v>
      </c>
      <c r="DU16" s="46">
        <v>-3401634</v>
      </c>
      <c r="DV16" s="46">
        <v>0</v>
      </c>
      <c r="DW16" s="46">
        <v>0</v>
      </c>
      <c r="DX16" s="46">
        <v>0</v>
      </c>
      <c r="DY16" s="46">
        <v>0</v>
      </c>
      <c r="DZ16" s="46">
        <v>0</v>
      </c>
      <c r="EA16" s="46">
        <v>0</v>
      </c>
      <c r="EB16" s="46">
        <v>0</v>
      </c>
      <c r="EC16" s="46">
        <v>0</v>
      </c>
      <c r="ED16" s="46">
        <v>-6750</v>
      </c>
      <c r="EE16" s="46">
        <v>0</v>
      </c>
      <c r="EF16" s="46">
        <v>0</v>
      </c>
      <c r="EG16" s="46">
        <v>0</v>
      </c>
      <c r="EH16" s="46">
        <v>0</v>
      </c>
      <c r="EI16" s="46">
        <v>0</v>
      </c>
      <c r="EJ16" s="46">
        <v>0</v>
      </c>
      <c r="EK16" s="46">
        <v>0</v>
      </c>
      <c r="EL16" s="46">
        <v>0</v>
      </c>
      <c r="EM16" s="46">
        <v>0</v>
      </c>
      <c r="EN16" s="46">
        <v>0</v>
      </c>
      <c r="EO16" s="46">
        <v>0</v>
      </c>
      <c r="EP16" s="46">
        <v>0</v>
      </c>
      <c r="EQ16" s="46">
        <v>0</v>
      </c>
      <c r="ER16" s="46">
        <v>0</v>
      </c>
      <c r="ES16" s="46">
        <v>0</v>
      </c>
      <c r="ET16" s="46">
        <v>0</v>
      </c>
      <c r="EU16" s="46">
        <v>0</v>
      </c>
      <c r="EV16" s="46">
        <v>0</v>
      </c>
      <c r="EW16" s="46">
        <v>0</v>
      </c>
      <c r="EX16" s="46">
        <v>0</v>
      </c>
      <c r="EY16" s="46">
        <v>0</v>
      </c>
      <c r="EZ16" s="46">
        <v>0</v>
      </c>
      <c r="FA16" s="46">
        <v>0</v>
      </c>
      <c r="FB16" s="46">
        <v>0</v>
      </c>
      <c r="FC16" s="46">
        <v>0</v>
      </c>
      <c r="FD16" s="46">
        <v>0</v>
      </c>
      <c r="FE16" s="46">
        <v>0</v>
      </c>
      <c r="FF16" s="46">
        <v>0</v>
      </c>
      <c r="FG16" s="46">
        <v>0</v>
      </c>
      <c r="FH16" s="46">
        <v>0</v>
      </c>
      <c r="FI16" s="46">
        <v>0</v>
      </c>
      <c r="FJ16" s="46">
        <v>0</v>
      </c>
      <c r="FK16" s="46">
        <v>0</v>
      </c>
      <c r="FL16" s="46">
        <v>0</v>
      </c>
      <c r="FM16" s="46">
        <v>91767</v>
      </c>
      <c r="FN16" s="46">
        <v>10838779</v>
      </c>
      <c r="FO16" s="46">
        <v>74250</v>
      </c>
      <c r="FP16" s="46">
        <v>0</v>
      </c>
      <c r="FQ16" s="46">
        <v>0</v>
      </c>
      <c r="FR16" s="46">
        <v>0</v>
      </c>
      <c r="FS16" s="46">
        <v>0</v>
      </c>
      <c r="FT16" s="46">
        <v>0</v>
      </c>
      <c r="FU16" s="46">
        <v>0</v>
      </c>
      <c r="FV16" s="46">
        <v>0</v>
      </c>
      <c r="FW16" s="46">
        <v>0</v>
      </c>
      <c r="FX16" s="46">
        <v>0</v>
      </c>
      <c r="FY16" s="46">
        <v>0</v>
      </c>
      <c r="FZ16" s="46">
        <v>0</v>
      </c>
      <c r="GA16" s="46">
        <v>0</v>
      </c>
      <c r="GB16" s="46">
        <v>0</v>
      </c>
      <c r="GC16" s="46">
        <v>0</v>
      </c>
      <c r="GD16" s="46">
        <v>0</v>
      </c>
      <c r="GE16" s="46">
        <v>0</v>
      </c>
      <c r="GF16" s="46">
        <v>0</v>
      </c>
      <c r="GG16" s="46">
        <v>0</v>
      </c>
      <c r="GH16" s="46">
        <v>0</v>
      </c>
      <c r="GI16" s="46">
        <v>0</v>
      </c>
      <c r="GJ16" s="46">
        <v>0</v>
      </c>
      <c r="GK16" s="46">
        <v>0</v>
      </c>
      <c r="GL16" s="46">
        <v>0</v>
      </c>
      <c r="GM16" s="46">
        <v>0</v>
      </c>
      <c r="GN16" s="46">
        <v>-5493</v>
      </c>
      <c r="GO16" s="46">
        <v>-548195</v>
      </c>
      <c r="GP16" s="46">
        <v>0</v>
      </c>
      <c r="GQ16" s="46">
        <v>0</v>
      </c>
      <c r="GR16" s="46">
        <v>0</v>
      </c>
      <c r="GS16" s="46">
        <v>0</v>
      </c>
      <c r="GT16" s="46">
        <v>0</v>
      </c>
      <c r="GU16" s="46">
        <v>0</v>
      </c>
      <c r="GV16" s="46">
        <v>0</v>
      </c>
      <c r="GW16" s="46">
        <v>0</v>
      </c>
      <c r="GX16" s="46">
        <v>-3447</v>
      </c>
      <c r="GY16" s="46">
        <v>0</v>
      </c>
      <c r="GZ16" s="46">
        <v>0</v>
      </c>
      <c r="HA16" s="46">
        <v>0</v>
      </c>
      <c r="HB16" s="46">
        <v>0</v>
      </c>
      <c r="HC16" s="46">
        <v>0</v>
      </c>
      <c r="HD16" s="46">
        <v>0</v>
      </c>
      <c r="HE16" s="46">
        <v>0</v>
      </c>
      <c r="HF16" s="46">
        <v>5493</v>
      </c>
      <c r="HG16" s="46">
        <v>-2201661</v>
      </c>
      <c r="HH16" s="46">
        <v>0</v>
      </c>
      <c r="HI16" s="46">
        <v>0</v>
      </c>
      <c r="HJ16" s="46">
        <v>0</v>
      </c>
      <c r="HK16" s="46">
        <v>0</v>
      </c>
      <c r="HL16" s="46">
        <v>0</v>
      </c>
      <c r="HM16" s="46">
        <v>0</v>
      </c>
      <c r="HN16" s="46">
        <v>0</v>
      </c>
      <c r="HO16" s="46">
        <v>0</v>
      </c>
      <c r="HP16" s="46">
        <v>856011</v>
      </c>
      <c r="HQ16" s="46">
        <v>0</v>
      </c>
      <c r="HR16" s="46">
        <v>8536898</v>
      </c>
      <c r="HS16" s="46">
        <v>0</v>
      </c>
      <c r="HT16" s="46">
        <v>0</v>
      </c>
      <c r="HU16" s="46">
        <v>0</v>
      </c>
      <c r="HV16" s="46">
        <v>0</v>
      </c>
      <c r="HW16" s="46">
        <v>0</v>
      </c>
      <c r="HX16" s="46">
        <v>0</v>
      </c>
      <c r="HY16" s="46">
        <v>0</v>
      </c>
      <c r="HZ16" s="46">
        <v>0</v>
      </c>
      <c r="IA16" s="46">
        <v>0</v>
      </c>
      <c r="IB16" s="46">
        <v>0</v>
      </c>
      <c r="IC16" s="46">
        <v>0</v>
      </c>
      <c r="ID16" s="46">
        <v>0</v>
      </c>
      <c r="IE16" s="46">
        <v>0</v>
      </c>
      <c r="IF16" s="46">
        <v>0</v>
      </c>
      <c r="IG16" s="46">
        <v>0</v>
      </c>
      <c r="IH16" s="46">
        <v>0</v>
      </c>
      <c r="II16" s="46">
        <v>0</v>
      </c>
      <c r="IJ16" s="46">
        <v>0</v>
      </c>
      <c r="IK16" s="46">
        <v>0</v>
      </c>
      <c r="IL16" s="46">
        <v>0</v>
      </c>
      <c r="IM16" s="46">
        <v>0</v>
      </c>
      <c r="IN16" s="46">
        <v>0</v>
      </c>
      <c r="IO16" s="46">
        <v>0</v>
      </c>
      <c r="IP16" s="46">
        <v>526057</v>
      </c>
      <c r="IQ16" s="46">
        <v>7441194</v>
      </c>
      <c r="IR16" s="46">
        <v>0</v>
      </c>
      <c r="IS16" s="46">
        <v>710472</v>
      </c>
      <c r="IT16" s="46">
        <v>2514</v>
      </c>
      <c r="IU16" s="46">
        <v>1502</v>
      </c>
      <c r="IV16" s="46">
        <v>0</v>
      </c>
      <c r="IW16" s="46">
        <v>0</v>
      </c>
      <c r="IX16" s="46">
        <v>0</v>
      </c>
      <c r="IY16" s="46">
        <v>0</v>
      </c>
      <c r="IZ16" s="46">
        <v>0</v>
      </c>
      <c r="JA16" s="46">
        <v>0</v>
      </c>
      <c r="JB16" s="46">
        <v>0</v>
      </c>
      <c r="JC16" s="46">
        <v>0</v>
      </c>
      <c r="JD16" s="46">
        <v>0</v>
      </c>
      <c r="JE16" s="46">
        <v>0</v>
      </c>
      <c r="JF16" s="46">
        <v>0</v>
      </c>
      <c r="JG16" s="46">
        <v>0</v>
      </c>
      <c r="JH16" s="46">
        <v>0</v>
      </c>
      <c r="JI16" s="46">
        <v>2168105</v>
      </c>
      <c r="JJ16" s="46">
        <v>0</v>
      </c>
      <c r="JK16" s="46">
        <v>10254449</v>
      </c>
      <c r="JL16" s="46">
        <v>0</v>
      </c>
      <c r="JM16" s="46">
        <v>0</v>
      </c>
      <c r="JN16" s="46">
        <v>0</v>
      </c>
      <c r="JO16" s="46">
        <v>0</v>
      </c>
      <c r="JP16" s="46">
        <v>0</v>
      </c>
      <c r="JQ16" s="46">
        <v>0</v>
      </c>
      <c r="JR16" s="46">
        <v>6879727</v>
      </c>
      <c r="JS16" s="46">
        <v>0</v>
      </c>
      <c r="JT16" s="46">
        <v>3564</v>
      </c>
      <c r="JU16" s="46">
        <v>0</v>
      </c>
      <c r="JV16" s="46">
        <v>0</v>
      </c>
      <c r="JW16" s="46">
        <v>0</v>
      </c>
      <c r="JX16" s="46">
        <v>0</v>
      </c>
      <c r="JY16" s="46">
        <v>0</v>
      </c>
      <c r="JZ16" s="46">
        <v>0</v>
      </c>
      <c r="KA16" s="46">
        <v>0</v>
      </c>
      <c r="KB16" s="46">
        <v>8474836</v>
      </c>
      <c r="KC16" s="46">
        <v>0</v>
      </c>
      <c r="KD16" s="46">
        <v>0</v>
      </c>
      <c r="KE16" s="46">
        <v>0</v>
      </c>
      <c r="KF16" s="46">
        <v>0</v>
      </c>
      <c r="KG16" s="46">
        <v>0</v>
      </c>
      <c r="KH16" s="46">
        <v>0</v>
      </c>
      <c r="KI16" s="46">
        <v>23271</v>
      </c>
      <c r="KJ16" s="46">
        <v>1402035</v>
      </c>
      <c r="KK16" s="46">
        <v>1107341</v>
      </c>
      <c r="KL16" s="46">
        <v>14396</v>
      </c>
      <c r="KM16" s="46">
        <v>1993</v>
      </c>
      <c r="KN16" s="46">
        <v>0</v>
      </c>
      <c r="KO16" s="46">
        <v>0</v>
      </c>
      <c r="KP16" s="46">
        <v>0</v>
      </c>
      <c r="KQ16" s="46">
        <v>-119985</v>
      </c>
      <c r="KR16" s="46">
        <v>14454727</v>
      </c>
      <c r="KS16" s="46">
        <v>11211690</v>
      </c>
      <c r="KT16" s="46">
        <v>0</v>
      </c>
      <c r="KU16" s="46">
        <v>2143544</v>
      </c>
      <c r="KV16" s="46">
        <v>0</v>
      </c>
      <c r="KW16" s="46">
        <v>0</v>
      </c>
      <c r="KX16" s="46">
        <v>0</v>
      </c>
      <c r="KY16" s="46">
        <v>0</v>
      </c>
      <c r="KZ16" s="46">
        <v>0</v>
      </c>
      <c r="LA16" s="46">
        <v>910907</v>
      </c>
      <c r="LB16" s="46">
        <v>2368326</v>
      </c>
      <c r="LC16" s="46">
        <v>0</v>
      </c>
      <c r="LD16" s="46">
        <v>10741586</v>
      </c>
      <c r="LE16" s="46">
        <v>0</v>
      </c>
      <c r="LF16" s="46">
        <v>0</v>
      </c>
      <c r="LG16" s="46">
        <v>0</v>
      </c>
      <c r="LH16" s="46">
        <v>0</v>
      </c>
      <c r="LI16" s="46">
        <v>0</v>
      </c>
      <c r="LJ16" s="46">
        <v>1877</v>
      </c>
      <c r="LK16" s="46">
        <v>1539071</v>
      </c>
      <c r="LL16" s="46">
        <v>0</v>
      </c>
      <c r="LM16" s="46">
        <v>12442</v>
      </c>
      <c r="LN16" s="46">
        <v>0</v>
      </c>
      <c r="LO16" s="46">
        <v>0</v>
      </c>
      <c r="LP16" s="46">
        <v>0</v>
      </c>
      <c r="LQ16" s="46">
        <v>0</v>
      </c>
      <c r="LR16" s="46">
        <v>0</v>
      </c>
      <c r="LS16" s="46">
        <v>0</v>
      </c>
      <c r="LT16" s="46">
        <v>0</v>
      </c>
      <c r="LU16" s="46">
        <v>0</v>
      </c>
      <c r="LV16" s="46">
        <v>0</v>
      </c>
      <c r="LW16" s="46">
        <v>0</v>
      </c>
      <c r="LX16" s="46">
        <v>0</v>
      </c>
      <c r="LY16" s="46">
        <v>0</v>
      </c>
      <c r="LZ16" s="46">
        <v>0</v>
      </c>
      <c r="MA16" s="46">
        <v>0</v>
      </c>
      <c r="MB16" s="46">
        <v>2741775</v>
      </c>
      <c r="MC16" s="46">
        <v>3776317</v>
      </c>
      <c r="MD16" s="46">
        <v>0</v>
      </c>
      <c r="ME16" s="46">
        <v>153184</v>
      </c>
      <c r="MF16" s="46">
        <v>0</v>
      </c>
      <c r="MG16" s="46">
        <v>0</v>
      </c>
      <c r="MH16" s="46">
        <v>0</v>
      </c>
      <c r="MI16" s="46">
        <v>0</v>
      </c>
      <c r="MJ16" s="46">
        <v>0</v>
      </c>
      <c r="MK16" s="46">
        <v>1357460</v>
      </c>
      <c r="ML16" s="46">
        <v>2862976</v>
      </c>
      <c r="MM16" s="46">
        <v>0</v>
      </c>
      <c r="MN16" s="46">
        <v>31584</v>
      </c>
      <c r="MO16" s="46">
        <v>350</v>
      </c>
      <c r="MP16" s="46">
        <v>0</v>
      </c>
      <c r="MQ16" s="46">
        <v>0</v>
      </c>
      <c r="MR16" s="46">
        <v>0</v>
      </c>
      <c r="MS16" s="46">
        <v>0</v>
      </c>
      <c r="MT16" s="46">
        <v>4018111</v>
      </c>
      <c r="MU16" s="46">
        <v>4372560</v>
      </c>
      <c r="MV16" s="46">
        <v>0</v>
      </c>
      <c r="MW16" s="46">
        <v>250532</v>
      </c>
      <c r="MX16" s="46">
        <v>0</v>
      </c>
      <c r="MY16" s="46">
        <v>0</v>
      </c>
      <c r="MZ16" s="46">
        <v>0</v>
      </c>
      <c r="NA16" s="46">
        <v>0</v>
      </c>
      <c r="NB16" s="46">
        <v>0</v>
      </c>
      <c r="NC16" s="46">
        <v>237857</v>
      </c>
      <c r="ND16" s="46">
        <v>10912646</v>
      </c>
      <c r="NE16" s="46">
        <v>0</v>
      </c>
      <c r="NF16" s="46">
        <v>3547</v>
      </c>
      <c r="NG16" s="46">
        <v>0</v>
      </c>
      <c r="NH16" s="46">
        <v>0</v>
      </c>
      <c r="NI16" s="46">
        <v>41689</v>
      </c>
      <c r="NJ16" s="46">
        <v>0</v>
      </c>
      <c r="NK16" s="46">
        <v>0</v>
      </c>
      <c r="NL16" s="46">
        <v>48558</v>
      </c>
      <c r="NM16" s="46">
        <v>1334643</v>
      </c>
      <c r="NN16" s="46">
        <v>0</v>
      </c>
      <c r="NO16" s="46">
        <v>354925</v>
      </c>
      <c r="NP16" s="46">
        <v>0</v>
      </c>
      <c r="NQ16" s="46">
        <v>0</v>
      </c>
      <c r="NR16" s="46">
        <v>0</v>
      </c>
      <c r="NS16" s="46">
        <v>0</v>
      </c>
      <c r="NT16" s="46">
        <v>0</v>
      </c>
      <c r="NU16" s="46">
        <v>0</v>
      </c>
      <c r="NV16" s="46">
        <v>0</v>
      </c>
      <c r="NW16" s="46">
        <v>13216438</v>
      </c>
      <c r="NX16" s="46">
        <v>0</v>
      </c>
      <c r="NY16" s="46">
        <v>0</v>
      </c>
      <c r="NZ16" s="46">
        <v>0</v>
      </c>
      <c r="OA16" s="46">
        <v>0</v>
      </c>
      <c r="OB16" s="46">
        <v>0</v>
      </c>
      <c r="OC16" s="46">
        <v>0</v>
      </c>
      <c r="OD16" s="46">
        <v>64306</v>
      </c>
      <c r="OE16" s="46">
        <v>9514807</v>
      </c>
      <c r="OF16" s="46">
        <v>30007</v>
      </c>
      <c r="OG16" s="46">
        <v>367556</v>
      </c>
      <c r="OH16" s="46">
        <v>0</v>
      </c>
      <c r="OI16" s="46">
        <v>0</v>
      </c>
      <c r="OJ16" s="46">
        <v>0</v>
      </c>
      <c r="OK16" s="46">
        <v>0</v>
      </c>
      <c r="OL16" s="46">
        <v>0</v>
      </c>
      <c r="OM16" s="46">
        <v>13137</v>
      </c>
      <c r="ON16" s="46">
        <v>277987</v>
      </c>
      <c r="OO16" s="46">
        <v>0</v>
      </c>
      <c r="OP16" s="46">
        <v>0</v>
      </c>
      <c r="OQ16" s="46">
        <v>0</v>
      </c>
      <c r="OR16" s="46">
        <v>0</v>
      </c>
      <c r="OS16" s="46">
        <v>0</v>
      </c>
      <c r="OT16" s="46">
        <v>0</v>
      </c>
      <c r="OU16" s="46">
        <v>18316</v>
      </c>
      <c r="OV16" s="46">
        <v>0</v>
      </c>
      <c r="OW16" s="46">
        <v>0</v>
      </c>
      <c r="OX16" s="46">
        <v>0</v>
      </c>
      <c r="OY16" s="46">
        <v>0</v>
      </c>
      <c r="OZ16" s="46">
        <v>0</v>
      </c>
      <c r="PA16" s="46">
        <v>0</v>
      </c>
      <c r="PB16" s="46">
        <v>11868835</v>
      </c>
      <c r="PC16" s="46">
        <v>0</v>
      </c>
      <c r="PD16" s="46">
        <v>0</v>
      </c>
      <c r="PE16" s="46">
        <v>-397332</v>
      </c>
      <c r="PF16" s="46">
        <v>15739109</v>
      </c>
      <c r="PG16" s="46">
        <v>2483970</v>
      </c>
      <c r="PH16" s="46">
        <v>-4926445</v>
      </c>
      <c r="PI16" s="46">
        <v>0</v>
      </c>
      <c r="PJ16" s="46">
        <v>57950</v>
      </c>
      <c r="PK16" s="46">
        <v>748015</v>
      </c>
      <c r="PL16" s="46">
        <v>0</v>
      </c>
      <c r="PM16" s="46">
        <v>0</v>
      </c>
      <c r="PN16" s="46">
        <v>0</v>
      </c>
      <c r="PO16" s="46">
        <v>0</v>
      </c>
      <c r="PP16" s="46">
        <v>0</v>
      </c>
      <c r="PQ16" s="46">
        <v>0</v>
      </c>
      <c r="PR16" s="46">
        <v>0</v>
      </c>
      <c r="PS16" s="46">
        <v>0</v>
      </c>
      <c r="PT16" s="46">
        <v>0</v>
      </c>
      <c r="PU16" s="46">
        <v>0</v>
      </c>
      <c r="PV16" s="46">
        <v>0</v>
      </c>
      <c r="PW16" s="46">
        <v>-10455592</v>
      </c>
      <c r="PX16" s="46">
        <v>-2149603</v>
      </c>
      <c r="PY16" s="46">
        <v>-3557661</v>
      </c>
      <c r="PZ16" s="46">
        <v>0</v>
      </c>
      <c r="QA16" s="46">
        <v>0</v>
      </c>
      <c r="QB16" s="46">
        <v>0</v>
      </c>
      <c r="QC16" s="46">
        <v>0</v>
      </c>
      <c r="QD16" s="46">
        <v>0</v>
      </c>
      <c r="QE16" s="46">
        <v>0</v>
      </c>
      <c r="QF16" s="46">
        <v>0</v>
      </c>
      <c r="QG16" s="46">
        <v>1601083</v>
      </c>
      <c r="QH16" s="46">
        <v>0</v>
      </c>
      <c r="QI16" s="46">
        <v>0</v>
      </c>
      <c r="QJ16" s="46">
        <v>0</v>
      </c>
      <c r="QK16" s="46">
        <v>1897</v>
      </c>
      <c r="QL16" s="46">
        <v>0</v>
      </c>
      <c r="QM16" s="46">
        <v>0</v>
      </c>
      <c r="QN16" s="46">
        <v>0</v>
      </c>
      <c r="QO16" s="46">
        <v>0</v>
      </c>
      <c r="QP16" s="46">
        <v>0</v>
      </c>
      <c r="QQ16" s="46">
        <v>0</v>
      </c>
      <c r="QR16" s="46">
        <v>0</v>
      </c>
      <c r="QS16" s="46">
        <v>0</v>
      </c>
      <c r="QT16" s="46">
        <v>3000</v>
      </c>
      <c r="QU16" s="46">
        <v>0</v>
      </c>
      <c r="QV16" s="46">
        <v>0</v>
      </c>
      <c r="QW16" s="46">
        <v>0</v>
      </c>
      <c r="QX16" s="46">
        <v>0</v>
      </c>
      <c r="QY16" s="46">
        <v>0</v>
      </c>
      <c r="QZ16" s="46">
        <v>0</v>
      </c>
      <c r="RA16" s="46">
        <v>0</v>
      </c>
      <c r="RB16" s="46">
        <v>0</v>
      </c>
      <c r="RC16" s="46">
        <v>0</v>
      </c>
      <c r="RD16" s="46">
        <v>0</v>
      </c>
      <c r="RE16" s="46">
        <v>0</v>
      </c>
      <c r="RF16" s="46">
        <v>0</v>
      </c>
      <c r="RG16" s="46">
        <v>0</v>
      </c>
      <c r="RH16" s="46">
        <v>0</v>
      </c>
      <c r="RI16" s="46">
        <v>0</v>
      </c>
      <c r="RJ16" s="46">
        <v>0</v>
      </c>
      <c r="RK16" s="46">
        <v>0</v>
      </c>
      <c r="RL16" s="46">
        <v>0</v>
      </c>
      <c r="RM16" s="46">
        <v>0</v>
      </c>
      <c r="RN16" s="46">
        <v>0</v>
      </c>
      <c r="RO16" s="46">
        <v>-15010246</v>
      </c>
      <c r="RP16" s="46">
        <v>0</v>
      </c>
      <c r="RQ16" s="46">
        <v>0</v>
      </c>
      <c r="RR16" s="46">
        <v>0</v>
      </c>
      <c r="RS16" s="46">
        <v>0</v>
      </c>
      <c r="RT16" s="46">
        <v>0</v>
      </c>
      <c r="RU16" s="46">
        <v>0</v>
      </c>
      <c r="RV16" s="46">
        <v>0</v>
      </c>
      <c r="RW16" s="46">
        <v>0</v>
      </c>
      <c r="RX16" s="46">
        <v>2337674</v>
      </c>
      <c r="RY16" s="46">
        <v>0</v>
      </c>
      <c r="RZ16" s="46">
        <v>0</v>
      </c>
      <c r="SA16" s="46">
        <v>0</v>
      </c>
      <c r="SB16" s="46">
        <v>0</v>
      </c>
      <c r="SC16" s="46">
        <v>0</v>
      </c>
      <c r="SD16" s="46">
        <v>0</v>
      </c>
      <c r="SE16" s="46">
        <v>0</v>
      </c>
      <c r="SF16" s="46">
        <v>0</v>
      </c>
      <c r="SG16" s="46">
        <v>0</v>
      </c>
      <c r="SH16" s="46">
        <v>0</v>
      </c>
      <c r="SI16" s="46">
        <v>0</v>
      </c>
      <c r="SJ16" s="46">
        <v>0</v>
      </c>
      <c r="SK16" s="46">
        <v>0</v>
      </c>
      <c r="SL16" s="46">
        <v>0</v>
      </c>
      <c r="SM16" s="46">
        <v>0</v>
      </c>
      <c r="SN16" s="46">
        <v>0</v>
      </c>
      <c r="SO16" s="46">
        <v>0</v>
      </c>
      <c r="SP16" s="46">
        <v>115000</v>
      </c>
      <c r="SQ16" s="46">
        <v>64306</v>
      </c>
      <c r="SR16" s="46">
        <v>9514807</v>
      </c>
      <c r="SS16" s="46">
        <v>30007</v>
      </c>
      <c r="ST16" s="46">
        <v>367556</v>
      </c>
      <c r="SU16" s="46">
        <v>0</v>
      </c>
      <c r="SV16" s="46">
        <v>0</v>
      </c>
      <c r="SW16" s="46">
        <v>-11868835</v>
      </c>
      <c r="SX16" s="46">
        <v>0</v>
      </c>
      <c r="SY16" s="46">
        <v>0</v>
      </c>
      <c r="SZ16" s="46">
        <v>2782</v>
      </c>
      <c r="TA16" s="46">
        <v>295311</v>
      </c>
      <c r="TB16" s="46">
        <v>15445</v>
      </c>
      <c r="TC16" s="46">
        <v>0</v>
      </c>
      <c r="TD16" s="46">
        <v>28000</v>
      </c>
      <c r="TE16" s="46">
        <v>134216</v>
      </c>
      <c r="TF16" s="46">
        <v>109847</v>
      </c>
      <c r="TG16" s="46">
        <v>9361068</v>
      </c>
      <c r="TH16" s="46">
        <v>0</v>
      </c>
      <c r="TI16" s="46">
        <v>30007</v>
      </c>
      <c r="TJ16" s="46">
        <v>0</v>
      </c>
      <c r="TK16" s="46">
        <v>0</v>
      </c>
      <c r="TL16" s="46">
        <v>112450</v>
      </c>
      <c r="TM16" s="46">
        <v>0</v>
      </c>
      <c r="TN16" s="46">
        <v>0</v>
      </c>
      <c r="TO16" s="46">
        <v>0</v>
      </c>
      <c r="TP16" s="46">
        <v>0</v>
      </c>
      <c r="TQ16" s="46">
        <v>0</v>
      </c>
      <c r="TR16" s="46">
        <v>0</v>
      </c>
      <c r="TS16" s="46">
        <v>0</v>
      </c>
      <c r="TT16" s="46">
        <v>0</v>
      </c>
      <c r="TU16" s="46">
        <v>0</v>
      </c>
      <c r="TV16" s="46">
        <v>0</v>
      </c>
      <c r="TW16" s="46">
        <v>0</v>
      </c>
      <c r="TX16" s="46">
        <v>0</v>
      </c>
      <c r="TY16" s="46">
        <v>0</v>
      </c>
      <c r="TZ16" s="46">
        <v>0</v>
      </c>
      <c r="UA16" s="46">
        <v>0</v>
      </c>
      <c r="UB16" s="46">
        <v>0</v>
      </c>
      <c r="UC16" s="46">
        <v>0</v>
      </c>
      <c r="UD16" s="46">
        <v>0</v>
      </c>
      <c r="UE16" s="46">
        <v>27809961</v>
      </c>
      <c r="UF16" s="46">
        <v>14020819</v>
      </c>
      <c r="UG16" s="46">
        <v>1553390</v>
      </c>
      <c r="UH16" s="46">
        <v>0</v>
      </c>
      <c r="UI16" s="46">
        <v>6671276</v>
      </c>
      <c r="UJ16" s="46">
        <v>4252370</v>
      </c>
      <c r="UK16" s="46">
        <v>8641203</v>
      </c>
      <c r="UL16" s="46">
        <v>11195739</v>
      </c>
      <c r="UM16" s="46">
        <v>1738126</v>
      </c>
      <c r="UN16" s="46">
        <v>13216438</v>
      </c>
      <c r="UO1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9976676</v>
      </c>
      <c r="UP16" s="46">
        <f>SUM(Input[[#This Row],[Oth Exp E&amp;G]],Input[[#This Row],[Oth Exp Desg]],Input[[#This Row],[Oth Exp Aux]],Input[[#This Row],[Oth Exp R Exp]],Input[[#This Row],[Oth Exp Loan]],Input[[#This Row],[Oth Exp Annuity]],Input[[#This Row],[Oth Exp Unexp]],Input[[#This Row],[Oth Exp R of Ind]],Input[[#This Row],[Oth Exp Inv in P]])</f>
        <v>309440</v>
      </c>
      <c r="UQ16" s="46"/>
      <c r="UR16" s="46"/>
      <c r="US16" s="8" t="s">
        <v>742</v>
      </c>
      <c r="UT16" s="47">
        <v>9798459761</v>
      </c>
      <c r="UU16" s="8" t="s">
        <v>71</v>
      </c>
      <c r="UV16" s="8" t="s">
        <v>787</v>
      </c>
      <c r="UW16" s="47">
        <v>9794581866</v>
      </c>
      <c r="UX16" s="8" t="s">
        <v>788</v>
      </c>
      <c r="UY16" s="51" cm="1">
        <f t="array" ref="UY16">IFERROR(_xlfn.IFS(Input[[#This Row],[Type]]="HRI",SUMIFS('FTSE | FTFE'!$P$8:$P$77,'FTSE | FTFE'!$H$8:$H$77,A16),Input[[#This Row],[Type]]="UNIV",SUMIFS('FTSE | FTFE'!$P$104:$P$139,'FTSE | FTFE'!$H$104:$H$139,A16),OR(Input[[#This Row],[Type]]="TSTC",Input[[#This Row],[Type]]="LSC"),SUMIFS('FTSE | FTFE'!$O$88:$O$96,'FTSE | FTFE'!$H$88:$H$96,A16),Input[[#This Row],[Type]]="AHM",SUMIFS(Hidden!$H$42:$H$45,Hidden!$G$42:$G$45,A16)),"N/A")</f>
        <v>1852</v>
      </c>
      <c r="UZ16" s="51" cm="1">
        <f t="array" ref="UZ16">IFERROR(_xlfn.IFS(Input[[#This Row],[Type]]="HRI",SUMIFS('FTSE | FTFE'!$Q$8:$Q$77,'FTSE | FTFE'!$H$8:$H$77,A16),Input[[#This Row],[Type]]="UNIV",SUMIFS('FTSE | FTFE'!$Q$104:$Q$139,'FTSE | FTFE'!$H$104:$H$139,A16),OR(Input[[#This Row],[Type]]="TSTC",Input[[#This Row],[Type]]="LSC"),SUMIFS('FTSE | FTFE'!$P$88:$P$96,'FTSE | FTFE'!$H$88:$H$96,A16)),"N/A")</f>
        <v>43</v>
      </c>
      <c r="VA1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32055345</v>
      </c>
      <c r="VB1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6" s="46">
        <f>SUM(Input[[#This Row],[Fed G&amp;C E&amp;G]],Input[[#This Row],[Fed G&amp;C Desg]],Input[[#This Row],[Fed G&amp;C R Exp]],Input[[#This Row],[Fed G&amp;C Loan]],Input[[#This Row],[Fed G&amp;C Annuity]],Input[[#This Row],[Fed G&amp;C Unexp]],Input[[#This Row],[Fed G&amp;C R of Ind]],Input[[#This Row],[Fed G&amp;C Inv in P]])</f>
        <v>9392909</v>
      </c>
      <c r="VD1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29309294</v>
      </c>
      <c r="VE1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15877729</v>
      </c>
      <c r="VF1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8177243</v>
      </c>
      <c r="VG16" s="46">
        <f>SUM(Input[[#This Row],[Oth Inc E&amp;G]],Input[[#This Row],[Oth Exp Desg]],Input[[#This Row],[Oth Exp R Exp]],Input[[#This Row],[Oth Exp Loan]],Input[[#This Row],[Oth Exp Annuity]],Input[[#This Row],[Oth Exp Unexp]],Input[[#This Row],[Oth Exp R of Ind]],Input[[#This Row],[Oth Exp Inv in P]])</f>
        <v>319574</v>
      </c>
      <c r="VH16" s="46">
        <f>SUM(Input[[#This Row],[Instr E&amp;G]],Input[[#This Row],[Instr Desg]],Input[[#This Row],[Instr R Exp]],Input[[#This Row],[Instr Loan]],Input[[#This Row],[Instr Annuity]],Input[[#This Row],[Instr Unexp]],Input[[#This Row],[Instr R of Ind]],Input[[#This Row],[Instr Inv in P]])</f>
        <v>27809961</v>
      </c>
      <c r="VI16" s="46">
        <f>SUM(Input[[#This Row],[Res E&amp;G]],Input[[#This Row],[Res Desg]],Input[[#This Row],[Res R Exp]],Input[[#This Row],[Res Loan]],Input[[#This Row],[Res Annuity]],Input[[#This Row],[Res Unexp]],Input[[#This Row],[Res R of Ind]],Input[[#This Row],[Res Inv in P]])</f>
        <v>14020819</v>
      </c>
      <c r="VJ16" s="46">
        <f>SUM(Input[[#This Row],[Acad Sup E&amp;G]],Input[[#This Row],[Acad Sup Desg]],Input[[#This Row],[Acad Sup R Exp]],Input[[#This Row],[Acad Sup Loan]],Input[[#This Row],[Acad Sup Annuity]],Input[[#This Row],[Acad Sup Unexp]],Input[[#This Row],[Acad Sup R of Ind]],Input[[#This Row],[Acad Sup Inv in P]])</f>
        <v>6671276</v>
      </c>
      <c r="VK16" s="46">
        <f>SUM(Input[[#This Row],[Stu Svc E&amp;G]],Input[[#This Row],[Stu Svc Desg]],Input[[#This Row],[Stu Svc R Exp]],Input[[#This Row],[Stu Svc Loan]],Input[[#This Row],[Stu Svc Annuity]],Input[[#This Row],[Stu Svc Unexp]],Input[[#This Row],[Stu Svc R of Ind]],Input[[#This Row],[Stu Svc Inv in P]])</f>
        <v>4252370</v>
      </c>
      <c r="VL16" s="46">
        <f>SUM(Input[[#This Row],[Inst. Spt E&amp;G]],Input[[#This Row],[Inst. Spt Desg]],Input[[#This Row],[Inst. Spt R Exp]],Input[[#This Row],[Inst. Spt Loan]],Input[[#This Row],[Inst. Spt Annuity]],Input[[#This Row],[Inst. Spt Unexp]],Input[[#This Row],[Inst. Spt R of Ind]],Input[[#This Row],[Inst. Spt Inv in P]])</f>
        <v>8641203</v>
      </c>
      <c r="VM16" s="46">
        <f>SUM(Input[[#This Row],[M&amp;O Plnt E&amp;G]],Input[[#This Row],[M&amp;O Plnt Desg]],Input[[#This Row],[M&amp;O Plnt R Exp]],Input[[#This Row],[M&amp;O Plnt Loan]],Input[[#This Row],[M&amp;O Plnt Annuity]],Input[[#This Row],[M&amp;O Plnt Unexp]],Input[[#This Row],[M&amp;O Plnt R of Ind]],Input[[#This Row],[M&amp;O Plnt Inv in P]])</f>
        <v>11195739</v>
      </c>
      <c r="VN16" s="46">
        <f>SUM(Input[[#This Row],[Schl &amp; Fell E&amp;G]],Input[[#This Row],[Schl &amp; Fell Desg]],Input[[#This Row],[Schl &amp; Fell R Exp]],Input[[#This Row],[Schl &amp; Fell Loan]],Input[[#This Row],[Schl &amp; Fell Annuity]],Input[[#This Row],[Schl &amp; Fell Unexp]],Input[[#This Row],[Schl &amp; Fell R of Ind]],Input[[#This Row],[Schl &amp; Fell Inv in P]])</f>
        <v>1738126</v>
      </c>
      <c r="VO16" s="46">
        <f>SUM(Input[[#This Row],[Cap Out fund E&amp;G]],Input[[#This Row],[Cap Out fund Desg]],Input[[#This Row],[Cap Out fund R Exp]],Input[[#This Row],[Cap Out fund Loan]],Input[[#This Row],[Cap Out fund Annuity]],Input[[#This Row],[Cap Out fund Unexp]],Input[[#This Row],[Cap Out fund R of Ind]],Input[[#This Row],[Cap Out fund Inv in P]])</f>
        <v>9946669</v>
      </c>
      <c r="VP16" s="46">
        <f>SUM(Input[[#This Row],[Oth Exp E&amp;G]],Input[[#This Row],[Oth Exp Desg]],Input[[#This Row],[Oth Exp R Exp]],Input[[#This Row],[Oth Exp Loan]],Input[[#This Row],[Oth Exp Annuity]],Input[[#This Row],[Oth Exp Unexp]],Input[[#This Row],[Oth Exp R of Ind]],Input[[#This Row],[Oth Exp Inv in P]],Input[[#This Row],[Oth Exp Inv in P]])</f>
        <v>327756</v>
      </c>
    </row>
    <row r="17" spans="1:588" ht="30" customHeight="1" x14ac:dyDescent="0.3">
      <c r="A17" s="15" t="s">
        <v>6</v>
      </c>
      <c r="B17" s="36" t="s">
        <v>111</v>
      </c>
      <c r="C17" s="36" t="s">
        <v>110</v>
      </c>
      <c r="D17" s="36">
        <v>204</v>
      </c>
      <c r="E17" s="36" t="s">
        <v>132</v>
      </c>
      <c r="F17" s="95" cm="1">
        <f t="array" ref="F17">IFERROR(_xlfn.IFS(Input[[#This Row],[Type]]="HRI",SUMIFS('FTSE | FTFE'!$I$8:$I$77,'FTSE | FTFE'!$H$8:$H$77,A17),Input[[#This Row],[Type]]="UNIV",SUMIFS('FTSE | FTFE'!$I$104:$I$139,'FTSE | FTFE'!$H$104:$H$139,A17),OR(Input[[#This Row],[Type]]="TSTC",Input[[#This Row],[Type]]="LSC"),SUMIFS('FTSE | FTFE'!$I$88:$I$96,'FTSE | FTFE'!$H$88:$H$96,A17)),"N/A")</f>
        <v>3630</v>
      </c>
      <c r="G17" s="46">
        <v>77611108</v>
      </c>
      <c r="H17" s="46">
        <v>0</v>
      </c>
      <c r="I17" s="46">
        <v>0</v>
      </c>
      <c r="J17" s="46">
        <v>0</v>
      </c>
      <c r="K17" s="46">
        <v>0</v>
      </c>
      <c r="L17" s="46">
        <v>0</v>
      </c>
      <c r="M17" s="46">
        <v>0</v>
      </c>
      <c r="N17" s="46">
        <v>0</v>
      </c>
      <c r="O17" s="46">
        <v>0</v>
      </c>
      <c r="P17" s="46">
        <v>138166</v>
      </c>
      <c r="Q17" s="46">
        <v>111038</v>
      </c>
      <c r="R17" s="46">
        <v>0</v>
      </c>
      <c r="S17" s="46">
        <v>15134924</v>
      </c>
      <c r="T17" s="46">
        <v>0</v>
      </c>
      <c r="U17" s="46">
        <v>0</v>
      </c>
      <c r="V17" s="46">
        <v>0</v>
      </c>
      <c r="W17" s="46">
        <v>0</v>
      </c>
      <c r="X17" s="46">
        <v>0</v>
      </c>
      <c r="Y17" s="46">
        <v>0</v>
      </c>
      <c r="Z17" s="46">
        <v>0</v>
      </c>
      <c r="AA17" s="46">
        <v>0</v>
      </c>
      <c r="AB17" s="46">
        <v>0</v>
      </c>
      <c r="AC17" s="46">
        <v>0</v>
      </c>
      <c r="AD17" s="46">
        <v>0</v>
      </c>
      <c r="AE17" s="46">
        <v>0</v>
      </c>
      <c r="AF17" s="46">
        <v>0</v>
      </c>
      <c r="AG17" s="46">
        <v>0</v>
      </c>
      <c r="AH17" s="46">
        <v>40260000</v>
      </c>
      <c r="AI17" s="46">
        <v>0</v>
      </c>
      <c r="AJ17" s="46">
        <v>0</v>
      </c>
      <c r="AK17" s="46">
        <v>0</v>
      </c>
      <c r="AL17" s="46">
        <v>0</v>
      </c>
      <c r="AM17" s="46">
        <v>0</v>
      </c>
      <c r="AN17" s="46">
        <v>0</v>
      </c>
      <c r="AO17" s="46">
        <v>0</v>
      </c>
      <c r="AP17" s="46">
        <v>0</v>
      </c>
      <c r="AQ17" s="46">
        <v>-8070069</v>
      </c>
      <c r="AR17" s="46">
        <v>0</v>
      </c>
      <c r="AS17" s="46">
        <v>0</v>
      </c>
      <c r="AT17" s="46">
        <v>0</v>
      </c>
      <c r="AU17" s="46">
        <v>0</v>
      </c>
      <c r="AV17" s="46">
        <v>0</v>
      </c>
      <c r="AW17" s="46">
        <v>0</v>
      </c>
      <c r="AX17" s="46">
        <v>0</v>
      </c>
      <c r="AY17" s="46">
        <v>0</v>
      </c>
      <c r="AZ17" s="46">
        <v>0</v>
      </c>
      <c r="BA17" s="46">
        <v>0</v>
      </c>
      <c r="BB17" s="46">
        <v>0</v>
      </c>
      <c r="BC17" s="46">
        <v>0</v>
      </c>
      <c r="BD17" s="46">
        <v>0</v>
      </c>
      <c r="BE17" s="46">
        <v>0</v>
      </c>
      <c r="BF17" s="46">
        <v>0</v>
      </c>
      <c r="BG17" s="46">
        <v>0</v>
      </c>
      <c r="BH17" s="46">
        <v>0</v>
      </c>
      <c r="BI17" s="46">
        <v>0</v>
      </c>
      <c r="BJ17" s="46">
        <v>0</v>
      </c>
      <c r="BK17" s="46">
        <v>0</v>
      </c>
      <c r="BL17" s="46">
        <v>0</v>
      </c>
      <c r="BM17" s="46">
        <v>0</v>
      </c>
      <c r="BN17" s="46">
        <v>0</v>
      </c>
      <c r="BO17" s="46">
        <v>0</v>
      </c>
      <c r="BP17" s="46">
        <v>0</v>
      </c>
      <c r="BQ17" s="46">
        <v>0</v>
      </c>
      <c r="BR17" s="46">
        <v>0</v>
      </c>
      <c r="BS17" s="46">
        <v>0</v>
      </c>
      <c r="BT17" s="46">
        <v>0</v>
      </c>
      <c r="BU17" s="46">
        <v>0</v>
      </c>
      <c r="BV17" s="46">
        <v>0</v>
      </c>
      <c r="BW17" s="46">
        <v>0</v>
      </c>
      <c r="BX17" s="46">
        <v>0</v>
      </c>
      <c r="BY17" s="46">
        <v>0</v>
      </c>
      <c r="BZ17" s="46">
        <v>0</v>
      </c>
      <c r="CA17" s="46">
        <v>21313325</v>
      </c>
      <c r="CB17" s="46">
        <v>57090398</v>
      </c>
      <c r="CC17" s="46">
        <v>0</v>
      </c>
      <c r="CD17" s="46">
        <v>0</v>
      </c>
      <c r="CE17" s="46">
        <v>0</v>
      </c>
      <c r="CF17" s="46">
        <v>0</v>
      </c>
      <c r="CG17" s="46">
        <v>0</v>
      </c>
      <c r="CH17" s="46">
        <v>0</v>
      </c>
      <c r="CI17" s="46">
        <v>0</v>
      </c>
      <c r="CJ17" s="46">
        <v>0</v>
      </c>
      <c r="CK17" s="46">
        <v>0</v>
      </c>
      <c r="CL17" s="46">
        <v>0</v>
      </c>
      <c r="CM17" s="46">
        <v>0</v>
      </c>
      <c r="CN17" s="46">
        <v>0</v>
      </c>
      <c r="CO17" s="46">
        <v>0</v>
      </c>
      <c r="CP17" s="46">
        <v>0</v>
      </c>
      <c r="CQ17" s="46">
        <v>0</v>
      </c>
      <c r="CR17" s="46">
        <v>0</v>
      </c>
      <c r="CS17" s="46">
        <v>0</v>
      </c>
      <c r="CT17" s="46">
        <v>0</v>
      </c>
      <c r="CU17" s="46">
        <v>0</v>
      </c>
      <c r="CV17" s="46">
        <v>0</v>
      </c>
      <c r="CW17" s="46">
        <v>0</v>
      </c>
      <c r="CX17" s="46">
        <v>0</v>
      </c>
      <c r="CY17" s="46">
        <v>0</v>
      </c>
      <c r="CZ17" s="46">
        <v>0</v>
      </c>
      <c r="DA17" s="46">
        <v>0</v>
      </c>
      <c r="DB17" s="46">
        <v>-945550</v>
      </c>
      <c r="DC17" s="46">
        <v>-2998085</v>
      </c>
      <c r="DD17" s="46">
        <v>0</v>
      </c>
      <c r="DE17" s="46">
        <v>0</v>
      </c>
      <c r="DF17" s="46">
        <v>0</v>
      </c>
      <c r="DG17" s="46">
        <v>0</v>
      </c>
      <c r="DH17" s="46">
        <v>0</v>
      </c>
      <c r="DI17" s="46">
        <v>0</v>
      </c>
      <c r="DJ17" s="46">
        <v>0</v>
      </c>
      <c r="DK17" s="46">
        <v>0</v>
      </c>
      <c r="DL17" s="46">
        <v>0</v>
      </c>
      <c r="DM17" s="46">
        <v>0</v>
      </c>
      <c r="DN17" s="46">
        <v>0</v>
      </c>
      <c r="DO17" s="46">
        <v>0</v>
      </c>
      <c r="DP17" s="46">
        <v>0</v>
      </c>
      <c r="DQ17" s="46">
        <v>0</v>
      </c>
      <c r="DR17" s="46">
        <v>0</v>
      </c>
      <c r="DS17" s="46">
        <v>0</v>
      </c>
      <c r="DT17" s="46">
        <v>-10800873</v>
      </c>
      <c r="DU17" s="46">
        <v>-28466174</v>
      </c>
      <c r="DV17" s="46">
        <v>0</v>
      </c>
      <c r="DW17" s="46">
        <v>0</v>
      </c>
      <c r="DX17" s="46">
        <v>0</v>
      </c>
      <c r="DY17" s="46">
        <v>0</v>
      </c>
      <c r="DZ17" s="46">
        <v>0</v>
      </c>
      <c r="EA17" s="46">
        <v>0</v>
      </c>
      <c r="EB17" s="46">
        <v>0</v>
      </c>
      <c r="EC17" s="46">
        <v>0</v>
      </c>
      <c r="ED17" s="46">
        <v>0</v>
      </c>
      <c r="EE17" s="46">
        <v>0</v>
      </c>
      <c r="EF17" s="46">
        <v>0</v>
      </c>
      <c r="EG17" s="46">
        <v>0</v>
      </c>
      <c r="EH17" s="46">
        <v>0</v>
      </c>
      <c r="EI17" s="46">
        <v>0</v>
      </c>
      <c r="EJ17" s="46">
        <v>0</v>
      </c>
      <c r="EK17" s="46">
        <v>0</v>
      </c>
      <c r="EL17" s="46">
        <v>0</v>
      </c>
      <c r="EM17" s="46">
        <v>0</v>
      </c>
      <c r="EN17" s="46">
        <v>0</v>
      </c>
      <c r="EO17" s="46">
        <v>0</v>
      </c>
      <c r="EP17" s="46">
        <v>0</v>
      </c>
      <c r="EQ17" s="46">
        <v>0</v>
      </c>
      <c r="ER17" s="46">
        <v>0</v>
      </c>
      <c r="ES17" s="46">
        <v>0</v>
      </c>
      <c r="ET17" s="46">
        <v>0</v>
      </c>
      <c r="EU17" s="46">
        <v>0</v>
      </c>
      <c r="EV17" s="46">
        <v>0</v>
      </c>
      <c r="EW17" s="46">
        <v>0</v>
      </c>
      <c r="EX17" s="46">
        <v>0</v>
      </c>
      <c r="EY17" s="46">
        <v>0</v>
      </c>
      <c r="EZ17" s="46">
        <v>0</v>
      </c>
      <c r="FA17" s="46">
        <v>0</v>
      </c>
      <c r="FB17" s="46">
        <v>0</v>
      </c>
      <c r="FC17" s="46">
        <v>0</v>
      </c>
      <c r="FD17" s="46">
        <v>0</v>
      </c>
      <c r="FE17" s="46">
        <v>0</v>
      </c>
      <c r="FF17" s="46">
        <v>0</v>
      </c>
      <c r="FG17" s="46">
        <v>0</v>
      </c>
      <c r="FH17" s="46">
        <v>0</v>
      </c>
      <c r="FI17" s="46">
        <v>0</v>
      </c>
      <c r="FJ17" s="46">
        <v>0</v>
      </c>
      <c r="FK17" s="46">
        <v>0</v>
      </c>
      <c r="FL17" s="46">
        <v>0</v>
      </c>
      <c r="FM17" s="46">
        <v>149103</v>
      </c>
      <c r="FN17" s="46">
        <v>30287378</v>
      </c>
      <c r="FO17" s="46">
        <v>9008494</v>
      </c>
      <c r="FP17" s="46">
        <v>0</v>
      </c>
      <c r="FQ17" s="46">
        <v>0</v>
      </c>
      <c r="FR17" s="46">
        <v>0</v>
      </c>
      <c r="FS17" s="46">
        <v>0</v>
      </c>
      <c r="FT17" s="46">
        <v>0</v>
      </c>
      <c r="FU17" s="46">
        <v>0</v>
      </c>
      <c r="FV17" s="46">
        <v>0</v>
      </c>
      <c r="FW17" s="46">
        <v>0</v>
      </c>
      <c r="FX17" s="46">
        <v>0</v>
      </c>
      <c r="FY17" s="46">
        <v>0</v>
      </c>
      <c r="FZ17" s="46">
        <v>0</v>
      </c>
      <c r="GA17" s="46">
        <v>0</v>
      </c>
      <c r="GB17" s="46">
        <v>0</v>
      </c>
      <c r="GC17" s="46">
        <v>0</v>
      </c>
      <c r="GD17" s="46">
        <v>0</v>
      </c>
      <c r="GE17" s="46">
        <v>0</v>
      </c>
      <c r="GF17" s="46">
        <v>0</v>
      </c>
      <c r="GG17" s="46">
        <v>0</v>
      </c>
      <c r="GH17" s="46">
        <v>0</v>
      </c>
      <c r="GI17" s="46">
        <v>0</v>
      </c>
      <c r="GJ17" s="46">
        <v>0</v>
      </c>
      <c r="GK17" s="46">
        <v>0</v>
      </c>
      <c r="GL17" s="46">
        <v>0</v>
      </c>
      <c r="GM17" s="46">
        <v>0</v>
      </c>
      <c r="GN17" s="46">
        <v>0</v>
      </c>
      <c r="GO17" s="46">
        <v>-1811020</v>
      </c>
      <c r="GP17" s="46">
        <v>-581091</v>
      </c>
      <c r="GQ17" s="46">
        <v>0</v>
      </c>
      <c r="GR17" s="46">
        <v>0</v>
      </c>
      <c r="GS17" s="46">
        <v>0</v>
      </c>
      <c r="GT17" s="46">
        <v>0</v>
      </c>
      <c r="GU17" s="46">
        <v>0</v>
      </c>
      <c r="GV17" s="46">
        <v>0</v>
      </c>
      <c r="GW17" s="46">
        <v>0</v>
      </c>
      <c r="GX17" s="46">
        <v>0</v>
      </c>
      <c r="GY17" s="46">
        <v>0</v>
      </c>
      <c r="GZ17" s="46">
        <v>0</v>
      </c>
      <c r="HA17" s="46">
        <v>0</v>
      </c>
      <c r="HB17" s="46">
        <v>0</v>
      </c>
      <c r="HC17" s="46">
        <v>0</v>
      </c>
      <c r="HD17" s="46">
        <v>0</v>
      </c>
      <c r="HE17" s="46">
        <v>0</v>
      </c>
      <c r="HF17" s="46">
        <v>-82175</v>
      </c>
      <c r="HG17" s="46">
        <v>-14881277</v>
      </c>
      <c r="HH17" s="46">
        <v>-4383764</v>
      </c>
      <c r="HI17" s="46">
        <v>0</v>
      </c>
      <c r="HJ17" s="46">
        <v>0</v>
      </c>
      <c r="HK17" s="46">
        <v>0</v>
      </c>
      <c r="HL17" s="46">
        <v>0</v>
      </c>
      <c r="HM17" s="46">
        <v>0</v>
      </c>
      <c r="HN17" s="46">
        <v>0</v>
      </c>
      <c r="HO17" s="46">
        <v>0</v>
      </c>
      <c r="HP17" s="46">
        <v>7139003</v>
      </c>
      <c r="HQ17" s="46">
        <v>0</v>
      </c>
      <c r="HR17" s="46">
        <v>99409326</v>
      </c>
      <c r="HS17" s="46">
        <v>0</v>
      </c>
      <c r="HT17" s="46">
        <v>0</v>
      </c>
      <c r="HU17" s="46">
        <v>2333131</v>
      </c>
      <c r="HV17" s="46">
        <v>0</v>
      </c>
      <c r="HW17" s="46">
        <v>0</v>
      </c>
      <c r="HX17" s="46">
        <v>0</v>
      </c>
      <c r="HY17" s="46">
        <v>0</v>
      </c>
      <c r="HZ17" s="46">
        <v>0</v>
      </c>
      <c r="IA17" s="46">
        <v>0</v>
      </c>
      <c r="IB17" s="46">
        <v>0</v>
      </c>
      <c r="IC17" s="46">
        <v>0</v>
      </c>
      <c r="ID17" s="46">
        <v>0</v>
      </c>
      <c r="IE17" s="46">
        <v>0</v>
      </c>
      <c r="IF17" s="46">
        <v>0</v>
      </c>
      <c r="IG17" s="46">
        <v>0</v>
      </c>
      <c r="IH17" s="46">
        <v>0</v>
      </c>
      <c r="II17" s="46">
        <v>0</v>
      </c>
      <c r="IJ17" s="46">
        <v>0</v>
      </c>
      <c r="IK17" s="46">
        <v>0</v>
      </c>
      <c r="IL17" s="46">
        <v>0</v>
      </c>
      <c r="IM17" s="46">
        <v>0</v>
      </c>
      <c r="IN17" s="46">
        <v>0</v>
      </c>
      <c r="IO17" s="46">
        <v>0</v>
      </c>
      <c r="IP17" s="46">
        <v>1580934</v>
      </c>
      <c r="IQ17" s="46">
        <v>15453123</v>
      </c>
      <c r="IR17" s="46">
        <v>24229</v>
      </c>
      <c r="IS17" s="46">
        <v>625866</v>
      </c>
      <c r="IT17" s="46">
        <v>0</v>
      </c>
      <c r="IU17" s="46">
        <v>88337</v>
      </c>
      <c r="IV17" s="46">
        <v>0</v>
      </c>
      <c r="IW17" s="46">
        <v>0</v>
      </c>
      <c r="IX17" s="46">
        <v>0</v>
      </c>
      <c r="IY17" s="46">
        <v>0</v>
      </c>
      <c r="IZ17" s="46">
        <v>0</v>
      </c>
      <c r="JA17" s="46">
        <v>0</v>
      </c>
      <c r="JB17" s="46">
        <v>0</v>
      </c>
      <c r="JC17" s="46">
        <v>0</v>
      </c>
      <c r="JD17" s="46">
        <v>0</v>
      </c>
      <c r="JE17" s="46">
        <v>0</v>
      </c>
      <c r="JF17" s="46">
        <v>0</v>
      </c>
      <c r="JG17" s="46">
        <v>0</v>
      </c>
      <c r="JH17" s="46">
        <v>0</v>
      </c>
      <c r="JI17" s="46">
        <v>3812499</v>
      </c>
      <c r="JJ17" s="46">
        <v>1040</v>
      </c>
      <c r="JK17" s="46">
        <v>9070540</v>
      </c>
      <c r="JL17" s="46">
        <v>0</v>
      </c>
      <c r="JM17" s="46">
        <v>0</v>
      </c>
      <c r="JN17" s="46">
        <v>0</v>
      </c>
      <c r="JO17" s="46">
        <v>0</v>
      </c>
      <c r="JP17" s="46">
        <v>0</v>
      </c>
      <c r="JQ17" s="46">
        <v>0</v>
      </c>
      <c r="JR17" s="46">
        <v>10809720</v>
      </c>
      <c r="JS17" s="46">
        <v>67696</v>
      </c>
      <c r="JT17" s="46">
        <v>933091</v>
      </c>
      <c r="JU17" s="46">
        <v>0</v>
      </c>
      <c r="JV17" s="46">
        <v>0</v>
      </c>
      <c r="JW17" s="46">
        <v>0</v>
      </c>
      <c r="JX17" s="46">
        <v>0</v>
      </c>
      <c r="JY17" s="46">
        <v>0</v>
      </c>
      <c r="JZ17" s="46">
        <v>0</v>
      </c>
      <c r="KA17" s="46">
        <v>0</v>
      </c>
      <c r="KB17" s="46">
        <v>17979506</v>
      </c>
      <c r="KC17" s="46">
        <v>0</v>
      </c>
      <c r="KD17" s="46">
        <v>0</v>
      </c>
      <c r="KE17" s="46">
        <v>0</v>
      </c>
      <c r="KF17" s="46">
        <v>0</v>
      </c>
      <c r="KG17" s="46">
        <v>0</v>
      </c>
      <c r="KH17" s="46">
        <v>0</v>
      </c>
      <c r="KI17" s="46">
        <v>1733357</v>
      </c>
      <c r="KJ17" s="46">
        <v>604288</v>
      </c>
      <c r="KK17" s="46">
        <v>2289827</v>
      </c>
      <c r="KL17" s="46">
        <v>1048287</v>
      </c>
      <c r="KM17" s="46">
        <v>0</v>
      </c>
      <c r="KN17" s="46">
        <v>0</v>
      </c>
      <c r="KO17" s="46">
        <v>151011</v>
      </c>
      <c r="KP17" s="46">
        <v>0</v>
      </c>
      <c r="KQ17" s="46">
        <v>0</v>
      </c>
      <c r="KR17" s="46">
        <v>52336862</v>
      </c>
      <c r="KS17" s="46">
        <v>4643184</v>
      </c>
      <c r="KT17" s="46">
        <v>0</v>
      </c>
      <c r="KU17" s="46">
        <v>855557</v>
      </c>
      <c r="KV17" s="46">
        <v>0</v>
      </c>
      <c r="KW17" s="46">
        <v>0</v>
      </c>
      <c r="KX17" s="46">
        <v>0</v>
      </c>
      <c r="KY17" s="46">
        <v>0</v>
      </c>
      <c r="KZ17" s="46">
        <v>0</v>
      </c>
      <c r="LA17" s="46">
        <v>15234301</v>
      </c>
      <c r="LB17" s="46">
        <v>1732336</v>
      </c>
      <c r="LC17" s="46">
        <v>0</v>
      </c>
      <c r="LD17" s="46">
        <v>23200094</v>
      </c>
      <c r="LE17" s="46">
        <v>0</v>
      </c>
      <c r="LF17" s="46">
        <v>0</v>
      </c>
      <c r="LG17" s="46">
        <v>0</v>
      </c>
      <c r="LH17" s="46">
        <v>0</v>
      </c>
      <c r="LI17" s="46">
        <v>0</v>
      </c>
      <c r="LJ17" s="46">
        <v>11893162</v>
      </c>
      <c r="LK17" s="46">
        <v>60976</v>
      </c>
      <c r="LL17" s="46">
        <v>0</v>
      </c>
      <c r="LM17" s="46">
        <v>8857063</v>
      </c>
      <c r="LN17" s="46">
        <v>0</v>
      </c>
      <c r="LO17" s="46">
        <v>0</v>
      </c>
      <c r="LP17" s="46">
        <v>0</v>
      </c>
      <c r="LQ17" s="46">
        <v>0</v>
      </c>
      <c r="LR17" s="46">
        <v>0</v>
      </c>
      <c r="LS17" s="46">
        <v>0</v>
      </c>
      <c r="LT17" s="46">
        <v>0</v>
      </c>
      <c r="LU17" s="46">
        <v>0</v>
      </c>
      <c r="LV17" s="46">
        <v>0</v>
      </c>
      <c r="LW17" s="46">
        <v>0</v>
      </c>
      <c r="LX17" s="46">
        <v>0</v>
      </c>
      <c r="LY17" s="46">
        <v>0</v>
      </c>
      <c r="LZ17" s="46">
        <v>0</v>
      </c>
      <c r="MA17" s="46">
        <v>0</v>
      </c>
      <c r="MB17" s="46">
        <v>11175045</v>
      </c>
      <c r="MC17" s="46">
        <v>9151975</v>
      </c>
      <c r="MD17" s="46">
        <v>0</v>
      </c>
      <c r="ME17" s="46">
        <v>15553214</v>
      </c>
      <c r="MF17" s="46">
        <v>0</v>
      </c>
      <c r="MG17" s="46">
        <v>0</v>
      </c>
      <c r="MH17" s="46">
        <v>0</v>
      </c>
      <c r="MI17" s="46">
        <v>0</v>
      </c>
      <c r="MJ17" s="46">
        <v>0</v>
      </c>
      <c r="MK17" s="46">
        <v>8940848</v>
      </c>
      <c r="ML17" s="46">
        <v>14204383</v>
      </c>
      <c r="MM17" s="46">
        <v>0</v>
      </c>
      <c r="MN17" s="46">
        <v>3298997</v>
      </c>
      <c r="MO17" s="46">
        <v>48225</v>
      </c>
      <c r="MP17" s="46">
        <v>0</v>
      </c>
      <c r="MQ17" s="46">
        <v>0</v>
      </c>
      <c r="MR17" s="46">
        <v>0</v>
      </c>
      <c r="MS17" s="46">
        <v>0</v>
      </c>
      <c r="MT17" s="46">
        <v>17323372</v>
      </c>
      <c r="MU17" s="46">
        <v>13705491</v>
      </c>
      <c r="MV17" s="46">
        <v>0</v>
      </c>
      <c r="MW17" s="46">
        <v>6734907</v>
      </c>
      <c r="MX17" s="46">
        <v>0</v>
      </c>
      <c r="MY17" s="46">
        <v>0</v>
      </c>
      <c r="MZ17" s="46">
        <v>0</v>
      </c>
      <c r="NA17" s="46">
        <v>0</v>
      </c>
      <c r="NB17" s="46">
        <v>0</v>
      </c>
      <c r="NC17" s="46">
        <v>5776375</v>
      </c>
      <c r="ND17" s="46">
        <v>16424288</v>
      </c>
      <c r="NE17" s="46">
        <v>0</v>
      </c>
      <c r="NF17" s="46">
        <v>0</v>
      </c>
      <c r="NG17" s="46">
        <v>0</v>
      </c>
      <c r="NH17" s="46">
        <v>0</v>
      </c>
      <c r="NI17" s="46">
        <v>3305684</v>
      </c>
      <c r="NJ17" s="46">
        <v>0</v>
      </c>
      <c r="NK17" s="46">
        <v>0</v>
      </c>
      <c r="NL17" s="46">
        <v>930764</v>
      </c>
      <c r="NM17" s="46">
        <v>11794736</v>
      </c>
      <c r="NN17" s="46">
        <v>0</v>
      </c>
      <c r="NO17" s="46">
        <v>11294713</v>
      </c>
      <c r="NP17" s="46">
        <v>0</v>
      </c>
      <c r="NQ17" s="46">
        <v>0</v>
      </c>
      <c r="NR17" s="46">
        <v>0</v>
      </c>
      <c r="NS17" s="46">
        <v>0</v>
      </c>
      <c r="NT17" s="46">
        <v>0</v>
      </c>
      <c r="NU17" s="46">
        <v>0</v>
      </c>
      <c r="NV17" s="46">
        <v>0</v>
      </c>
      <c r="NW17" s="46">
        <v>40747503</v>
      </c>
      <c r="NX17" s="46">
        <v>0</v>
      </c>
      <c r="NY17" s="46">
        <v>0</v>
      </c>
      <c r="NZ17" s="46">
        <v>0</v>
      </c>
      <c r="OA17" s="46">
        <v>0</v>
      </c>
      <c r="OB17" s="46">
        <v>0</v>
      </c>
      <c r="OC17" s="46">
        <v>0</v>
      </c>
      <c r="OD17" s="46">
        <v>1221206</v>
      </c>
      <c r="OE17" s="46">
        <v>1020546</v>
      </c>
      <c r="OF17" s="46">
        <v>285123</v>
      </c>
      <c r="OG17" s="46">
        <v>7477551</v>
      </c>
      <c r="OH17" s="46">
        <v>0</v>
      </c>
      <c r="OI17" s="46">
        <v>0</v>
      </c>
      <c r="OJ17" s="46">
        <v>0</v>
      </c>
      <c r="OK17" s="46">
        <v>0</v>
      </c>
      <c r="OL17" s="46">
        <v>0</v>
      </c>
      <c r="OM17" s="46">
        <v>8595</v>
      </c>
      <c r="ON17" s="46">
        <v>914796</v>
      </c>
      <c r="OO17" s="46">
        <v>113</v>
      </c>
      <c r="OP17" s="46">
        <v>1000</v>
      </c>
      <c r="OQ17" s="46">
        <v>0</v>
      </c>
      <c r="OR17" s="46">
        <v>0</v>
      </c>
      <c r="OS17" s="46">
        <v>0</v>
      </c>
      <c r="OT17" s="46">
        <v>0</v>
      </c>
      <c r="OU17" s="46">
        <v>123999</v>
      </c>
      <c r="OV17" s="46">
        <v>0</v>
      </c>
      <c r="OW17" s="46">
        <v>0</v>
      </c>
      <c r="OX17" s="46">
        <v>0</v>
      </c>
      <c r="OY17" s="46">
        <v>0</v>
      </c>
      <c r="OZ17" s="46">
        <v>0</v>
      </c>
      <c r="PA17" s="46">
        <v>0</v>
      </c>
      <c r="PB17" s="46">
        <v>3537859</v>
      </c>
      <c r="PC17" s="46">
        <v>0</v>
      </c>
      <c r="PD17" s="46">
        <v>0</v>
      </c>
      <c r="PE17" s="46">
        <v>4207237</v>
      </c>
      <c r="PF17" s="46">
        <v>15783055</v>
      </c>
      <c r="PG17" s="46">
        <v>22667793</v>
      </c>
      <c r="PH17" s="46">
        <v>-50527249</v>
      </c>
      <c r="PI17" s="46">
        <v>0</v>
      </c>
      <c r="PJ17" s="46">
        <v>2410629</v>
      </c>
      <c r="PK17" s="46">
        <v>23029532</v>
      </c>
      <c r="PL17" s="46">
        <v>0</v>
      </c>
      <c r="PM17" s="46">
        <v>0</v>
      </c>
      <c r="PN17" s="46">
        <v>0</v>
      </c>
      <c r="PO17" s="46">
        <v>0</v>
      </c>
      <c r="PP17" s="46">
        <v>0</v>
      </c>
      <c r="PQ17" s="46">
        <v>0</v>
      </c>
      <c r="PR17" s="46">
        <v>0</v>
      </c>
      <c r="PS17" s="46">
        <v>0</v>
      </c>
      <c r="PT17" s="46">
        <v>0</v>
      </c>
      <c r="PU17" s="46">
        <v>0</v>
      </c>
      <c r="PV17" s="46">
        <v>0</v>
      </c>
      <c r="PW17" s="46">
        <v>-8653499</v>
      </c>
      <c r="PX17" s="46">
        <v>-898279</v>
      </c>
      <c r="PY17" s="46">
        <v>-5038688</v>
      </c>
      <c r="PZ17" s="46">
        <v>0</v>
      </c>
      <c r="QA17" s="46">
        <v>0</v>
      </c>
      <c r="QB17" s="46">
        <v>0</v>
      </c>
      <c r="QC17" s="46">
        <v>0</v>
      </c>
      <c r="QD17" s="46">
        <v>0</v>
      </c>
      <c r="QE17" s="46">
        <v>0</v>
      </c>
      <c r="QF17" s="46">
        <v>0</v>
      </c>
      <c r="QG17" s="46">
        <v>6872470</v>
      </c>
      <c r="QH17" s="46">
        <v>0</v>
      </c>
      <c r="QI17" s="46">
        <v>0</v>
      </c>
      <c r="QJ17" s="46">
        <v>0</v>
      </c>
      <c r="QK17" s="46">
        <v>367390</v>
      </c>
      <c r="QL17" s="46">
        <v>0</v>
      </c>
      <c r="QM17" s="46">
        <v>0</v>
      </c>
      <c r="QN17" s="46">
        <v>0</v>
      </c>
      <c r="QO17" s="46">
        <v>0</v>
      </c>
      <c r="QP17" s="46">
        <v>0</v>
      </c>
      <c r="QQ17" s="46">
        <v>0</v>
      </c>
      <c r="QR17" s="46">
        <v>0</v>
      </c>
      <c r="QS17" s="46">
        <v>0</v>
      </c>
      <c r="QT17" s="46">
        <v>1238204</v>
      </c>
      <c r="QU17" s="46">
        <v>0</v>
      </c>
      <c r="QV17" s="46">
        <v>0</v>
      </c>
      <c r="QW17" s="46">
        <v>0</v>
      </c>
      <c r="QX17" s="46">
        <v>0</v>
      </c>
      <c r="QY17" s="46">
        <v>0</v>
      </c>
      <c r="QZ17" s="46">
        <v>0</v>
      </c>
      <c r="RA17" s="46">
        <v>0</v>
      </c>
      <c r="RB17" s="46">
        <v>0</v>
      </c>
      <c r="RC17" s="46">
        <v>0</v>
      </c>
      <c r="RD17" s="46">
        <v>0</v>
      </c>
      <c r="RE17" s="46">
        <v>0</v>
      </c>
      <c r="RF17" s="46">
        <v>0</v>
      </c>
      <c r="RG17" s="46">
        <v>0</v>
      </c>
      <c r="RH17" s="46">
        <v>0</v>
      </c>
      <c r="RI17" s="46">
        <v>0</v>
      </c>
      <c r="RJ17" s="46">
        <v>0</v>
      </c>
      <c r="RK17" s="46">
        <v>0</v>
      </c>
      <c r="RL17" s="46">
        <v>0</v>
      </c>
      <c r="RM17" s="46">
        <v>0</v>
      </c>
      <c r="RN17" s="46">
        <v>0</v>
      </c>
      <c r="RO17" s="46">
        <v>-26074275</v>
      </c>
      <c r="RP17" s="46">
        <v>0</v>
      </c>
      <c r="RQ17" s="46">
        <v>0</v>
      </c>
      <c r="RR17" s="46">
        <v>0</v>
      </c>
      <c r="RS17" s="46">
        <v>0</v>
      </c>
      <c r="RT17" s="46">
        <v>0</v>
      </c>
      <c r="RU17" s="46">
        <v>0</v>
      </c>
      <c r="RV17" s="46">
        <v>0</v>
      </c>
      <c r="RW17" s="46">
        <v>0</v>
      </c>
      <c r="RX17" s="46">
        <v>0</v>
      </c>
      <c r="RY17" s="46">
        <v>0</v>
      </c>
      <c r="RZ17" s="46">
        <v>0</v>
      </c>
      <c r="SA17" s="46">
        <v>0</v>
      </c>
      <c r="SB17" s="46">
        <v>0</v>
      </c>
      <c r="SC17" s="46">
        <v>0</v>
      </c>
      <c r="SD17" s="46">
        <v>0</v>
      </c>
      <c r="SE17" s="46">
        <v>0</v>
      </c>
      <c r="SF17" s="46">
        <v>0</v>
      </c>
      <c r="SG17" s="46">
        <v>0</v>
      </c>
      <c r="SH17" s="46">
        <v>0</v>
      </c>
      <c r="SI17" s="46">
        <v>0</v>
      </c>
      <c r="SJ17" s="46">
        <v>0</v>
      </c>
      <c r="SK17" s="46">
        <v>0</v>
      </c>
      <c r="SL17" s="46">
        <v>0</v>
      </c>
      <c r="SM17" s="46">
        <v>0</v>
      </c>
      <c r="SN17" s="46">
        <v>0</v>
      </c>
      <c r="SO17" s="46">
        <v>0</v>
      </c>
      <c r="SP17" s="46">
        <v>0</v>
      </c>
      <c r="SQ17" s="46">
        <v>1221206</v>
      </c>
      <c r="SR17" s="46">
        <v>1020546</v>
      </c>
      <c r="SS17" s="46">
        <v>285123</v>
      </c>
      <c r="ST17" s="46">
        <v>7477551</v>
      </c>
      <c r="SU17" s="46">
        <v>0</v>
      </c>
      <c r="SV17" s="46">
        <v>0</v>
      </c>
      <c r="SW17" s="46">
        <v>-3537859</v>
      </c>
      <c r="SX17" s="46">
        <v>0</v>
      </c>
      <c r="SY17" s="46">
        <v>0</v>
      </c>
      <c r="SZ17" s="46">
        <v>5439</v>
      </c>
      <c r="TA17" s="46">
        <v>5095636</v>
      </c>
      <c r="TB17" s="46">
        <v>1681880</v>
      </c>
      <c r="TC17" s="46">
        <v>0</v>
      </c>
      <c r="TD17" s="46">
        <v>1687926</v>
      </c>
      <c r="TE17" s="46">
        <v>526397</v>
      </c>
      <c r="TF17" s="46">
        <v>375394</v>
      </c>
      <c r="TG17" s="46">
        <v>346631</v>
      </c>
      <c r="TH17" s="46">
        <v>0</v>
      </c>
      <c r="TI17" s="46">
        <v>285123</v>
      </c>
      <c r="TJ17" s="46">
        <v>0</v>
      </c>
      <c r="TK17" s="46">
        <v>0</v>
      </c>
      <c r="TL17" s="46">
        <v>2500591</v>
      </c>
      <c r="TM17" s="46">
        <v>0</v>
      </c>
      <c r="TN17" s="46">
        <v>0</v>
      </c>
      <c r="TO17" s="46">
        <v>0</v>
      </c>
      <c r="TP17" s="46">
        <v>0</v>
      </c>
      <c r="TQ17" s="46">
        <v>0</v>
      </c>
      <c r="TR17" s="46">
        <v>0</v>
      </c>
      <c r="TS17" s="46">
        <v>0</v>
      </c>
      <c r="TT17" s="46">
        <v>0</v>
      </c>
      <c r="TU17" s="46">
        <v>31676</v>
      </c>
      <c r="TV17" s="46">
        <v>0</v>
      </c>
      <c r="TW17" s="46">
        <v>0</v>
      </c>
      <c r="TX17" s="46">
        <v>0</v>
      </c>
      <c r="TY17" s="46">
        <v>0</v>
      </c>
      <c r="TZ17" s="46">
        <v>0</v>
      </c>
      <c r="UA17" s="46">
        <v>0</v>
      </c>
      <c r="UB17" s="46">
        <v>0</v>
      </c>
      <c r="UC17" s="46">
        <v>0</v>
      </c>
      <c r="UD17" s="46">
        <v>0</v>
      </c>
      <c r="UE17" s="46">
        <v>57835603</v>
      </c>
      <c r="UF17" s="46">
        <v>40166731</v>
      </c>
      <c r="UG17" s="46">
        <v>20811201</v>
      </c>
      <c r="UH17" s="46">
        <v>0</v>
      </c>
      <c r="UI17" s="46">
        <v>35880234</v>
      </c>
      <c r="UJ17" s="46">
        <v>26492453</v>
      </c>
      <c r="UK17" s="46">
        <v>37763770</v>
      </c>
      <c r="UL17" s="46">
        <v>25506347</v>
      </c>
      <c r="UM17" s="46">
        <v>24020213</v>
      </c>
      <c r="UN17" s="46">
        <v>40747503</v>
      </c>
      <c r="UO17"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10004426</v>
      </c>
      <c r="UP17" s="46">
        <f>SUM(Input[[#This Row],[Oth Exp E&amp;G]],Input[[#This Row],[Oth Exp Desg]],Input[[#This Row],[Oth Exp Aux]],Input[[#This Row],[Oth Exp R Exp]],Input[[#This Row],[Oth Exp Loan]],Input[[#This Row],[Oth Exp Annuity]],Input[[#This Row],[Oth Exp Unexp]],Input[[#This Row],[Oth Exp R of Ind]],Input[[#This Row],[Oth Exp Inv in P]])</f>
        <v>1048503</v>
      </c>
      <c r="UQ17" s="46"/>
      <c r="UR17" s="46"/>
      <c r="US17" s="8" t="s">
        <v>742</v>
      </c>
      <c r="UT17" s="47">
        <v>9798459761</v>
      </c>
      <c r="UU17" s="8" t="s">
        <v>71</v>
      </c>
      <c r="UV17" s="8" t="s">
        <v>759</v>
      </c>
      <c r="UW17" s="47">
        <v>9362611909</v>
      </c>
      <c r="UX17" s="8" t="s">
        <v>760</v>
      </c>
      <c r="UY17" s="51" cm="1">
        <f t="array" ref="UY17">IFERROR(_xlfn.IFS(Input[[#This Row],[Type]]="HRI",SUMIFS('FTSE | FTFE'!$P$8:$P$77,'FTSE | FTFE'!$H$8:$H$77,A17),Input[[#This Row],[Type]]="UNIV",SUMIFS('FTSE | FTFE'!$P$104:$P$139,'FTSE | FTFE'!$H$104:$H$139,A17),OR(Input[[#This Row],[Type]]="TSTC",Input[[#This Row],[Type]]="LSC"),SUMIFS('FTSE | FTFE'!$O$88:$O$96,'FTSE | FTFE'!$H$88:$H$96,A17),Input[[#This Row],[Type]]="AHM",SUMIFS(Hidden!$H$42:$H$45,Hidden!$G$42:$G$45,A17)),"N/A")</f>
        <v>8992</v>
      </c>
      <c r="UZ17" s="51" cm="1">
        <f t="array" ref="UZ17">IFERROR(_xlfn.IFS(Input[[#This Row],[Type]]="HRI",SUMIFS('FTSE | FTFE'!$Q$8:$Q$77,'FTSE | FTFE'!$H$8:$H$77,A17),Input[[#This Row],[Type]]="UNIV",SUMIFS('FTSE | FTFE'!$Q$104:$Q$139,'FTSE | FTFE'!$H$104:$H$139,A17),OR(Input[[#This Row],[Type]]="TSTC",Input[[#This Row],[Type]]="LSC"),SUMIFS('FTSE | FTFE'!$P$88:$P$96,'FTSE | FTFE'!$H$88:$H$96,A17)),"N/A")</f>
        <v>223</v>
      </c>
      <c r="VA1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92995236</v>
      </c>
      <c r="VB1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40260000</v>
      </c>
      <c r="VC17" s="46">
        <f>SUM(Input[[#This Row],[Fed G&amp;C E&amp;G]],Input[[#This Row],[Fed G&amp;C Desg]],Input[[#This Row],[Fed G&amp;C R Exp]],Input[[#This Row],[Fed G&amp;C Loan]],Input[[#This Row],[Fed G&amp;C Annuity]],Input[[#This Row],[Fed G&amp;C Unexp]],Input[[#This Row],[Fed G&amp;C R of Ind]],Input[[#This Row],[Fed G&amp;C Inv in P]])</f>
        <v>108881460</v>
      </c>
      <c r="VD1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45911053</v>
      </c>
      <c r="VE1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35193041</v>
      </c>
      <c r="VF1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13662009</v>
      </c>
      <c r="VG17" s="46">
        <f>SUM(Input[[#This Row],[Oth Inc E&amp;G]],Input[[#This Row],[Oth Exp Desg]],Input[[#This Row],[Oth Exp R Exp]],Input[[#This Row],[Oth Exp Loan]],Input[[#This Row],[Oth Exp Annuity]],Input[[#This Row],[Oth Exp Unexp]],Input[[#This Row],[Oth Exp R of Ind]],Input[[#This Row],[Oth Exp Inv in P]])</f>
        <v>2773152</v>
      </c>
      <c r="VH17" s="46">
        <f>SUM(Input[[#This Row],[Instr E&amp;G]],Input[[#This Row],[Instr Desg]],Input[[#This Row],[Instr R Exp]],Input[[#This Row],[Instr Loan]],Input[[#This Row],[Instr Annuity]],Input[[#This Row],[Instr Unexp]],Input[[#This Row],[Instr R of Ind]],Input[[#This Row],[Instr Inv in P]])</f>
        <v>57835603</v>
      </c>
      <c r="VI17" s="46">
        <f>SUM(Input[[#This Row],[Res E&amp;G]],Input[[#This Row],[Res Desg]],Input[[#This Row],[Res R Exp]],Input[[#This Row],[Res Loan]],Input[[#This Row],[Res Annuity]],Input[[#This Row],[Res Unexp]],Input[[#This Row],[Res R of Ind]],Input[[#This Row],[Res Inv in P]])</f>
        <v>40166731</v>
      </c>
      <c r="VJ17" s="46">
        <f>SUM(Input[[#This Row],[Acad Sup E&amp;G]],Input[[#This Row],[Acad Sup Desg]],Input[[#This Row],[Acad Sup R Exp]],Input[[#This Row],[Acad Sup Loan]],Input[[#This Row],[Acad Sup Annuity]],Input[[#This Row],[Acad Sup Unexp]],Input[[#This Row],[Acad Sup R of Ind]],Input[[#This Row],[Acad Sup Inv in P]])</f>
        <v>35880234</v>
      </c>
      <c r="VK17" s="46">
        <f>SUM(Input[[#This Row],[Stu Svc E&amp;G]],Input[[#This Row],[Stu Svc Desg]],Input[[#This Row],[Stu Svc R Exp]],Input[[#This Row],[Stu Svc Loan]],Input[[#This Row],[Stu Svc Annuity]],Input[[#This Row],[Stu Svc Unexp]],Input[[#This Row],[Stu Svc R of Ind]],Input[[#This Row],[Stu Svc Inv in P]])</f>
        <v>26492453</v>
      </c>
      <c r="VL17" s="46">
        <f>SUM(Input[[#This Row],[Inst. Spt E&amp;G]],Input[[#This Row],[Inst. Spt Desg]],Input[[#This Row],[Inst. Spt R Exp]],Input[[#This Row],[Inst. Spt Loan]],Input[[#This Row],[Inst. Spt Annuity]],Input[[#This Row],[Inst. Spt Unexp]],Input[[#This Row],[Inst. Spt R of Ind]],Input[[#This Row],[Inst. Spt Inv in P]])</f>
        <v>37763770</v>
      </c>
      <c r="VM17" s="46">
        <f>SUM(Input[[#This Row],[M&amp;O Plnt E&amp;G]],Input[[#This Row],[M&amp;O Plnt Desg]],Input[[#This Row],[M&amp;O Plnt R Exp]],Input[[#This Row],[M&amp;O Plnt Loan]],Input[[#This Row],[M&amp;O Plnt Annuity]],Input[[#This Row],[M&amp;O Plnt Unexp]],Input[[#This Row],[M&amp;O Plnt R of Ind]],Input[[#This Row],[M&amp;O Plnt Inv in P]])</f>
        <v>25506347</v>
      </c>
      <c r="VN17" s="46">
        <f>SUM(Input[[#This Row],[Schl &amp; Fell E&amp;G]],Input[[#This Row],[Schl &amp; Fell Desg]],Input[[#This Row],[Schl &amp; Fell R Exp]],Input[[#This Row],[Schl &amp; Fell Loan]],Input[[#This Row],[Schl &amp; Fell Annuity]],Input[[#This Row],[Schl &amp; Fell Unexp]],Input[[#This Row],[Schl &amp; Fell R of Ind]],Input[[#This Row],[Schl &amp; Fell Inv in P]])</f>
        <v>24020213</v>
      </c>
      <c r="VO17" s="46">
        <f>SUM(Input[[#This Row],[Cap Out fund E&amp;G]],Input[[#This Row],[Cap Out fund Desg]],Input[[#This Row],[Cap Out fund R Exp]],Input[[#This Row],[Cap Out fund Loan]],Input[[#This Row],[Cap Out fund Annuity]],Input[[#This Row],[Cap Out fund Unexp]],Input[[#This Row],[Cap Out fund R of Ind]],Input[[#This Row],[Cap Out fund Inv in P]])</f>
        <v>9719303</v>
      </c>
      <c r="VP17" s="46">
        <f>SUM(Input[[#This Row],[Oth Exp E&amp;G]],Input[[#This Row],[Oth Exp Desg]],Input[[#This Row],[Oth Exp R Exp]],Input[[#This Row],[Oth Exp Loan]],Input[[#This Row],[Oth Exp Annuity]],Input[[#This Row],[Oth Exp Unexp]],Input[[#This Row],[Oth Exp R of Ind]],Input[[#This Row],[Oth Exp Inv in P]],Input[[#This Row],[Oth Exp Inv in P]])</f>
        <v>1172389</v>
      </c>
    </row>
    <row r="18" spans="1:588" ht="30" customHeight="1" x14ac:dyDescent="0.3">
      <c r="A18" s="15" t="s">
        <v>7</v>
      </c>
      <c r="B18" s="36" t="s">
        <v>111</v>
      </c>
      <c r="C18" s="36" t="s">
        <v>110</v>
      </c>
      <c r="D18" s="36">
        <v>205</v>
      </c>
      <c r="E18" s="36" t="s">
        <v>132</v>
      </c>
      <c r="F18" s="95" cm="1">
        <f t="array" ref="F18">IFERROR(_xlfn.IFS(Input[[#This Row],[Type]]="HRI",SUMIFS('FTSE | FTFE'!$I$8:$I$77,'FTSE | FTFE'!$H$8:$H$77,A18),Input[[#This Row],[Type]]="UNIV",SUMIFS('FTSE | FTFE'!$I$104:$I$139,'FTSE | FTFE'!$H$104:$H$139,A18),OR(Input[[#This Row],[Type]]="TSTC",Input[[#This Row],[Type]]="LSC"),SUMIFS('FTSE | FTFE'!$I$88:$I$96,'FTSE | FTFE'!$H$88:$H$96,A18)),"N/A")</f>
        <v>3631</v>
      </c>
      <c r="G18" s="46">
        <v>83806500</v>
      </c>
      <c r="H18" s="46">
        <v>0</v>
      </c>
      <c r="I18" s="46">
        <v>0</v>
      </c>
      <c r="J18" s="46">
        <v>0</v>
      </c>
      <c r="K18" s="46">
        <v>0</v>
      </c>
      <c r="L18" s="46">
        <v>0</v>
      </c>
      <c r="M18" s="46">
        <v>0</v>
      </c>
      <c r="N18" s="46">
        <v>0</v>
      </c>
      <c r="O18" s="46">
        <v>0</v>
      </c>
      <c r="P18" s="46">
        <v>792837</v>
      </c>
      <c r="Q18" s="46">
        <v>4211261</v>
      </c>
      <c r="R18" s="46">
        <v>0</v>
      </c>
      <c r="S18" s="46">
        <v>15816893</v>
      </c>
      <c r="T18" s="46">
        <v>0</v>
      </c>
      <c r="U18" s="46">
        <v>0</v>
      </c>
      <c r="V18" s="46">
        <v>0</v>
      </c>
      <c r="W18" s="46">
        <v>0</v>
      </c>
      <c r="X18" s="46">
        <v>0</v>
      </c>
      <c r="Y18" s="46">
        <v>0</v>
      </c>
      <c r="Z18" s="46">
        <v>0</v>
      </c>
      <c r="AA18" s="46">
        <v>0</v>
      </c>
      <c r="AB18" s="46">
        <v>0</v>
      </c>
      <c r="AC18" s="46">
        <v>0</v>
      </c>
      <c r="AD18" s="46">
        <v>0</v>
      </c>
      <c r="AE18" s="46">
        <v>0</v>
      </c>
      <c r="AF18" s="46">
        <v>0</v>
      </c>
      <c r="AG18" s="46">
        <v>0</v>
      </c>
      <c r="AH18" s="46">
        <v>0</v>
      </c>
      <c r="AI18" s="46">
        <v>0</v>
      </c>
      <c r="AJ18" s="46">
        <v>0</v>
      </c>
      <c r="AK18" s="46">
        <v>0</v>
      </c>
      <c r="AL18" s="46">
        <v>0</v>
      </c>
      <c r="AM18" s="46">
        <v>0</v>
      </c>
      <c r="AN18" s="46">
        <v>0</v>
      </c>
      <c r="AO18" s="46">
        <v>0</v>
      </c>
      <c r="AP18" s="46">
        <v>0</v>
      </c>
      <c r="AQ18" s="46">
        <v>-5811716</v>
      </c>
      <c r="AR18" s="46">
        <v>0</v>
      </c>
      <c r="AS18" s="46">
        <v>0</v>
      </c>
      <c r="AT18" s="46">
        <v>0</v>
      </c>
      <c r="AU18" s="46">
        <v>0</v>
      </c>
      <c r="AV18" s="46">
        <v>0</v>
      </c>
      <c r="AW18" s="46">
        <v>0</v>
      </c>
      <c r="AX18" s="46">
        <v>0</v>
      </c>
      <c r="AY18" s="46">
        <v>0</v>
      </c>
      <c r="AZ18" s="46">
        <v>0</v>
      </c>
      <c r="BA18" s="46">
        <v>0</v>
      </c>
      <c r="BB18" s="46">
        <v>0</v>
      </c>
      <c r="BC18" s="46">
        <v>0</v>
      </c>
      <c r="BD18" s="46">
        <v>0</v>
      </c>
      <c r="BE18" s="46">
        <v>0</v>
      </c>
      <c r="BF18" s="46">
        <v>0</v>
      </c>
      <c r="BG18" s="46">
        <v>0</v>
      </c>
      <c r="BH18" s="46">
        <v>0</v>
      </c>
      <c r="BI18" s="46">
        <v>0</v>
      </c>
      <c r="BJ18" s="46">
        <v>0</v>
      </c>
      <c r="BK18" s="46">
        <v>0</v>
      </c>
      <c r="BL18" s="46">
        <v>0</v>
      </c>
      <c r="BM18" s="46">
        <v>0</v>
      </c>
      <c r="BN18" s="46">
        <v>0</v>
      </c>
      <c r="BO18" s="46">
        <v>0</v>
      </c>
      <c r="BP18" s="46">
        <v>0</v>
      </c>
      <c r="BQ18" s="46">
        <v>0</v>
      </c>
      <c r="BR18" s="46">
        <v>0</v>
      </c>
      <c r="BS18" s="46">
        <v>0</v>
      </c>
      <c r="BT18" s="46">
        <v>0</v>
      </c>
      <c r="BU18" s="46">
        <v>0</v>
      </c>
      <c r="BV18" s="46">
        <v>0</v>
      </c>
      <c r="BW18" s="46">
        <v>0</v>
      </c>
      <c r="BX18" s="46">
        <v>0</v>
      </c>
      <c r="BY18" s="46">
        <v>0</v>
      </c>
      <c r="BZ18" s="46">
        <v>0</v>
      </c>
      <c r="CA18" s="46">
        <v>23442718</v>
      </c>
      <c r="CB18" s="46">
        <v>65890000</v>
      </c>
      <c r="CC18" s="46">
        <v>0</v>
      </c>
      <c r="CD18" s="46">
        <v>0</v>
      </c>
      <c r="CE18" s="46">
        <v>0</v>
      </c>
      <c r="CF18" s="46">
        <v>0</v>
      </c>
      <c r="CG18" s="46">
        <v>0</v>
      </c>
      <c r="CH18" s="46">
        <v>0</v>
      </c>
      <c r="CI18" s="46">
        <v>0</v>
      </c>
      <c r="CJ18" s="46">
        <v>0</v>
      </c>
      <c r="CK18" s="46">
        <v>0</v>
      </c>
      <c r="CL18" s="46">
        <v>0</v>
      </c>
      <c r="CM18" s="46">
        <v>0</v>
      </c>
      <c r="CN18" s="46">
        <v>0</v>
      </c>
      <c r="CO18" s="46">
        <v>0</v>
      </c>
      <c r="CP18" s="46">
        <v>0</v>
      </c>
      <c r="CQ18" s="46">
        <v>0</v>
      </c>
      <c r="CR18" s="46">
        <v>0</v>
      </c>
      <c r="CS18" s="46">
        <v>0</v>
      </c>
      <c r="CT18" s="46">
        <v>0</v>
      </c>
      <c r="CU18" s="46">
        <v>0</v>
      </c>
      <c r="CV18" s="46">
        <v>0</v>
      </c>
      <c r="CW18" s="46">
        <v>0</v>
      </c>
      <c r="CX18" s="46">
        <v>0</v>
      </c>
      <c r="CY18" s="46">
        <v>0</v>
      </c>
      <c r="CZ18" s="46">
        <v>0</v>
      </c>
      <c r="DA18" s="46">
        <v>0</v>
      </c>
      <c r="DB18" s="46">
        <v>-1848052</v>
      </c>
      <c r="DC18" s="46">
        <v>-5377304</v>
      </c>
      <c r="DD18" s="46">
        <v>0</v>
      </c>
      <c r="DE18" s="46">
        <v>0</v>
      </c>
      <c r="DF18" s="46">
        <v>0</v>
      </c>
      <c r="DG18" s="46">
        <v>0</v>
      </c>
      <c r="DH18" s="46">
        <v>0</v>
      </c>
      <c r="DI18" s="46">
        <v>0</v>
      </c>
      <c r="DJ18" s="46">
        <v>0</v>
      </c>
      <c r="DK18" s="46">
        <v>-64300</v>
      </c>
      <c r="DL18" s="46">
        <v>0</v>
      </c>
      <c r="DM18" s="46">
        <v>0</v>
      </c>
      <c r="DN18" s="46">
        <v>0</v>
      </c>
      <c r="DO18" s="46">
        <v>0</v>
      </c>
      <c r="DP18" s="46">
        <v>0</v>
      </c>
      <c r="DQ18" s="46">
        <v>0</v>
      </c>
      <c r="DR18" s="46">
        <v>0</v>
      </c>
      <c r="DS18" s="46">
        <v>0</v>
      </c>
      <c r="DT18" s="46">
        <v>-6041690</v>
      </c>
      <c r="DU18" s="46">
        <v>-16978971</v>
      </c>
      <c r="DV18" s="46">
        <v>0</v>
      </c>
      <c r="DW18" s="46">
        <v>0</v>
      </c>
      <c r="DX18" s="46">
        <v>0</v>
      </c>
      <c r="DY18" s="46">
        <v>0</v>
      </c>
      <c r="DZ18" s="46">
        <v>0</v>
      </c>
      <c r="EA18" s="46">
        <v>0</v>
      </c>
      <c r="EB18" s="46">
        <v>0</v>
      </c>
      <c r="EC18" s="46">
        <v>0</v>
      </c>
      <c r="ED18" s="46">
        <v>0</v>
      </c>
      <c r="EE18" s="46">
        <v>0</v>
      </c>
      <c r="EF18" s="46">
        <v>0</v>
      </c>
      <c r="EG18" s="46">
        <v>0</v>
      </c>
      <c r="EH18" s="46">
        <v>0</v>
      </c>
      <c r="EI18" s="46">
        <v>0</v>
      </c>
      <c r="EJ18" s="46">
        <v>0</v>
      </c>
      <c r="EK18" s="46">
        <v>0</v>
      </c>
      <c r="EL18" s="46">
        <v>0</v>
      </c>
      <c r="EM18" s="46">
        <v>0</v>
      </c>
      <c r="EN18" s="46">
        <v>0</v>
      </c>
      <c r="EO18" s="46">
        <v>0</v>
      </c>
      <c r="EP18" s="46">
        <v>0</v>
      </c>
      <c r="EQ18" s="46">
        <v>0</v>
      </c>
      <c r="ER18" s="46">
        <v>0</v>
      </c>
      <c r="ES18" s="46">
        <v>0</v>
      </c>
      <c r="ET18" s="46">
        <v>0</v>
      </c>
      <c r="EU18" s="46">
        <v>0</v>
      </c>
      <c r="EV18" s="46">
        <v>0</v>
      </c>
      <c r="EW18" s="46">
        <v>0</v>
      </c>
      <c r="EX18" s="46">
        <v>0</v>
      </c>
      <c r="EY18" s="46">
        <v>0</v>
      </c>
      <c r="EZ18" s="46">
        <v>0</v>
      </c>
      <c r="FA18" s="46">
        <v>0</v>
      </c>
      <c r="FB18" s="46">
        <v>0</v>
      </c>
      <c r="FC18" s="46">
        <v>0</v>
      </c>
      <c r="FD18" s="46">
        <v>0</v>
      </c>
      <c r="FE18" s="46">
        <v>0</v>
      </c>
      <c r="FF18" s="46">
        <v>0</v>
      </c>
      <c r="FG18" s="46">
        <v>0</v>
      </c>
      <c r="FH18" s="46">
        <v>0</v>
      </c>
      <c r="FI18" s="46">
        <v>0</v>
      </c>
      <c r="FJ18" s="46">
        <v>0</v>
      </c>
      <c r="FK18" s="46">
        <v>0</v>
      </c>
      <c r="FL18" s="46">
        <v>0</v>
      </c>
      <c r="FM18" s="46">
        <v>11646</v>
      </c>
      <c r="FN18" s="46">
        <v>40991623</v>
      </c>
      <c r="FO18" s="46">
        <v>18374478</v>
      </c>
      <c r="FP18" s="46">
        <v>0</v>
      </c>
      <c r="FQ18" s="46">
        <v>0</v>
      </c>
      <c r="FR18" s="46">
        <v>0</v>
      </c>
      <c r="FS18" s="46">
        <v>0</v>
      </c>
      <c r="FT18" s="46">
        <v>0</v>
      </c>
      <c r="FU18" s="46">
        <v>0</v>
      </c>
      <c r="FV18" s="46">
        <v>0</v>
      </c>
      <c r="FW18" s="46">
        <v>0</v>
      </c>
      <c r="FX18" s="46">
        <v>0</v>
      </c>
      <c r="FY18" s="46">
        <v>0</v>
      </c>
      <c r="FZ18" s="46">
        <v>0</v>
      </c>
      <c r="GA18" s="46">
        <v>0</v>
      </c>
      <c r="GB18" s="46">
        <v>0</v>
      </c>
      <c r="GC18" s="46">
        <v>0</v>
      </c>
      <c r="GD18" s="46">
        <v>0</v>
      </c>
      <c r="GE18" s="46">
        <v>0</v>
      </c>
      <c r="GF18" s="46">
        <v>0</v>
      </c>
      <c r="GG18" s="46">
        <v>0</v>
      </c>
      <c r="GH18" s="46">
        <v>0</v>
      </c>
      <c r="GI18" s="46">
        <v>0</v>
      </c>
      <c r="GJ18" s="46">
        <v>0</v>
      </c>
      <c r="GK18" s="46">
        <v>0</v>
      </c>
      <c r="GL18" s="46">
        <v>0</v>
      </c>
      <c r="GM18" s="46">
        <v>0</v>
      </c>
      <c r="GN18" s="46">
        <v>-865</v>
      </c>
      <c r="GO18" s="46">
        <v>-3049468</v>
      </c>
      <c r="GP18" s="46">
        <v>-1408497</v>
      </c>
      <c r="GQ18" s="46">
        <v>0</v>
      </c>
      <c r="GR18" s="46">
        <v>0</v>
      </c>
      <c r="GS18" s="46">
        <v>0</v>
      </c>
      <c r="GT18" s="46">
        <v>0</v>
      </c>
      <c r="GU18" s="46">
        <v>0</v>
      </c>
      <c r="GV18" s="46">
        <v>0</v>
      </c>
      <c r="GW18" s="46">
        <v>0</v>
      </c>
      <c r="GX18" s="46">
        <v>0</v>
      </c>
      <c r="GY18" s="46">
        <v>0</v>
      </c>
      <c r="GZ18" s="46">
        <v>0</v>
      </c>
      <c r="HA18" s="46">
        <v>0</v>
      </c>
      <c r="HB18" s="46">
        <v>0</v>
      </c>
      <c r="HC18" s="46">
        <v>0</v>
      </c>
      <c r="HD18" s="46">
        <v>0</v>
      </c>
      <c r="HE18" s="46">
        <v>0</v>
      </c>
      <c r="HF18" s="46">
        <v>-3086</v>
      </c>
      <c r="HG18" s="46">
        <v>-10858864</v>
      </c>
      <c r="HH18" s="46">
        <v>-4825907</v>
      </c>
      <c r="HI18" s="46">
        <v>0</v>
      </c>
      <c r="HJ18" s="46">
        <v>0</v>
      </c>
      <c r="HK18" s="46">
        <v>0</v>
      </c>
      <c r="HL18" s="46">
        <v>0</v>
      </c>
      <c r="HM18" s="46">
        <v>0</v>
      </c>
      <c r="HN18" s="46">
        <v>0</v>
      </c>
      <c r="HO18" s="46">
        <v>0</v>
      </c>
      <c r="HP18" s="46">
        <v>867298</v>
      </c>
      <c r="HQ18" s="46">
        <v>0</v>
      </c>
      <c r="HR18" s="46">
        <v>44154134</v>
      </c>
      <c r="HS18" s="46">
        <v>0</v>
      </c>
      <c r="HT18" s="46">
        <v>0</v>
      </c>
      <c r="HU18" s="46">
        <v>0</v>
      </c>
      <c r="HV18" s="46">
        <v>0</v>
      </c>
      <c r="HW18" s="46">
        <v>0</v>
      </c>
      <c r="HX18" s="46">
        <v>0</v>
      </c>
      <c r="HY18" s="46">
        <v>0</v>
      </c>
      <c r="HZ18" s="46">
        <v>0</v>
      </c>
      <c r="IA18" s="46">
        <v>0</v>
      </c>
      <c r="IB18" s="46">
        <v>0</v>
      </c>
      <c r="IC18" s="46">
        <v>0</v>
      </c>
      <c r="ID18" s="46">
        <v>0</v>
      </c>
      <c r="IE18" s="46">
        <v>0</v>
      </c>
      <c r="IF18" s="46">
        <v>0</v>
      </c>
      <c r="IG18" s="46">
        <v>0</v>
      </c>
      <c r="IH18" s="46">
        <v>0</v>
      </c>
      <c r="II18" s="46">
        <v>0</v>
      </c>
      <c r="IJ18" s="46">
        <v>0</v>
      </c>
      <c r="IK18" s="46">
        <v>0</v>
      </c>
      <c r="IL18" s="46">
        <v>0</v>
      </c>
      <c r="IM18" s="46">
        <v>0</v>
      </c>
      <c r="IN18" s="46">
        <v>0</v>
      </c>
      <c r="IO18" s="46">
        <v>0</v>
      </c>
      <c r="IP18" s="46">
        <v>685938</v>
      </c>
      <c r="IQ18" s="46">
        <v>12320224</v>
      </c>
      <c r="IR18" s="46">
        <v>778916</v>
      </c>
      <c r="IS18" s="46">
        <v>968264</v>
      </c>
      <c r="IT18" s="46">
        <v>133175</v>
      </c>
      <c r="IU18" s="46">
        <v>554</v>
      </c>
      <c r="IV18" s="46">
        <v>542433</v>
      </c>
      <c r="IW18" s="46">
        <v>0</v>
      </c>
      <c r="IX18" s="46">
        <v>0</v>
      </c>
      <c r="IY18" s="46">
        <v>0</v>
      </c>
      <c r="IZ18" s="46">
        <v>0</v>
      </c>
      <c r="JA18" s="46">
        <v>0</v>
      </c>
      <c r="JB18" s="46">
        <v>0</v>
      </c>
      <c r="JC18" s="46">
        <v>0</v>
      </c>
      <c r="JD18" s="46">
        <v>0</v>
      </c>
      <c r="JE18" s="46">
        <v>0</v>
      </c>
      <c r="JF18" s="46">
        <v>0</v>
      </c>
      <c r="JG18" s="46">
        <v>0</v>
      </c>
      <c r="JH18" s="46">
        <v>0</v>
      </c>
      <c r="JI18" s="46">
        <v>3352188</v>
      </c>
      <c r="JJ18" s="46">
        <v>21964</v>
      </c>
      <c r="JK18" s="46">
        <v>9443626</v>
      </c>
      <c r="JL18" s="46">
        <v>0</v>
      </c>
      <c r="JM18" s="46">
        <v>0</v>
      </c>
      <c r="JN18" s="46">
        <v>0</v>
      </c>
      <c r="JO18" s="46">
        <v>0</v>
      </c>
      <c r="JP18" s="46">
        <v>0</v>
      </c>
      <c r="JQ18" s="46">
        <v>423211</v>
      </c>
      <c r="JR18" s="46">
        <v>3255539</v>
      </c>
      <c r="JS18" s="46">
        <v>0</v>
      </c>
      <c r="JT18" s="46">
        <v>532825</v>
      </c>
      <c r="JU18" s="46">
        <v>0</v>
      </c>
      <c r="JV18" s="46">
        <v>0</v>
      </c>
      <c r="JW18" s="46">
        <v>0</v>
      </c>
      <c r="JX18" s="46">
        <v>0</v>
      </c>
      <c r="JY18" s="46">
        <v>0</v>
      </c>
      <c r="JZ18" s="46">
        <v>0</v>
      </c>
      <c r="KA18" s="46">
        <v>0</v>
      </c>
      <c r="KB18" s="46">
        <v>38336914</v>
      </c>
      <c r="KC18" s="46">
        <v>0</v>
      </c>
      <c r="KD18" s="46">
        <v>0</v>
      </c>
      <c r="KE18" s="46">
        <v>0</v>
      </c>
      <c r="KF18" s="46">
        <v>0</v>
      </c>
      <c r="KG18" s="46">
        <v>0</v>
      </c>
      <c r="KH18" s="46">
        <v>0</v>
      </c>
      <c r="KI18" s="46">
        <v>0</v>
      </c>
      <c r="KJ18" s="46">
        <v>535541</v>
      </c>
      <c r="KK18" s="46">
        <v>2676600</v>
      </c>
      <c r="KL18" s="46">
        <v>12400</v>
      </c>
      <c r="KM18" s="46">
        <v>16013</v>
      </c>
      <c r="KN18" s="46">
        <v>0</v>
      </c>
      <c r="KO18" s="46">
        <v>87459</v>
      </c>
      <c r="KP18" s="46">
        <v>0</v>
      </c>
      <c r="KQ18" s="46">
        <v>0</v>
      </c>
      <c r="KR18" s="46">
        <v>34399498</v>
      </c>
      <c r="KS18" s="46">
        <v>28945358</v>
      </c>
      <c r="KT18" s="46">
        <v>0</v>
      </c>
      <c r="KU18" s="46">
        <v>1079381</v>
      </c>
      <c r="KV18" s="46">
        <v>0</v>
      </c>
      <c r="KW18" s="46">
        <v>0</v>
      </c>
      <c r="KX18" s="46">
        <v>0</v>
      </c>
      <c r="KY18" s="46">
        <v>0</v>
      </c>
      <c r="KZ18" s="46">
        <v>0</v>
      </c>
      <c r="LA18" s="46">
        <v>9052502</v>
      </c>
      <c r="LB18" s="46">
        <v>7194647</v>
      </c>
      <c r="LC18" s="46">
        <v>0</v>
      </c>
      <c r="LD18" s="46">
        <v>6885196</v>
      </c>
      <c r="LE18" s="46">
        <v>0</v>
      </c>
      <c r="LF18" s="46">
        <v>0</v>
      </c>
      <c r="LG18" s="46">
        <v>22040</v>
      </c>
      <c r="LH18" s="46">
        <v>0</v>
      </c>
      <c r="LI18" s="46">
        <v>0</v>
      </c>
      <c r="LJ18" s="46">
        <v>266966</v>
      </c>
      <c r="LK18" s="46">
        <v>3223142</v>
      </c>
      <c r="LL18" s="46">
        <v>0</v>
      </c>
      <c r="LM18" s="46">
        <v>625475</v>
      </c>
      <c r="LN18" s="46">
        <v>0</v>
      </c>
      <c r="LO18" s="46">
        <v>0</v>
      </c>
      <c r="LP18" s="46">
        <v>0</v>
      </c>
      <c r="LQ18" s="46">
        <v>0</v>
      </c>
      <c r="LR18" s="46">
        <v>0</v>
      </c>
      <c r="LS18" s="46">
        <v>0</v>
      </c>
      <c r="LT18" s="46">
        <v>0</v>
      </c>
      <c r="LU18" s="46">
        <v>0</v>
      </c>
      <c r="LV18" s="46">
        <v>0</v>
      </c>
      <c r="LW18" s="46">
        <v>0</v>
      </c>
      <c r="LX18" s="46">
        <v>0</v>
      </c>
      <c r="LY18" s="46">
        <v>0</v>
      </c>
      <c r="LZ18" s="46">
        <v>0</v>
      </c>
      <c r="MA18" s="46">
        <v>0</v>
      </c>
      <c r="MB18" s="46">
        <v>18630983</v>
      </c>
      <c r="MC18" s="46">
        <v>9922169</v>
      </c>
      <c r="MD18" s="46">
        <v>0</v>
      </c>
      <c r="ME18" s="46">
        <v>1325073</v>
      </c>
      <c r="MF18" s="46">
        <v>0</v>
      </c>
      <c r="MG18" s="46">
        <v>0</v>
      </c>
      <c r="MH18" s="46">
        <v>0</v>
      </c>
      <c r="MI18" s="46">
        <v>0</v>
      </c>
      <c r="MJ18" s="46">
        <v>0</v>
      </c>
      <c r="MK18" s="46">
        <v>3818244</v>
      </c>
      <c r="ML18" s="46">
        <v>18374697</v>
      </c>
      <c r="MM18" s="46">
        <v>0</v>
      </c>
      <c r="MN18" s="46">
        <v>3182238</v>
      </c>
      <c r="MO18" s="46">
        <v>83858</v>
      </c>
      <c r="MP18" s="46">
        <v>0</v>
      </c>
      <c r="MQ18" s="46">
        <v>0</v>
      </c>
      <c r="MR18" s="46">
        <v>0</v>
      </c>
      <c r="MS18" s="46">
        <v>0</v>
      </c>
      <c r="MT18" s="46">
        <v>7768283</v>
      </c>
      <c r="MU18" s="46">
        <v>22345017</v>
      </c>
      <c r="MV18" s="46">
        <v>0</v>
      </c>
      <c r="MW18" s="46">
        <v>399846</v>
      </c>
      <c r="MX18" s="46">
        <v>0</v>
      </c>
      <c r="MY18" s="46">
        <v>0</v>
      </c>
      <c r="MZ18" s="46">
        <v>0</v>
      </c>
      <c r="NA18" s="46">
        <v>0</v>
      </c>
      <c r="NB18" s="46">
        <v>0</v>
      </c>
      <c r="NC18" s="46">
        <v>9164597</v>
      </c>
      <c r="ND18" s="46">
        <v>3246333</v>
      </c>
      <c r="NE18" s="46">
        <v>0</v>
      </c>
      <c r="NF18" s="46">
        <v>166658</v>
      </c>
      <c r="NG18" s="46">
        <v>0</v>
      </c>
      <c r="NH18" s="46">
        <v>0</v>
      </c>
      <c r="NI18" s="46">
        <v>4705429</v>
      </c>
      <c r="NJ18" s="46">
        <v>0</v>
      </c>
      <c r="NK18" s="46">
        <v>0</v>
      </c>
      <c r="NL18" s="46">
        <v>2070379</v>
      </c>
      <c r="NM18" s="46">
        <v>9842461</v>
      </c>
      <c r="NN18" s="46">
        <v>0</v>
      </c>
      <c r="NO18" s="46">
        <v>13301357</v>
      </c>
      <c r="NP18" s="46">
        <v>0</v>
      </c>
      <c r="NQ18" s="46">
        <v>0</v>
      </c>
      <c r="NR18" s="46">
        <v>0</v>
      </c>
      <c r="NS18" s="46">
        <v>0</v>
      </c>
      <c r="NT18" s="46">
        <v>0</v>
      </c>
      <c r="NU18" s="46">
        <v>0</v>
      </c>
      <c r="NV18" s="46">
        <v>0</v>
      </c>
      <c r="NW18" s="46">
        <v>69640982</v>
      </c>
      <c r="NX18" s="46">
        <v>0</v>
      </c>
      <c r="NY18" s="46">
        <v>0</v>
      </c>
      <c r="NZ18" s="46">
        <v>0</v>
      </c>
      <c r="OA18" s="46">
        <v>0</v>
      </c>
      <c r="OB18" s="46">
        <v>0</v>
      </c>
      <c r="OC18" s="46">
        <v>0</v>
      </c>
      <c r="OD18" s="46">
        <v>29035</v>
      </c>
      <c r="OE18" s="46">
        <v>1080159</v>
      </c>
      <c r="OF18" s="46">
        <v>464844</v>
      </c>
      <c r="OG18" s="46">
        <v>199724</v>
      </c>
      <c r="OH18" s="46">
        <v>0</v>
      </c>
      <c r="OI18" s="46">
        <v>0</v>
      </c>
      <c r="OJ18" s="46">
        <v>0</v>
      </c>
      <c r="OK18" s="46">
        <v>0</v>
      </c>
      <c r="OL18" s="46">
        <v>0</v>
      </c>
      <c r="OM18" s="46">
        <v>953439</v>
      </c>
      <c r="ON18" s="46">
        <v>653381</v>
      </c>
      <c r="OO18" s="46">
        <v>0</v>
      </c>
      <c r="OP18" s="46">
        <v>0</v>
      </c>
      <c r="OQ18" s="46">
        <v>0</v>
      </c>
      <c r="OR18" s="46">
        <v>0</v>
      </c>
      <c r="OS18" s="46">
        <v>0</v>
      </c>
      <c r="OT18" s="46">
        <v>0</v>
      </c>
      <c r="OU18" s="46">
        <v>307796</v>
      </c>
      <c r="OV18" s="46">
        <v>0</v>
      </c>
      <c r="OW18" s="46">
        <v>0</v>
      </c>
      <c r="OX18" s="46">
        <v>0</v>
      </c>
      <c r="OY18" s="46">
        <v>0</v>
      </c>
      <c r="OZ18" s="46">
        <v>0</v>
      </c>
      <c r="PA18" s="46">
        <v>0</v>
      </c>
      <c r="PB18" s="46">
        <v>28970846</v>
      </c>
      <c r="PC18" s="46">
        <v>0</v>
      </c>
      <c r="PD18" s="46">
        <v>0</v>
      </c>
      <c r="PE18" s="46">
        <v>5828419</v>
      </c>
      <c r="PF18" s="46">
        <v>-2901474</v>
      </c>
      <c r="PG18" s="46">
        <v>23676016</v>
      </c>
      <c r="PH18" s="46">
        <v>-41707445</v>
      </c>
      <c r="PI18" s="46">
        <v>20744</v>
      </c>
      <c r="PJ18" s="46">
        <v>507082</v>
      </c>
      <c r="PK18" s="46">
        <v>35649489</v>
      </c>
      <c r="PL18" s="46">
        <v>0</v>
      </c>
      <c r="PM18" s="46">
        <v>0</v>
      </c>
      <c r="PN18" s="46">
        <v>0</v>
      </c>
      <c r="PO18" s="46">
        <v>0</v>
      </c>
      <c r="PP18" s="46">
        <v>0</v>
      </c>
      <c r="PQ18" s="46">
        <v>0</v>
      </c>
      <c r="PR18" s="46">
        <v>0</v>
      </c>
      <c r="PS18" s="46">
        <v>0</v>
      </c>
      <c r="PT18" s="46">
        <v>0</v>
      </c>
      <c r="PU18" s="46">
        <v>0</v>
      </c>
      <c r="PV18" s="46">
        <v>0</v>
      </c>
      <c r="PW18" s="46">
        <v>-18581726</v>
      </c>
      <c r="PX18" s="46">
        <v>-5871459</v>
      </c>
      <c r="PY18" s="46">
        <v>-16410344</v>
      </c>
      <c r="PZ18" s="46">
        <v>0</v>
      </c>
      <c r="QA18" s="46">
        <v>0</v>
      </c>
      <c r="QB18" s="46">
        <v>0</v>
      </c>
      <c r="QC18" s="46">
        <v>0</v>
      </c>
      <c r="QD18" s="46">
        <v>0</v>
      </c>
      <c r="QE18" s="46">
        <v>0</v>
      </c>
      <c r="QF18" s="46">
        <v>881624</v>
      </c>
      <c r="QG18" s="46">
        <v>-698297</v>
      </c>
      <c r="QH18" s="46">
        <v>-168194</v>
      </c>
      <c r="QI18" s="46">
        <v>311785</v>
      </c>
      <c r="QJ18" s="46">
        <v>83497</v>
      </c>
      <c r="QK18" s="46">
        <v>131596</v>
      </c>
      <c r="QL18" s="46">
        <v>-428979</v>
      </c>
      <c r="QM18" s="46">
        <v>0</v>
      </c>
      <c r="QN18" s="46">
        <v>0</v>
      </c>
      <c r="QO18" s="46">
        <v>0</v>
      </c>
      <c r="QP18" s="46">
        <v>0</v>
      </c>
      <c r="QQ18" s="46">
        <v>0</v>
      </c>
      <c r="QR18" s="46">
        <v>0</v>
      </c>
      <c r="QS18" s="46">
        <v>0</v>
      </c>
      <c r="QT18" s="46">
        <v>392755</v>
      </c>
      <c r="QU18" s="46">
        <v>0</v>
      </c>
      <c r="QV18" s="46">
        <v>0</v>
      </c>
      <c r="QW18" s="46">
        <v>0</v>
      </c>
      <c r="QX18" s="46">
        <v>0</v>
      </c>
      <c r="QY18" s="46">
        <v>0</v>
      </c>
      <c r="QZ18" s="46">
        <v>0</v>
      </c>
      <c r="RA18" s="46">
        <v>0</v>
      </c>
      <c r="RB18" s="46">
        <v>0</v>
      </c>
      <c r="RC18" s="46">
        <v>0</v>
      </c>
      <c r="RD18" s="46">
        <v>0</v>
      </c>
      <c r="RE18" s="46">
        <v>0</v>
      </c>
      <c r="RF18" s="46">
        <v>0</v>
      </c>
      <c r="RG18" s="46">
        <v>0</v>
      </c>
      <c r="RH18" s="46">
        <v>0</v>
      </c>
      <c r="RI18" s="46">
        <v>0</v>
      </c>
      <c r="RJ18" s="46">
        <v>0</v>
      </c>
      <c r="RK18" s="46">
        <v>0</v>
      </c>
      <c r="RL18" s="46">
        <v>0</v>
      </c>
      <c r="RM18" s="46">
        <v>0</v>
      </c>
      <c r="RN18" s="46">
        <v>0</v>
      </c>
      <c r="RO18" s="46">
        <v>-30947543</v>
      </c>
      <c r="RP18" s="46">
        <v>0</v>
      </c>
      <c r="RQ18" s="46">
        <v>0</v>
      </c>
      <c r="RR18" s="46">
        <v>0</v>
      </c>
      <c r="RS18" s="46">
        <v>0</v>
      </c>
      <c r="RT18" s="46">
        <v>0</v>
      </c>
      <c r="RU18" s="46">
        <v>0</v>
      </c>
      <c r="RV18" s="46">
        <v>0</v>
      </c>
      <c r="RW18" s="46">
        <v>0</v>
      </c>
      <c r="RX18" s="46">
        <v>0</v>
      </c>
      <c r="RY18" s="46">
        <v>0</v>
      </c>
      <c r="RZ18" s="46">
        <v>0</v>
      </c>
      <c r="SA18" s="46">
        <v>0</v>
      </c>
      <c r="SB18" s="46">
        <v>0</v>
      </c>
      <c r="SC18" s="46">
        <v>0</v>
      </c>
      <c r="SD18" s="46">
        <v>0</v>
      </c>
      <c r="SE18" s="46">
        <v>0</v>
      </c>
      <c r="SF18" s="46">
        <v>0</v>
      </c>
      <c r="SG18" s="46">
        <v>0</v>
      </c>
      <c r="SH18" s="46">
        <v>0</v>
      </c>
      <c r="SI18" s="46">
        <v>0</v>
      </c>
      <c r="SJ18" s="46">
        <v>0</v>
      </c>
      <c r="SK18" s="46">
        <v>0</v>
      </c>
      <c r="SL18" s="46">
        <v>0</v>
      </c>
      <c r="SM18" s="46">
        <v>0</v>
      </c>
      <c r="SN18" s="46">
        <v>0</v>
      </c>
      <c r="SO18" s="46">
        <v>0</v>
      </c>
      <c r="SP18" s="46">
        <v>135445</v>
      </c>
      <c r="SQ18" s="46">
        <v>29035</v>
      </c>
      <c r="SR18" s="46">
        <v>1080159</v>
      </c>
      <c r="SS18" s="46">
        <v>464844</v>
      </c>
      <c r="ST18" s="46">
        <v>199724</v>
      </c>
      <c r="SU18" s="46">
        <v>0</v>
      </c>
      <c r="SV18" s="46">
        <v>0</v>
      </c>
      <c r="SW18" s="46">
        <v>-28970846</v>
      </c>
      <c r="SX18" s="46">
        <v>0</v>
      </c>
      <c r="SY18" s="46">
        <v>0</v>
      </c>
      <c r="SZ18" s="46">
        <v>91115</v>
      </c>
      <c r="TA18" s="46">
        <v>172281</v>
      </c>
      <c r="TB18" s="46">
        <v>1489</v>
      </c>
      <c r="TC18" s="46">
        <v>0</v>
      </c>
      <c r="TD18" s="46">
        <v>107827</v>
      </c>
      <c r="TE18" s="46">
        <v>237075</v>
      </c>
      <c r="TF18" s="46">
        <v>699061</v>
      </c>
      <c r="TG18" s="46">
        <v>70</v>
      </c>
      <c r="TH18" s="46">
        <v>0</v>
      </c>
      <c r="TI18" s="46">
        <v>464844</v>
      </c>
      <c r="TJ18" s="46">
        <v>0</v>
      </c>
      <c r="TK18" s="46">
        <v>0</v>
      </c>
      <c r="TL18" s="46">
        <v>125954</v>
      </c>
      <c r="TM18" s="46">
        <v>0</v>
      </c>
      <c r="TN18" s="46">
        <v>0</v>
      </c>
      <c r="TO18" s="46">
        <v>0</v>
      </c>
      <c r="TP18" s="46">
        <v>0</v>
      </c>
      <c r="TQ18" s="46">
        <v>0</v>
      </c>
      <c r="TR18" s="46">
        <v>0</v>
      </c>
      <c r="TS18" s="46">
        <v>0</v>
      </c>
      <c r="TT18" s="46">
        <v>0</v>
      </c>
      <c r="TU18" s="46">
        <v>0</v>
      </c>
      <c r="TV18" s="46">
        <v>0</v>
      </c>
      <c r="TW18" s="46">
        <v>0</v>
      </c>
      <c r="TX18" s="46">
        <v>0</v>
      </c>
      <c r="TY18" s="46">
        <v>0</v>
      </c>
      <c r="TZ18" s="46">
        <v>0</v>
      </c>
      <c r="UA18" s="46">
        <v>0</v>
      </c>
      <c r="UB18" s="46">
        <v>0</v>
      </c>
      <c r="UC18" s="46">
        <v>0</v>
      </c>
      <c r="UD18" s="46">
        <v>0</v>
      </c>
      <c r="UE18" s="46">
        <v>64424237</v>
      </c>
      <c r="UF18" s="46">
        <v>23154385</v>
      </c>
      <c r="UG18" s="46">
        <v>4115583</v>
      </c>
      <c r="UH18" s="46">
        <v>0</v>
      </c>
      <c r="UI18" s="46">
        <v>29878225</v>
      </c>
      <c r="UJ18" s="46">
        <v>25459037</v>
      </c>
      <c r="UK18" s="46">
        <v>30513146</v>
      </c>
      <c r="UL18" s="46">
        <v>17283017</v>
      </c>
      <c r="UM18" s="46">
        <v>25214197</v>
      </c>
      <c r="UN18" s="46">
        <v>69640982</v>
      </c>
      <c r="UO1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1773762</v>
      </c>
      <c r="UP18" s="46">
        <f>SUM(Input[[#This Row],[Oth Exp E&amp;G]],Input[[#This Row],[Oth Exp Desg]],Input[[#This Row],[Oth Exp Aux]],Input[[#This Row],[Oth Exp R Exp]],Input[[#This Row],[Oth Exp Loan]],Input[[#This Row],[Oth Exp Annuity]],Input[[#This Row],[Oth Exp Unexp]],Input[[#This Row],[Oth Exp R of Ind]],Input[[#This Row],[Oth Exp Inv in P]])</f>
        <v>1914616</v>
      </c>
      <c r="UQ18" s="46"/>
      <c r="UR18" s="46"/>
      <c r="US18" s="8" t="s">
        <v>742</v>
      </c>
      <c r="UT18" s="47">
        <v>9798459761</v>
      </c>
      <c r="UU18" s="8" t="s">
        <v>71</v>
      </c>
      <c r="UV18" s="8" t="s">
        <v>769</v>
      </c>
      <c r="UW18" s="47">
        <v>2549681643</v>
      </c>
      <c r="UX18" s="8" t="s">
        <v>770</v>
      </c>
      <c r="UY18" s="51" cm="1">
        <f t="array" ref="UY18">IFERROR(_xlfn.IFS(Input[[#This Row],[Type]]="HRI",SUMIFS('FTSE | FTFE'!$P$8:$P$77,'FTSE | FTFE'!$H$8:$H$77,A18),Input[[#This Row],[Type]]="UNIV",SUMIFS('FTSE | FTFE'!$P$104:$P$139,'FTSE | FTFE'!$H$104:$H$139,A18),OR(Input[[#This Row],[Type]]="TSTC",Input[[#This Row],[Type]]="LSC"),SUMIFS('FTSE | FTFE'!$O$88:$O$96,'FTSE | FTFE'!$H$88:$H$96,A18),Input[[#This Row],[Type]]="AHM",SUMIFS(Hidden!$H$42:$H$45,Hidden!$G$42:$G$45,A18)),"N/A")</f>
        <v>13369</v>
      </c>
      <c r="UZ18" s="51" cm="1">
        <f t="array" ref="UZ18">IFERROR(_xlfn.IFS(Input[[#This Row],[Type]]="HRI",SUMIFS('FTSE | FTFE'!$Q$8:$Q$77,'FTSE | FTFE'!$H$8:$H$77,A18),Input[[#This Row],[Type]]="UNIV",SUMIFS('FTSE | FTFE'!$Q$104:$Q$139,'FTSE | FTFE'!$H$104:$H$139,A18),OR(Input[[#This Row],[Type]]="TSTC",Input[[#This Row],[Type]]="LSC"),SUMIFS('FTSE | FTFE'!$P$88:$P$96,'FTSE | FTFE'!$H$88:$H$96,A18)),"N/A")</f>
        <v>189</v>
      </c>
      <c r="VA1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104627491</v>
      </c>
      <c r="VB1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8" s="46">
        <f>SUM(Input[[#This Row],[Fed G&amp;C E&amp;G]],Input[[#This Row],[Fed G&amp;C Desg]],Input[[#This Row],[Fed G&amp;C R Exp]],Input[[#This Row],[Fed G&amp;C Loan]],Input[[#This Row],[Fed G&amp;C Annuity]],Input[[#This Row],[Fed G&amp;C Unexp]],Input[[#This Row],[Fed G&amp;C R of Ind]],Input[[#This Row],[Fed G&amp;C Inv in P]])</f>
        <v>45021432</v>
      </c>
      <c r="VD1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32309390</v>
      </c>
      <c r="VE1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59022401</v>
      </c>
      <c r="VF1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27090986</v>
      </c>
      <c r="VG18" s="46">
        <f>SUM(Input[[#This Row],[Oth Inc E&amp;G]],Input[[#This Row],[Oth Exp Desg]],Input[[#This Row],[Oth Exp R Exp]],Input[[#This Row],[Oth Exp Loan]],Input[[#This Row],[Oth Exp Annuity]],Input[[#This Row],[Oth Exp Unexp]],Input[[#This Row],[Oth Exp R of Ind]],Input[[#This Row],[Oth Exp Inv in P]])</f>
        <v>961177</v>
      </c>
      <c r="VH18" s="46">
        <f>SUM(Input[[#This Row],[Instr E&amp;G]],Input[[#This Row],[Instr Desg]],Input[[#This Row],[Instr R Exp]],Input[[#This Row],[Instr Loan]],Input[[#This Row],[Instr Annuity]],Input[[#This Row],[Instr Unexp]],Input[[#This Row],[Instr R of Ind]],Input[[#This Row],[Instr Inv in P]])</f>
        <v>64424237</v>
      </c>
      <c r="VI18" s="46">
        <f>SUM(Input[[#This Row],[Res E&amp;G]],Input[[#This Row],[Res Desg]],Input[[#This Row],[Res R Exp]],Input[[#This Row],[Res Loan]],Input[[#This Row],[Res Annuity]],Input[[#This Row],[Res Unexp]],Input[[#This Row],[Res R of Ind]],Input[[#This Row],[Res Inv in P]])</f>
        <v>23154385</v>
      </c>
      <c r="VJ18" s="46">
        <f>SUM(Input[[#This Row],[Acad Sup E&amp;G]],Input[[#This Row],[Acad Sup Desg]],Input[[#This Row],[Acad Sup R Exp]],Input[[#This Row],[Acad Sup Loan]],Input[[#This Row],[Acad Sup Annuity]],Input[[#This Row],[Acad Sup Unexp]],Input[[#This Row],[Acad Sup R of Ind]],Input[[#This Row],[Acad Sup Inv in P]])</f>
        <v>29878225</v>
      </c>
      <c r="VK18" s="46">
        <f>SUM(Input[[#This Row],[Stu Svc E&amp;G]],Input[[#This Row],[Stu Svc Desg]],Input[[#This Row],[Stu Svc R Exp]],Input[[#This Row],[Stu Svc Loan]],Input[[#This Row],[Stu Svc Annuity]],Input[[#This Row],[Stu Svc Unexp]],Input[[#This Row],[Stu Svc R of Ind]],Input[[#This Row],[Stu Svc Inv in P]])</f>
        <v>25459037</v>
      </c>
      <c r="VL18" s="46">
        <f>SUM(Input[[#This Row],[Inst. Spt E&amp;G]],Input[[#This Row],[Inst. Spt Desg]],Input[[#This Row],[Inst. Spt R Exp]],Input[[#This Row],[Inst. Spt Loan]],Input[[#This Row],[Inst. Spt Annuity]],Input[[#This Row],[Inst. Spt Unexp]],Input[[#This Row],[Inst. Spt R of Ind]],Input[[#This Row],[Inst. Spt Inv in P]])</f>
        <v>30513146</v>
      </c>
      <c r="VM18" s="46">
        <f>SUM(Input[[#This Row],[M&amp;O Plnt E&amp;G]],Input[[#This Row],[M&amp;O Plnt Desg]],Input[[#This Row],[M&amp;O Plnt R Exp]],Input[[#This Row],[M&amp;O Plnt Loan]],Input[[#This Row],[M&amp;O Plnt Annuity]],Input[[#This Row],[M&amp;O Plnt Unexp]],Input[[#This Row],[M&amp;O Plnt R of Ind]],Input[[#This Row],[M&amp;O Plnt Inv in P]])</f>
        <v>17283017</v>
      </c>
      <c r="VN18" s="46">
        <f>SUM(Input[[#This Row],[Schl &amp; Fell E&amp;G]],Input[[#This Row],[Schl &amp; Fell Desg]],Input[[#This Row],[Schl &amp; Fell R Exp]],Input[[#This Row],[Schl &amp; Fell Loan]],Input[[#This Row],[Schl &amp; Fell Annuity]],Input[[#This Row],[Schl &amp; Fell Unexp]],Input[[#This Row],[Schl &amp; Fell R of Ind]],Input[[#This Row],[Schl &amp; Fell Inv in P]])</f>
        <v>25214197</v>
      </c>
      <c r="VO18" s="46">
        <f>SUM(Input[[#This Row],[Cap Out fund E&amp;G]],Input[[#This Row],[Cap Out fund Desg]],Input[[#This Row],[Cap Out fund R Exp]],Input[[#This Row],[Cap Out fund Loan]],Input[[#This Row],[Cap Out fund Annuity]],Input[[#This Row],[Cap Out fund Unexp]],Input[[#This Row],[Cap Out fund R of Ind]],Input[[#This Row],[Cap Out fund Inv in P]])</f>
        <v>1308918</v>
      </c>
      <c r="VP18" s="46">
        <f>SUM(Input[[#This Row],[Oth Exp E&amp;G]],Input[[#This Row],[Oth Exp Desg]],Input[[#This Row],[Oth Exp R Exp]],Input[[#This Row],[Oth Exp Loan]],Input[[#This Row],[Oth Exp Annuity]],Input[[#This Row],[Oth Exp Unexp]],Input[[#This Row],[Oth Exp R of Ind]],Input[[#This Row],[Oth Exp Inv in P]],Input[[#This Row],[Oth Exp Inv in P]])</f>
        <v>2222412</v>
      </c>
    </row>
    <row r="19" spans="1:588" ht="30" customHeight="1" x14ac:dyDescent="0.3">
      <c r="A19" s="15" t="s">
        <v>14</v>
      </c>
      <c r="B19" s="36" t="s">
        <v>111</v>
      </c>
      <c r="C19" s="36" t="s">
        <v>110</v>
      </c>
      <c r="D19" s="36">
        <v>206</v>
      </c>
      <c r="E19" s="36" t="s">
        <v>132</v>
      </c>
      <c r="F19" s="95" cm="1">
        <f t="array" ref="F19">IFERROR(_xlfn.IFS(Input[[#This Row],[Type]]="HRI",SUMIFS('FTSE | FTFE'!$I$8:$I$77,'FTSE | FTFE'!$H$8:$H$77,A19),Input[[#This Row],[Type]]="UNIV",SUMIFS('FTSE | FTFE'!$I$104:$I$139,'FTSE | FTFE'!$H$104:$H$139,A19),OR(Input[[#This Row],[Type]]="TSTC",Input[[#This Row],[Type]]="LSC"),SUMIFS('FTSE | FTFE'!$I$88:$I$96,'FTSE | FTFE'!$H$88:$H$96,A19)),"N/A")</f>
        <v>42295</v>
      </c>
      <c r="G19" s="46">
        <v>27900392</v>
      </c>
      <c r="H19" s="46">
        <v>0</v>
      </c>
      <c r="I19" s="46">
        <v>0</v>
      </c>
      <c r="J19" s="46">
        <v>0</v>
      </c>
      <c r="K19" s="46">
        <v>0</v>
      </c>
      <c r="L19" s="46">
        <v>0</v>
      </c>
      <c r="M19" s="46">
        <v>0</v>
      </c>
      <c r="N19" s="46">
        <v>0</v>
      </c>
      <c r="O19" s="46">
        <v>0</v>
      </c>
      <c r="P19" s="46">
        <v>866038</v>
      </c>
      <c r="Q19" s="46">
        <v>14000</v>
      </c>
      <c r="R19" s="46">
        <v>0</v>
      </c>
      <c r="S19" s="46">
        <v>512540</v>
      </c>
      <c r="T19" s="46">
        <v>0</v>
      </c>
      <c r="U19" s="46">
        <v>0</v>
      </c>
      <c r="V19" s="46">
        <v>0</v>
      </c>
      <c r="W19" s="46">
        <v>0</v>
      </c>
      <c r="X19" s="46">
        <v>0</v>
      </c>
      <c r="Y19" s="46">
        <v>0</v>
      </c>
      <c r="Z19" s="46">
        <v>0</v>
      </c>
      <c r="AA19" s="46">
        <v>0</v>
      </c>
      <c r="AB19" s="46">
        <v>0</v>
      </c>
      <c r="AC19" s="46">
        <v>0</v>
      </c>
      <c r="AD19" s="46">
        <v>0</v>
      </c>
      <c r="AE19" s="46">
        <v>0</v>
      </c>
      <c r="AF19" s="46">
        <v>0</v>
      </c>
      <c r="AG19" s="46">
        <v>0</v>
      </c>
      <c r="AH19" s="46">
        <v>0</v>
      </c>
      <c r="AI19" s="46">
        <v>0</v>
      </c>
      <c r="AJ19" s="46">
        <v>0</v>
      </c>
      <c r="AK19" s="46">
        <v>0</v>
      </c>
      <c r="AL19" s="46">
        <v>0</v>
      </c>
      <c r="AM19" s="46">
        <v>0</v>
      </c>
      <c r="AN19" s="46">
        <v>0</v>
      </c>
      <c r="AO19" s="46">
        <v>0</v>
      </c>
      <c r="AP19" s="46">
        <v>0</v>
      </c>
      <c r="AQ19" s="46">
        <v>-585317</v>
      </c>
      <c r="AR19" s="46">
        <v>0</v>
      </c>
      <c r="AS19" s="46">
        <v>0</v>
      </c>
      <c r="AT19" s="46">
        <v>0</v>
      </c>
      <c r="AU19" s="46">
        <v>0</v>
      </c>
      <c r="AV19" s="46">
        <v>0</v>
      </c>
      <c r="AW19" s="46">
        <v>0</v>
      </c>
      <c r="AX19" s="46">
        <v>0</v>
      </c>
      <c r="AY19" s="46">
        <v>0</v>
      </c>
      <c r="AZ19" s="46">
        <v>0</v>
      </c>
      <c r="BA19" s="46">
        <v>0</v>
      </c>
      <c r="BB19" s="46">
        <v>0</v>
      </c>
      <c r="BC19" s="46">
        <v>0</v>
      </c>
      <c r="BD19" s="46">
        <v>0</v>
      </c>
      <c r="BE19" s="46">
        <v>0</v>
      </c>
      <c r="BF19" s="46">
        <v>0</v>
      </c>
      <c r="BG19" s="46">
        <v>0</v>
      </c>
      <c r="BH19" s="46">
        <v>0</v>
      </c>
      <c r="BI19" s="46">
        <v>0</v>
      </c>
      <c r="BJ19" s="46">
        <v>0</v>
      </c>
      <c r="BK19" s="46">
        <v>0</v>
      </c>
      <c r="BL19" s="46">
        <v>0</v>
      </c>
      <c r="BM19" s="46">
        <v>0</v>
      </c>
      <c r="BN19" s="46">
        <v>0</v>
      </c>
      <c r="BO19" s="46">
        <v>0</v>
      </c>
      <c r="BP19" s="46">
        <v>0</v>
      </c>
      <c r="BQ19" s="46">
        <v>0</v>
      </c>
      <c r="BR19" s="46">
        <v>0</v>
      </c>
      <c r="BS19" s="46">
        <v>0</v>
      </c>
      <c r="BT19" s="46">
        <v>0</v>
      </c>
      <c r="BU19" s="46">
        <v>0</v>
      </c>
      <c r="BV19" s="46">
        <v>0</v>
      </c>
      <c r="BW19" s="46">
        <v>0</v>
      </c>
      <c r="BX19" s="46">
        <v>0</v>
      </c>
      <c r="BY19" s="46">
        <v>0</v>
      </c>
      <c r="BZ19" s="46">
        <v>0</v>
      </c>
      <c r="CA19" s="46">
        <v>3538005</v>
      </c>
      <c r="CB19" s="46">
        <v>12105030</v>
      </c>
      <c r="CC19" s="46">
        <v>0</v>
      </c>
      <c r="CD19" s="46">
        <v>0</v>
      </c>
      <c r="CE19" s="46">
        <v>0</v>
      </c>
      <c r="CF19" s="46">
        <v>0</v>
      </c>
      <c r="CG19" s="46">
        <v>0</v>
      </c>
      <c r="CH19" s="46">
        <v>0</v>
      </c>
      <c r="CI19" s="46">
        <v>0</v>
      </c>
      <c r="CJ19" s="46">
        <v>0</v>
      </c>
      <c r="CK19" s="46">
        <v>0</v>
      </c>
      <c r="CL19" s="46">
        <v>0</v>
      </c>
      <c r="CM19" s="46">
        <v>0</v>
      </c>
      <c r="CN19" s="46">
        <v>0</v>
      </c>
      <c r="CO19" s="46">
        <v>0</v>
      </c>
      <c r="CP19" s="46">
        <v>0</v>
      </c>
      <c r="CQ19" s="46">
        <v>0</v>
      </c>
      <c r="CR19" s="46">
        <v>0</v>
      </c>
      <c r="CS19" s="46">
        <v>0</v>
      </c>
      <c r="CT19" s="46">
        <v>0</v>
      </c>
      <c r="CU19" s="46">
        <v>0</v>
      </c>
      <c r="CV19" s="46">
        <v>0</v>
      </c>
      <c r="CW19" s="46">
        <v>0</v>
      </c>
      <c r="CX19" s="46">
        <v>0</v>
      </c>
      <c r="CY19" s="46">
        <v>0</v>
      </c>
      <c r="CZ19" s="46">
        <v>0</v>
      </c>
      <c r="DA19" s="46">
        <v>0</v>
      </c>
      <c r="DB19" s="46">
        <v>-284753</v>
      </c>
      <c r="DC19" s="46">
        <v>-1466627</v>
      </c>
      <c r="DD19" s="46">
        <v>0</v>
      </c>
      <c r="DE19" s="46">
        <v>0</v>
      </c>
      <c r="DF19" s="46">
        <v>0</v>
      </c>
      <c r="DG19" s="46">
        <v>0</v>
      </c>
      <c r="DH19" s="46">
        <v>0</v>
      </c>
      <c r="DI19" s="46">
        <v>0</v>
      </c>
      <c r="DJ19" s="46">
        <v>0</v>
      </c>
      <c r="DK19" s="46">
        <v>0</v>
      </c>
      <c r="DL19" s="46">
        <v>0</v>
      </c>
      <c r="DM19" s="46">
        <v>0</v>
      </c>
      <c r="DN19" s="46">
        <v>0</v>
      </c>
      <c r="DO19" s="46">
        <v>0</v>
      </c>
      <c r="DP19" s="46">
        <v>0</v>
      </c>
      <c r="DQ19" s="46">
        <v>0</v>
      </c>
      <c r="DR19" s="46">
        <v>0</v>
      </c>
      <c r="DS19" s="46">
        <v>0</v>
      </c>
      <c r="DT19" s="46">
        <v>-793886</v>
      </c>
      <c r="DU19" s="46">
        <v>-2223860</v>
      </c>
      <c r="DV19" s="46">
        <v>0</v>
      </c>
      <c r="DW19" s="46">
        <v>0</v>
      </c>
      <c r="DX19" s="46">
        <v>0</v>
      </c>
      <c r="DY19" s="46">
        <v>0</v>
      </c>
      <c r="DZ19" s="46">
        <v>0</v>
      </c>
      <c r="EA19" s="46">
        <v>0</v>
      </c>
      <c r="EB19" s="46">
        <v>0</v>
      </c>
      <c r="EC19" s="46">
        <v>0</v>
      </c>
      <c r="ED19" s="46">
        <v>0</v>
      </c>
      <c r="EE19" s="46">
        <v>0</v>
      </c>
      <c r="EF19" s="46">
        <v>0</v>
      </c>
      <c r="EG19" s="46">
        <v>0</v>
      </c>
      <c r="EH19" s="46">
        <v>0</v>
      </c>
      <c r="EI19" s="46">
        <v>0</v>
      </c>
      <c r="EJ19" s="46">
        <v>0</v>
      </c>
      <c r="EK19" s="46">
        <v>0</v>
      </c>
      <c r="EL19" s="46">
        <v>0</v>
      </c>
      <c r="EM19" s="46">
        <v>0</v>
      </c>
      <c r="EN19" s="46">
        <v>0</v>
      </c>
      <c r="EO19" s="46">
        <v>0</v>
      </c>
      <c r="EP19" s="46">
        <v>0</v>
      </c>
      <c r="EQ19" s="46">
        <v>0</v>
      </c>
      <c r="ER19" s="46">
        <v>0</v>
      </c>
      <c r="ES19" s="46">
        <v>0</v>
      </c>
      <c r="ET19" s="46">
        <v>0</v>
      </c>
      <c r="EU19" s="46">
        <v>0</v>
      </c>
      <c r="EV19" s="46">
        <v>0</v>
      </c>
      <c r="EW19" s="46">
        <v>0</v>
      </c>
      <c r="EX19" s="46">
        <v>0</v>
      </c>
      <c r="EY19" s="46">
        <v>0</v>
      </c>
      <c r="EZ19" s="46">
        <v>0</v>
      </c>
      <c r="FA19" s="46">
        <v>0</v>
      </c>
      <c r="FB19" s="46">
        <v>0</v>
      </c>
      <c r="FC19" s="46">
        <v>0</v>
      </c>
      <c r="FD19" s="46">
        <v>0</v>
      </c>
      <c r="FE19" s="46">
        <v>0</v>
      </c>
      <c r="FF19" s="46">
        <v>0</v>
      </c>
      <c r="FG19" s="46">
        <v>0</v>
      </c>
      <c r="FH19" s="46">
        <v>0</v>
      </c>
      <c r="FI19" s="46">
        <v>0</v>
      </c>
      <c r="FJ19" s="46">
        <v>0</v>
      </c>
      <c r="FK19" s="46">
        <v>0</v>
      </c>
      <c r="FL19" s="46">
        <v>0</v>
      </c>
      <c r="FM19" s="46">
        <v>28407</v>
      </c>
      <c r="FN19" s="46">
        <v>4247385</v>
      </c>
      <c r="FO19" s="46">
        <v>0</v>
      </c>
      <c r="FP19" s="46">
        <v>1680</v>
      </c>
      <c r="FQ19" s="46">
        <v>0</v>
      </c>
      <c r="FR19" s="46">
        <v>0</v>
      </c>
      <c r="FS19" s="46">
        <v>0</v>
      </c>
      <c r="FT19" s="46">
        <v>0</v>
      </c>
      <c r="FU19" s="46">
        <v>0</v>
      </c>
      <c r="FV19" s="46">
        <v>0</v>
      </c>
      <c r="FW19" s="46">
        <v>0</v>
      </c>
      <c r="FX19" s="46">
        <v>0</v>
      </c>
      <c r="FY19" s="46">
        <v>0</v>
      </c>
      <c r="FZ19" s="46">
        <v>0</v>
      </c>
      <c r="GA19" s="46">
        <v>0</v>
      </c>
      <c r="GB19" s="46">
        <v>0</v>
      </c>
      <c r="GC19" s="46">
        <v>0</v>
      </c>
      <c r="GD19" s="46">
        <v>0</v>
      </c>
      <c r="GE19" s="46">
        <v>0</v>
      </c>
      <c r="GF19" s="46">
        <v>0</v>
      </c>
      <c r="GG19" s="46">
        <v>0</v>
      </c>
      <c r="GH19" s="46">
        <v>0</v>
      </c>
      <c r="GI19" s="46">
        <v>0</v>
      </c>
      <c r="GJ19" s="46">
        <v>0</v>
      </c>
      <c r="GK19" s="46">
        <v>0</v>
      </c>
      <c r="GL19" s="46">
        <v>0</v>
      </c>
      <c r="GM19" s="46">
        <v>0</v>
      </c>
      <c r="GN19" s="46">
        <v>0</v>
      </c>
      <c r="GO19" s="46">
        <v>0</v>
      </c>
      <c r="GP19" s="46">
        <v>0</v>
      </c>
      <c r="GQ19" s="46">
        <v>0</v>
      </c>
      <c r="GR19" s="46">
        <v>0</v>
      </c>
      <c r="GS19" s="46">
        <v>0</v>
      </c>
      <c r="GT19" s="46">
        <v>0</v>
      </c>
      <c r="GU19" s="46">
        <v>0</v>
      </c>
      <c r="GV19" s="46">
        <v>0</v>
      </c>
      <c r="GW19" s="46">
        <v>0</v>
      </c>
      <c r="GX19" s="46">
        <v>0</v>
      </c>
      <c r="GY19" s="46">
        <v>0</v>
      </c>
      <c r="GZ19" s="46">
        <v>0</v>
      </c>
      <c r="HA19" s="46">
        <v>0</v>
      </c>
      <c r="HB19" s="46">
        <v>0</v>
      </c>
      <c r="HC19" s="46">
        <v>0</v>
      </c>
      <c r="HD19" s="46">
        <v>0</v>
      </c>
      <c r="HE19" s="46">
        <v>0</v>
      </c>
      <c r="HF19" s="46">
        <v>-8661</v>
      </c>
      <c r="HG19" s="46">
        <v>-1294909</v>
      </c>
      <c r="HH19" s="46">
        <v>0</v>
      </c>
      <c r="HI19" s="46">
        <v>0</v>
      </c>
      <c r="HJ19" s="46">
        <v>0</v>
      </c>
      <c r="HK19" s="46">
        <v>0</v>
      </c>
      <c r="HL19" s="46">
        <v>0</v>
      </c>
      <c r="HM19" s="46">
        <v>0</v>
      </c>
      <c r="HN19" s="46">
        <v>0</v>
      </c>
      <c r="HO19" s="46">
        <v>0</v>
      </c>
      <c r="HP19" s="46">
        <v>466131</v>
      </c>
      <c r="HQ19" s="46">
        <v>0</v>
      </c>
      <c r="HR19" s="46">
        <v>8691986</v>
      </c>
      <c r="HS19" s="46">
        <v>0</v>
      </c>
      <c r="HT19" s="46">
        <v>0</v>
      </c>
      <c r="HU19" s="46">
        <v>0</v>
      </c>
      <c r="HV19" s="46">
        <v>0</v>
      </c>
      <c r="HW19" s="46">
        <v>0</v>
      </c>
      <c r="HX19" s="46">
        <v>0</v>
      </c>
      <c r="HY19" s="46">
        <v>0</v>
      </c>
      <c r="HZ19" s="46">
        <v>0</v>
      </c>
      <c r="IA19" s="46">
        <v>0</v>
      </c>
      <c r="IB19" s="46">
        <v>0</v>
      </c>
      <c r="IC19" s="46">
        <v>0</v>
      </c>
      <c r="ID19" s="46">
        <v>0</v>
      </c>
      <c r="IE19" s="46">
        <v>0</v>
      </c>
      <c r="IF19" s="46">
        <v>0</v>
      </c>
      <c r="IG19" s="46">
        <v>0</v>
      </c>
      <c r="IH19" s="46">
        <v>0</v>
      </c>
      <c r="II19" s="46">
        <v>0</v>
      </c>
      <c r="IJ19" s="46">
        <v>0</v>
      </c>
      <c r="IK19" s="46">
        <v>0</v>
      </c>
      <c r="IL19" s="46">
        <v>0</v>
      </c>
      <c r="IM19" s="46">
        <v>0</v>
      </c>
      <c r="IN19" s="46">
        <v>0</v>
      </c>
      <c r="IO19" s="46">
        <v>0</v>
      </c>
      <c r="IP19" s="46">
        <v>71415</v>
      </c>
      <c r="IQ19" s="46">
        <v>1332569</v>
      </c>
      <c r="IR19" s="46">
        <v>0</v>
      </c>
      <c r="IS19" s="46">
        <v>5451</v>
      </c>
      <c r="IT19" s="46">
        <v>0</v>
      </c>
      <c r="IU19" s="46">
        <v>0</v>
      </c>
      <c r="IV19" s="46">
        <v>0</v>
      </c>
      <c r="IW19" s="46">
        <v>0</v>
      </c>
      <c r="IX19" s="46">
        <v>0</v>
      </c>
      <c r="IY19" s="46">
        <v>0</v>
      </c>
      <c r="IZ19" s="46">
        <v>0</v>
      </c>
      <c r="JA19" s="46">
        <v>0</v>
      </c>
      <c r="JB19" s="46">
        <v>0</v>
      </c>
      <c r="JC19" s="46">
        <v>0</v>
      </c>
      <c r="JD19" s="46">
        <v>0</v>
      </c>
      <c r="JE19" s="46">
        <v>0</v>
      </c>
      <c r="JF19" s="46">
        <v>0</v>
      </c>
      <c r="JG19" s="46">
        <v>0</v>
      </c>
      <c r="JH19" s="46">
        <v>0</v>
      </c>
      <c r="JI19" s="46">
        <v>274433</v>
      </c>
      <c r="JJ19" s="46">
        <v>0</v>
      </c>
      <c r="JK19" s="46">
        <v>256487</v>
      </c>
      <c r="JL19" s="46">
        <v>0</v>
      </c>
      <c r="JM19" s="46">
        <v>0</v>
      </c>
      <c r="JN19" s="46">
        <v>0</v>
      </c>
      <c r="JO19" s="46">
        <v>0</v>
      </c>
      <c r="JP19" s="46">
        <v>0</v>
      </c>
      <c r="JQ19" s="46">
        <v>0</v>
      </c>
      <c r="JR19" s="46">
        <v>555951</v>
      </c>
      <c r="JS19" s="46">
        <v>0</v>
      </c>
      <c r="JT19" s="46">
        <v>84971</v>
      </c>
      <c r="JU19" s="46">
        <v>0</v>
      </c>
      <c r="JV19" s="46">
        <v>0</v>
      </c>
      <c r="JW19" s="46">
        <v>0</v>
      </c>
      <c r="JX19" s="46">
        <v>0</v>
      </c>
      <c r="JY19" s="46">
        <v>0</v>
      </c>
      <c r="JZ19" s="46">
        <v>0</v>
      </c>
      <c r="KA19" s="46">
        <v>0</v>
      </c>
      <c r="KB19" s="46">
        <v>1129801</v>
      </c>
      <c r="KC19" s="46">
        <v>0</v>
      </c>
      <c r="KD19" s="46">
        <v>0</v>
      </c>
      <c r="KE19" s="46">
        <v>0</v>
      </c>
      <c r="KF19" s="46">
        <v>0</v>
      </c>
      <c r="KG19" s="46">
        <v>0</v>
      </c>
      <c r="KH19" s="46">
        <v>0</v>
      </c>
      <c r="KI19" s="46">
        <v>138248</v>
      </c>
      <c r="KJ19" s="46">
        <v>82500</v>
      </c>
      <c r="KK19" s="46">
        <v>2035</v>
      </c>
      <c r="KL19" s="46">
        <v>15248</v>
      </c>
      <c r="KM19" s="46">
        <v>1241</v>
      </c>
      <c r="KN19" s="46">
        <v>0</v>
      </c>
      <c r="KO19" s="46">
        <v>0</v>
      </c>
      <c r="KP19" s="46">
        <v>0</v>
      </c>
      <c r="KQ19" s="46">
        <v>0</v>
      </c>
      <c r="KR19" s="46">
        <v>10772682</v>
      </c>
      <c r="KS19" s="46">
        <v>4508876</v>
      </c>
      <c r="KT19" s="46">
        <v>0</v>
      </c>
      <c r="KU19" s="46">
        <v>40802</v>
      </c>
      <c r="KV19" s="46">
        <v>0</v>
      </c>
      <c r="KW19" s="46">
        <v>0</v>
      </c>
      <c r="KX19" s="46">
        <v>0</v>
      </c>
      <c r="KY19" s="46">
        <v>0</v>
      </c>
      <c r="KZ19" s="46">
        <v>0</v>
      </c>
      <c r="LA19" s="46">
        <v>438401</v>
      </c>
      <c r="LB19" s="46">
        <v>281395</v>
      </c>
      <c r="LC19" s="46">
        <v>0</v>
      </c>
      <c r="LD19" s="46">
        <v>1161716</v>
      </c>
      <c r="LE19" s="46">
        <v>0</v>
      </c>
      <c r="LF19" s="46">
        <v>0</v>
      </c>
      <c r="LG19" s="46">
        <v>0</v>
      </c>
      <c r="LH19" s="46">
        <v>0</v>
      </c>
      <c r="LI19" s="46">
        <v>0</v>
      </c>
      <c r="LJ19" s="46">
        <v>0</v>
      </c>
      <c r="LK19" s="46">
        <v>4856</v>
      </c>
      <c r="LL19" s="46">
        <v>0</v>
      </c>
      <c r="LM19" s="46">
        <v>12003</v>
      </c>
      <c r="LN19" s="46">
        <v>0</v>
      </c>
      <c r="LO19" s="46">
        <v>0</v>
      </c>
      <c r="LP19" s="46">
        <v>0</v>
      </c>
      <c r="LQ19" s="46">
        <v>0</v>
      </c>
      <c r="LR19" s="46">
        <v>0</v>
      </c>
      <c r="LS19" s="46">
        <v>0</v>
      </c>
      <c r="LT19" s="46">
        <v>0</v>
      </c>
      <c r="LU19" s="46">
        <v>0</v>
      </c>
      <c r="LV19" s="46">
        <v>0</v>
      </c>
      <c r="LW19" s="46">
        <v>0</v>
      </c>
      <c r="LX19" s="46">
        <v>0</v>
      </c>
      <c r="LY19" s="46">
        <v>0</v>
      </c>
      <c r="LZ19" s="46">
        <v>0</v>
      </c>
      <c r="MA19" s="46">
        <v>0</v>
      </c>
      <c r="MB19" s="46">
        <v>3364083</v>
      </c>
      <c r="MC19" s="46">
        <v>4678549</v>
      </c>
      <c r="MD19" s="46">
        <v>0</v>
      </c>
      <c r="ME19" s="46">
        <v>520045</v>
      </c>
      <c r="MF19" s="46">
        <v>0</v>
      </c>
      <c r="MG19" s="46">
        <v>0</v>
      </c>
      <c r="MH19" s="46">
        <v>0</v>
      </c>
      <c r="MI19" s="46">
        <v>0</v>
      </c>
      <c r="MJ19" s="46">
        <v>0</v>
      </c>
      <c r="MK19" s="46">
        <v>3700729</v>
      </c>
      <c r="ML19" s="46">
        <v>4505107</v>
      </c>
      <c r="MM19" s="46">
        <v>0</v>
      </c>
      <c r="MN19" s="46">
        <v>688896</v>
      </c>
      <c r="MO19" s="46">
        <v>13241</v>
      </c>
      <c r="MP19" s="46">
        <v>0</v>
      </c>
      <c r="MQ19" s="46">
        <v>0</v>
      </c>
      <c r="MR19" s="46">
        <v>0</v>
      </c>
      <c r="MS19" s="46">
        <v>0</v>
      </c>
      <c r="MT19" s="46">
        <v>2866196</v>
      </c>
      <c r="MU19" s="46">
        <v>3171620</v>
      </c>
      <c r="MV19" s="46">
        <v>0</v>
      </c>
      <c r="MW19" s="46">
        <v>166689</v>
      </c>
      <c r="MX19" s="46">
        <v>0</v>
      </c>
      <c r="MY19" s="46">
        <v>0</v>
      </c>
      <c r="MZ19" s="46">
        <v>0</v>
      </c>
      <c r="NA19" s="46">
        <v>0</v>
      </c>
      <c r="NB19" s="46">
        <v>0</v>
      </c>
      <c r="NC19" s="46">
        <v>1031692</v>
      </c>
      <c r="ND19" s="46">
        <v>2109512</v>
      </c>
      <c r="NE19" s="46">
        <v>0</v>
      </c>
      <c r="NF19" s="46">
        <v>5837</v>
      </c>
      <c r="NG19" s="46">
        <v>0</v>
      </c>
      <c r="NH19" s="46">
        <v>0</v>
      </c>
      <c r="NI19" s="46">
        <v>0</v>
      </c>
      <c r="NJ19" s="46">
        <v>0</v>
      </c>
      <c r="NK19" s="46">
        <v>0</v>
      </c>
      <c r="NL19" s="46">
        <v>630542</v>
      </c>
      <c r="NM19" s="46">
        <v>2306411</v>
      </c>
      <c r="NN19" s="46">
        <v>0</v>
      </c>
      <c r="NO19" s="46">
        <v>2773597</v>
      </c>
      <c r="NP19" s="46">
        <v>0</v>
      </c>
      <c r="NQ19" s="46">
        <v>0</v>
      </c>
      <c r="NR19" s="46">
        <v>0</v>
      </c>
      <c r="NS19" s="46">
        <v>0</v>
      </c>
      <c r="NT19" s="46">
        <v>0</v>
      </c>
      <c r="NU19" s="46">
        <v>0</v>
      </c>
      <c r="NV19" s="46">
        <v>0</v>
      </c>
      <c r="NW19" s="46">
        <v>1154010</v>
      </c>
      <c r="NX19" s="46">
        <v>0</v>
      </c>
      <c r="NY19" s="46">
        <v>0</v>
      </c>
      <c r="NZ19" s="46">
        <v>0</v>
      </c>
      <c r="OA19" s="46">
        <v>0</v>
      </c>
      <c r="OB19" s="46">
        <v>0</v>
      </c>
      <c r="OC19" s="46">
        <v>0</v>
      </c>
      <c r="OD19" s="46">
        <v>83569</v>
      </c>
      <c r="OE19" s="46">
        <v>222848</v>
      </c>
      <c r="OF19" s="46">
        <v>0</v>
      </c>
      <c r="OG19" s="46">
        <v>44444</v>
      </c>
      <c r="OH19" s="46">
        <v>0</v>
      </c>
      <c r="OI19" s="46">
        <v>0</v>
      </c>
      <c r="OJ19" s="46">
        <v>0</v>
      </c>
      <c r="OK19" s="46">
        <v>0</v>
      </c>
      <c r="OL19" s="46">
        <v>0</v>
      </c>
      <c r="OM19" s="46">
        <v>16182</v>
      </c>
      <c r="ON19" s="46">
        <v>64504</v>
      </c>
      <c r="OO19" s="46">
        <v>0</v>
      </c>
      <c r="OP19" s="46">
        <v>0</v>
      </c>
      <c r="OQ19" s="46">
        <v>0</v>
      </c>
      <c r="OR19" s="46">
        <v>0</v>
      </c>
      <c r="OS19" s="46">
        <v>0</v>
      </c>
      <c r="OT19" s="46">
        <v>0</v>
      </c>
      <c r="OU19" s="46">
        <v>0</v>
      </c>
      <c r="OV19" s="46">
        <v>0</v>
      </c>
      <c r="OW19" s="46">
        <v>0</v>
      </c>
      <c r="OX19" s="46">
        <v>0</v>
      </c>
      <c r="OY19" s="46">
        <v>0</v>
      </c>
      <c r="OZ19" s="46">
        <v>0</v>
      </c>
      <c r="PA19" s="46">
        <v>0</v>
      </c>
      <c r="PB19" s="46">
        <v>0</v>
      </c>
      <c r="PC19" s="46">
        <v>0</v>
      </c>
      <c r="PD19" s="46">
        <v>0</v>
      </c>
      <c r="PE19" s="46">
        <v>512015</v>
      </c>
      <c r="PF19" s="46">
        <v>7468945</v>
      </c>
      <c r="PG19" s="46">
        <v>0</v>
      </c>
      <c r="PH19" s="46">
        <v>-5378519</v>
      </c>
      <c r="PI19" s="46">
        <v>0</v>
      </c>
      <c r="PJ19" s="46">
        <v>8329</v>
      </c>
      <c r="PK19" s="46">
        <v>0</v>
      </c>
      <c r="PL19" s="46">
        <v>0</v>
      </c>
      <c r="PM19" s="46">
        <v>0</v>
      </c>
      <c r="PN19" s="46">
        <v>0</v>
      </c>
      <c r="PO19" s="46">
        <v>0</v>
      </c>
      <c r="PP19" s="46">
        <v>0</v>
      </c>
      <c r="PQ19" s="46">
        <v>0</v>
      </c>
      <c r="PR19" s="46">
        <v>0</v>
      </c>
      <c r="PS19" s="46">
        <v>0</v>
      </c>
      <c r="PT19" s="46">
        <v>0</v>
      </c>
      <c r="PU19" s="46">
        <v>0</v>
      </c>
      <c r="PV19" s="46">
        <v>0</v>
      </c>
      <c r="PW19" s="46">
        <v>-8452013</v>
      </c>
      <c r="PX19" s="46">
        <v>0</v>
      </c>
      <c r="PY19" s="46">
        <v>0</v>
      </c>
      <c r="PZ19" s="46">
        <v>0</v>
      </c>
      <c r="QA19" s="46">
        <v>0</v>
      </c>
      <c r="QB19" s="46">
        <v>0</v>
      </c>
      <c r="QC19" s="46">
        <v>0</v>
      </c>
      <c r="QD19" s="46">
        <v>0</v>
      </c>
      <c r="QE19" s="46">
        <v>0</v>
      </c>
      <c r="QF19" s="46">
        <v>0</v>
      </c>
      <c r="QG19" s="46">
        <v>944368</v>
      </c>
      <c r="QH19" s="46">
        <v>0</v>
      </c>
      <c r="QI19" s="46">
        <v>0</v>
      </c>
      <c r="QJ19" s="46">
        <v>0</v>
      </c>
      <c r="QK19" s="46">
        <v>1992</v>
      </c>
      <c r="QL19" s="46">
        <v>0</v>
      </c>
      <c r="QM19" s="46">
        <v>0</v>
      </c>
      <c r="QN19" s="46">
        <v>0</v>
      </c>
      <c r="QO19" s="46">
        <v>0</v>
      </c>
      <c r="QP19" s="46">
        <v>0</v>
      </c>
      <c r="QQ19" s="46">
        <v>0</v>
      </c>
      <c r="QR19" s="46">
        <v>0</v>
      </c>
      <c r="QS19" s="46">
        <v>0</v>
      </c>
      <c r="QT19" s="46">
        <v>41750</v>
      </c>
      <c r="QU19" s="46">
        <v>0</v>
      </c>
      <c r="QV19" s="46">
        <v>0</v>
      </c>
      <c r="QW19" s="46">
        <v>0</v>
      </c>
      <c r="QX19" s="46">
        <v>0</v>
      </c>
      <c r="QY19" s="46">
        <v>0</v>
      </c>
      <c r="QZ19" s="46">
        <v>0</v>
      </c>
      <c r="RA19" s="46">
        <v>0</v>
      </c>
      <c r="RB19" s="46">
        <v>0</v>
      </c>
      <c r="RC19" s="46">
        <v>0</v>
      </c>
      <c r="RD19" s="46">
        <v>0</v>
      </c>
      <c r="RE19" s="46">
        <v>0</v>
      </c>
      <c r="RF19" s="46">
        <v>0</v>
      </c>
      <c r="RG19" s="46">
        <v>0</v>
      </c>
      <c r="RH19" s="46">
        <v>0</v>
      </c>
      <c r="RI19" s="46">
        <v>0</v>
      </c>
      <c r="RJ19" s="46">
        <v>0</v>
      </c>
      <c r="RK19" s="46">
        <v>0</v>
      </c>
      <c r="RL19" s="46">
        <v>0</v>
      </c>
      <c r="RM19" s="46">
        <v>0</v>
      </c>
      <c r="RN19" s="46">
        <v>0</v>
      </c>
      <c r="RO19" s="46">
        <v>-5604630</v>
      </c>
      <c r="RP19" s="46">
        <v>0</v>
      </c>
      <c r="RQ19" s="46">
        <v>0</v>
      </c>
      <c r="RR19" s="46">
        <v>0</v>
      </c>
      <c r="RS19" s="46">
        <v>0</v>
      </c>
      <c r="RT19" s="46">
        <v>0</v>
      </c>
      <c r="RU19" s="46">
        <v>0</v>
      </c>
      <c r="RV19" s="46">
        <v>0</v>
      </c>
      <c r="RW19" s="46">
        <v>0</v>
      </c>
      <c r="RX19" s="46">
        <v>57200</v>
      </c>
      <c r="RY19" s="46">
        <v>0</v>
      </c>
      <c r="RZ19" s="46">
        <v>0</v>
      </c>
      <c r="SA19" s="46">
        <v>0</v>
      </c>
      <c r="SB19" s="46">
        <v>0</v>
      </c>
      <c r="SC19" s="46">
        <v>0</v>
      </c>
      <c r="SD19" s="46">
        <v>0</v>
      </c>
      <c r="SE19" s="46">
        <v>0</v>
      </c>
      <c r="SF19" s="46">
        <v>0</v>
      </c>
      <c r="SG19" s="46">
        <v>0</v>
      </c>
      <c r="SH19" s="46">
        <v>0</v>
      </c>
      <c r="SI19" s="46">
        <v>0</v>
      </c>
      <c r="SJ19" s="46">
        <v>0</v>
      </c>
      <c r="SK19" s="46">
        <v>0</v>
      </c>
      <c r="SL19" s="46">
        <v>0</v>
      </c>
      <c r="SM19" s="46">
        <v>0</v>
      </c>
      <c r="SN19" s="46">
        <v>0</v>
      </c>
      <c r="SO19" s="46">
        <v>0</v>
      </c>
      <c r="SP19" s="46">
        <v>3087</v>
      </c>
      <c r="SQ19" s="46">
        <v>83569</v>
      </c>
      <c r="SR19" s="46">
        <v>222848</v>
      </c>
      <c r="SS19" s="46">
        <v>0</v>
      </c>
      <c r="ST19" s="46">
        <v>44444</v>
      </c>
      <c r="SU19" s="46">
        <v>0</v>
      </c>
      <c r="SV19" s="46">
        <v>0</v>
      </c>
      <c r="SW19" s="46">
        <v>0</v>
      </c>
      <c r="SX19" s="46">
        <v>0</v>
      </c>
      <c r="SY19" s="46">
        <v>0</v>
      </c>
      <c r="SZ19" s="46">
        <v>50875</v>
      </c>
      <c r="TA19" s="46">
        <v>0</v>
      </c>
      <c r="TB19" s="46">
        <v>1722</v>
      </c>
      <c r="TC19" s="46">
        <v>0</v>
      </c>
      <c r="TD19" s="46">
        <v>79730</v>
      </c>
      <c r="TE19" s="46">
        <v>74179</v>
      </c>
      <c r="TF19" s="46">
        <v>10153</v>
      </c>
      <c r="TG19" s="46">
        <v>134202</v>
      </c>
      <c r="TH19" s="46">
        <v>0</v>
      </c>
      <c r="TI19" s="46">
        <v>0</v>
      </c>
      <c r="TJ19" s="46">
        <v>0</v>
      </c>
      <c r="TK19" s="46">
        <v>0</v>
      </c>
      <c r="TL19" s="46">
        <v>115375</v>
      </c>
      <c r="TM19" s="46">
        <v>0</v>
      </c>
      <c r="TN19" s="46">
        <v>0</v>
      </c>
      <c r="TO19" s="46">
        <v>0</v>
      </c>
      <c r="TP19" s="46">
        <v>0</v>
      </c>
      <c r="TQ19" s="46">
        <v>0</v>
      </c>
      <c r="TR19" s="46">
        <v>0</v>
      </c>
      <c r="TS19" s="46">
        <v>0</v>
      </c>
      <c r="TT19" s="46">
        <v>0</v>
      </c>
      <c r="TU19" s="46">
        <v>0</v>
      </c>
      <c r="TV19" s="46">
        <v>0</v>
      </c>
      <c r="TW19" s="46">
        <v>0</v>
      </c>
      <c r="TX19" s="46">
        <v>0</v>
      </c>
      <c r="TY19" s="46">
        <v>0</v>
      </c>
      <c r="TZ19" s="46">
        <v>0</v>
      </c>
      <c r="UA19" s="46">
        <v>0</v>
      </c>
      <c r="UB19" s="46">
        <v>0</v>
      </c>
      <c r="UC19" s="46">
        <v>0</v>
      </c>
      <c r="UD19" s="46">
        <v>0</v>
      </c>
      <c r="UE19" s="46">
        <v>15322360</v>
      </c>
      <c r="UF19" s="46">
        <v>1881512</v>
      </c>
      <c r="UG19" s="46">
        <v>16859</v>
      </c>
      <c r="UH19" s="46">
        <v>0</v>
      </c>
      <c r="UI19" s="46">
        <v>8562677</v>
      </c>
      <c r="UJ19" s="46">
        <v>8907973</v>
      </c>
      <c r="UK19" s="46">
        <v>6204505</v>
      </c>
      <c r="UL19" s="46">
        <v>3147041</v>
      </c>
      <c r="UM19" s="46">
        <v>5710550</v>
      </c>
      <c r="UN19" s="46">
        <v>1154010</v>
      </c>
      <c r="UO1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350861</v>
      </c>
      <c r="UP19" s="46">
        <f>SUM(Input[[#This Row],[Oth Exp E&amp;G]],Input[[#This Row],[Oth Exp Desg]],Input[[#This Row],[Oth Exp Aux]],Input[[#This Row],[Oth Exp R Exp]],Input[[#This Row],[Oth Exp Loan]],Input[[#This Row],[Oth Exp Annuity]],Input[[#This Row],[Oth Exp Unexp]],Input[[#This Row],[Oth Exp R of Ind]],Input[[#This Row],[Oth Exp Inv in P]])</f>
        <v>80686</v>
      </c>
      <c r="UQ19" s="46"/>
      <c r="UR19" s="46"/>
      <c r="US19" s="8" t="s">
        <v>742</v>
      </c>
      <c r="UT19" s="47">
        <v>9798459761</v>
      </c>
      <c r="UU19" s="8" t="s">
        <v>71</v>
      </c>
      <c r="UV19" s="8" t="s">
        <v>789</v>
      </c>
      <c r="UW19" s="47">
        <v>2545195433</v>
      </c>
      <c r="UX19" s="8" t="s">
        <v>790</v>
      </c>
      <c r="UY19" s="51" cm="1">
        <f t="array" ref="UY19">IFERROR(_xlfn.IFS(Input[[#This Row],[Type]]="HRI",SUMIFS('FTSE | FTFE'!$P$8:$P$77,'FTSE | FTFE'!$H$8:$H$77,A19),Input[[#This Row],[Type]]="UNIV",SUMIFS('FTSE | FTFE'!$P$104:$P$139,'FTSE | FTFE'!$H$104:$H$139,A19),OR(Input[[#This Row],[Type]]="TSTC",Input[[#This Row],[Type]]="LSC"),SUMIFS('FTSE | FTFE'!$O$88:$O$96,'FTSE | FTFE'!$H$88:$H$96,A19),Input[[#This Row],[Type]]="AHM",SUMIFS(Hidden!$H$42:$H$45,Hidden!$G$42:$G$45,A19)),"N/A")</f>
        <v>1811</v>
      </c>
      <c r="UZ19" s="51" cm="1">
        <f t="array" ref="UZ19">IFERROR(_xlfn.IFS(Input[[#This Row],[Type]]="HRI",SUMIFS('FTSE | FTFE'!$Q$8:$Q$77,'FTSE | FTFE'!$H$8:$H$77,A19),Input[[#This Row],[Type]]="UNIV",SUMIFS('FTSE | FTFE'!$Q$104:$Q$139,'FTSE | FTFE'!$H$104:$H$139,A19),OR(Input[[#This Row],[Type]]="TSTC",Input[[#This Row],[Type]]="LSC"),SUMIFS('FTSE | FTFE'!$P$88:$P$96,'FTSE | FTFE'!$H$88:$H$96,A19)),"N/A")</f>
        <v>63</v>
      </c>
      <c r="VA1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29292970</v>
      </c>
      <c r="VB1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19" s="46">
        <f>SUM(Input[[#This Row],[Fed G&amp;C E&amp;G]],Input[[#This Row],[Fed G&amp;C Desg]],Input[[#This Row],[Fed G&amp;C R Exp]],Input[[#This Row],[Fed G&amp;C Loan]],Input[[#This Row],[Fed G&amp;C Annuity]],Input[[#This Row],[Fed G&amp;C Unexp]],Input[[#This Row],[Fed G&amp;C R of Ind]],Input[[#This Row],[Fed G&amp;C Inv in P]])</f>
        <v>9158117</v>
      </c>
      <c r="VD1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2818514</v>
      </c>
      <c r="VE1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10873909</v>
      </c>
      <c r="VF1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2972222</v>
      </c>
      <c r="VG19" s="46">
        <f>SUM(Input[[#This Row],[Oth Inc E&amp;G]],Input[[#This Row],[Oth Exp Desg]],Input[[#This Row],[Oth Exp R Exp]],Input[[#This Row],[Oth Exp Loan]],Input[[#This Row],[Oth Exp Annuity]],Input[[#This Row],[Oth Exp Unexp]],Input[[#This Row],[Oth Exp R of Ind]],Input[[#This Row],[Oth Exp Inv in P]])</f>
        <v>202752</v>
      </c>
      <c r="VH19" s="46">
        <f>SUM(Input[[#This Row],[Instr E&amp;G]],Input[[#This Row],[Instr Desg]],Input[[#This Row],[Instr R Exp]],Input[[#This Row],[Instr Loan]],Input[[#This Row],[Instr Annuity]],Input[[#This Row],[Instr Unexp]],Input[[#This Row],[Instr R of Ind]],Input[[#This Row],[Instr Inv in P]])</f>
        <v>15322360</v>
      </c>
      <c r="VI19" s="46">
        <f>SUM(Input[[#This Row],[Res E&amp;G]],Input[[#This Row],[Res Desg]],Input[[#This Row],[Res R Exp]],Input[[#This Row],[Res Loan]],Input[[#This Row],[Res Annuity]],Input[[#This Row],[Res Unexp]],Input[[#This Row],[Res R of Ind]],Input[[#This Row],[Res Inv in P]])</f>
        <v>1881512</v>
      </c>
      <c r="VJ19" s="46">
        <f>SUM(Input[[#This Row],[Acad Sup E&amp;G]],Input[[#This Row],[Acad Sup Desg]],Input[[#This Row],[Acad Sup R Exp]],Input[[#This Row],[Acad Sup Loan]],Input[[#This Row],[Acad Sup Annuity]],Input[[#This Row],[Acad Sup Unexp]],Input[[#This Row],[Acad Sup R of Ind]],Input[[#This Row],[Acad Sup Inv in P]])</f>
        <v>8562677</v>
      </c>
      <c r="VK19" s="46">
        <f>SUM(Input[[#This Row],[Stu Svc E&amp;G]],Input[[#This Row],[Stu Svc Desg]],Input[[#This Row],[Stu Svc R Exp]],Input[[#This Row],[Stu Svc Loan]],Input[[#This Row],[Stu Svc Annuity]],Input[[#This Row],[Stu Svc Unexp]],Input[[#This Row],[Stu Svc R of Ind]],Input[[#This Row],[Stu Svc Inv in P]])</f>
        <v>8907973</v>
      </c>
      <c r="VL19" s="46">
        <f>SUM(Input[[#This Row],[Inst. Spt E&amp;G]],Input[[#This Row],[Inst. Spt Desg]],Input[[#This Row],[Inst. Spt R Exp]],Input[[#This Row],[Inst. Spt Loan]],Input[[#This Row],[Inst. Spt Annuity]],Input[[#This Row],[Inst. Spt Unexp]],Input[[#This Row],[Inst. Spt R of Ind]],Input[[#This Row],[Inst. Spt Inv in P]])</f>
        <v>6204505</v>
      </c>
      <c r="VM19" s="46">
        <f>SUM(Input[[#This Row],[M&amp;O Plnt E&amp;G]],Input[[#This Row],[M&amp;O Plnt Desg]],Input[[#This Row],[M&amp;O Plnt R Exp]],Input[[#This Row],[M&amp;O Plnt Loan]],Input[[#This Row],[M&amp;O Plnt Annuity]],Input[[#This Row],[M&amp;O Plnt Unexp]],Input[[#This Row],[M&amp;O Plnt R of Ind]],Input[[#This Row],[M&amp;O Plnt Inv in P]])</f>
        <v>3147041</v>
      </c>
      <c r="VN19" s="46">
        <f>SUM(Input[[#This Row],[Schl &amp; Fell E&amp;G]],Input[[#This Row],[Schl &amp; Fell Desg]],Input[[#This Row],[Schl &amp; Fell R Exp]],Input[[#This Row],[Schl &amp; Fell Loan]],Input[[#This Row],[Schl &amp; Fell Annuity]],Input[[#This Row],[Schl &amp; Fell Unexp]],Input[[#This Row],[Schl &amp; Fell R of Ind]],Input[[#This Row],[Schl &amp; Fell Inv in P]])</f>
        <v>5710550</v>
      </c>
      <c r="VO19" s="46">
        <f>SUM(Input[[#This Row],[Cap Out fund E&amp;G]],Input[[#This Row],[Cap Out fund Desg]],Input[[#This Row],[Cap Out fund R Exp]],Input[[#This Row],[Cap Out fund Loan]],Input[[#This Row],[Cap Out fund Annuity]],Input[[#This Row],[Cap Out fund Unexp]],Input[[#This Row],[Cap Out fund R of Ind]],Input[[#This Row],[Cap Out fund Inv in P]])</f>
        <v>350861</v>
      </c>
      <c r="VP19" s="46">
        <f>SUM(Input[[#This Row],[Oth Exp E&amp;G]],Input[[#This Row],[Oth Exp Desg]],Input[[#This Row],[Oth Exp R Exp]],Input[[#This Row],[Oth Exp Loan]],Input[[#This Row],[Oth Exp Annuity]],Input[[#This Row],[Oth Exp Unexp]],Input[[#This Row],[Oth Exp R of Ind]],Input[[#This Row],[Oth Exp Inv in P]],Input[[#This Row],[Oth Exp Inv in P]])</f>
        <v>80686</v>
      </c>
    </row>
    <row r="20" spans="1:588" ht="30" customHeight="1" x14ac:dyDescent="0.3">
      <c r="A20" s="15" t="s">
        <v>8</v>
      </c>
      <c r="B20" s="36" t="s">
        <v>111</v>
      </c>
      <c r="C20" s="36" t="s">
        <v>110</v>
      </c>
      <c r="D20" s="36">
        <v>207</v>
      </c>
      <c r="E20" s="36" t="s">
        <v>132</v>
      </c>
      <c r="F20" s="95" cm="1">
        <f t="array" ref="F20">IFERROR(_xlfn.IFS(Input[[#This Row],[Type]]="HRI",SUMIFS('FTSE | FTFE'!$I$8:$I$77,'FTSE | FTFE'!$H$8:$H$77,A20),Input[[#This Row],[Type]]="UNIV",SUMIFS('FTSE | FTFE'!$I$104:$I$139,'FTSE | FTFE'!$H$104:$H$139,A20),OR(Input[[#This Row],[Type]]="TSTC",Input[[#This Row],[Type]]="LSC"),SUMIFS('FTSE | FTFE'!$I$88:$I$96,'FTSE | FTFE'!$H$88:$H$96,A20)),"N/A")</f>
        <v>11161</v>
      </c>
      <c r="G20" s="46">
        <v>75554964</v>
      </c>
      <c r="H20" s="46">
        <v>0</v>
      </c>
      <c r="I20" s="46">
        <v>0</v>
      </c>
      <c r="J20" s="46">
        <v>0</v>
      </c>
      <c r="K20" s="46">
        <v>0</v>
      </c>
      <c r="L20" s="46">
        <v>0</v>
      </c>
      <c r="M20" s="46">
        <v>0</v>
      </c>
      <c r="N20" s="46">
        <v>0</v>
      </c>
      <c r="O20" s="46">
        <v>0</v>
      </c>
      <c r="P20" s="46">
        <v>250915</v>
      </c>
      <c r="Q20" s="46">
        <v>124274</v>
      </c>
      <c r="R20" s="46">
        <v>0</v>
      </c>
      <c r="S20" s="46">
        <v>8949188</v>
      </c>
      <c r="T20" s="46">
        <v>0</v>
      </c>
      <c r="U20" s="46">
        <v>0</v>
      </c>
      <c r="V20" s="46">
        <v>0</v>
      </c>
      <c r="W20" s="46">
        <v>0</v>
      </c>
      <c r="X20" s="46">
        <v>0</v>
      </c>
      <c r="Y20" s="46">
        <v>11825139</v>
      </c>
      <c r="Z20" s="46">
        <v>0</v>
      </c>
      <c r="AA20" s="46">
        <v>0</v>
      </c>
      <c r="AB20" s="46">
        <v>0</v>
      </c>
      <c r="AC20" s="46">
        <v>0</v>
      </c>
      <c r="AD20" s="46">
        <v>0</v>
      </c>
      <c r="AE20" s="46">
        <v>0</v>
      </c>
      <c r="AF20" s="46">
        <v>0</v>
      </c>
      <c r="AG20" s="46">
        <v>0</v>
      </c>
      <c r="AH20" s="46">
        <v>0</v>
      </c>
      <c r="AI20" s="46">
        <v>0</v>
      </c>
      <c r="AJ20" s="46">
        <v>0</v>
      </c>
      <c r="AK20" s="46">
        <v>0</v>
      </c>
      <c r="AL20" s="46">
        <v>0</v>
      </c>
      <c r="AM20" s="46">
        <v>0</v>
      </c>
      <c r="AN20" s="46">
        <v>0</v>
      </c>
      <c r="AO20" s="46">
        <v>0</v>
      </c>
      <c r="AP20" s="46">
        <v>0</v>
      </c>
      <c r="AQ20" s="46">
        <v>-4727040</v>
      </c>
      <c r="AR20" s="46">
        <v>0</v>
      </c>
      <c r="AS20" s="46">
        <v>0</v>
      </c>
      <c r="AT20" s="46">
        <v>0</v>
      </c>
      <c r="AU20" s="46">
        <v>0</v>
      </c>
      <c r="AV20" s="46">
        <v>0</v>
      </c>
      <c r="AW20" s="46">
        <v>0</v>
      </c>
      <c r="AX20" s="46">
        <v>0</v>
      </c>
      <c r="AY20" s="46">
        <v>0</v>
      </c>
      <c r="AZ20" s="46">
        <v>0</v>
      </c>
      <c r="BA20" s="46">
        <v>0</v>
      </c>
      <c r="BB20" s="46">
        <v>0</v>
      </c>
      <c r="BC20" s="46">
        <v>0</v>
      </c>
      <c r="BD20" s="46">
        <v>0</v>
      </c>
      <c r="BE20" s="46">
        <v>0</v>
      </c>
      <c r="BF20" s="46">
        <v>0</v>
      </c>
      <c r="BG20" s="46">
        <v>0</v>
      </c>
      <c r="BH20" s="46">
        <v>0</v>
      </c>
      <c r="BI20" s="46">
        <v>0</v>
      </c>
      <c r="BJ20" s="46">
        <v>0</v>
      </c>
      <c r="BK20" s="46">
        <v>0</v>
      </c>
      <c r="BL20" s="46">
        <v>0</v>
      </c>
      <c r="BM20" s="46">
        <v>0</v>
      </c>
      <c r="BN20" s="46">
        <v>0</v>
      </c>
      <c r="BO20" s="46">
        <v>0</v>
      </c>
      <c r="BP20" s="46">
        <v>0</v>
      </c>
      <c r="BQ20" s="46">
        <v>0</v>
      </c>
      <c r="BR20" s="46">
        <v>0</v>
      </c>
      <c r="BS20" s="46">
        <v>0</v>
      </c>
      <c r="BT20" s="46">
        <v>0</v>
      </c>
      <c r="BU20" s="46">
        <v>0</v>
      </c>
      <c r="BV20" s="46">
        <v>0</v>
      </c>
      <c r="BW20" s="46">
        <v>0</v>
      </c>
      <c r="BX20" s="46">
        <v>0</v>
      </c>
      <c r="BY20" s="46">
        <v>0</v>
      </c>
      <c r="BZ20" s="46">
        <v>0</v>
      </c>
      <c r="CA20" s="46">
        <v>19588325</v>
      </c>
      <c r="CB20" s="46">
        <v>37363723</v>
      </c>
      <c r="CC20" s="46">
        <v>0</v>
      </c>
      <c r="CD20" s="46">
        <v>0</v>
      </c>
      <c r="CE20" s="46">
        <v>0</v>
      </c>
      <c r="CF20" s="46">
        <v>0</v>
      </c>
      <c r="CG20" s="46">
        <v>0</v>
      </c>
      <c r="CH20" s="46">
        <v>0</v>
      </c>
      <c r="CI20" s="46">
        <v>0</v>
      </c>
      <c r="CJ20" s="46">
        <v>-133320</v>
      </c>
      <c r="CK20" s="46">
        <v>-42789</v>
      </c>
      <c r="CL20" s="46">
        <v>0</v>
      </c>
      <c r="CM20" s="46">
        <v>0</v>
      </c>
      <c r="CN20" s="46">
        <v>0</v>
      </c>
      <c r="CO20" s="46">
        <v>0</v>
      </c>
      <c r="CP20" s="46">
        <v>0</v>
      </c>
      <c r="CQ20" s="46">
        <v>0</v>
      </c>
      <c r="CR20" s="46">
        <v>0</v>
      </c>
      <c r="CS20" s="46">
        <v>0</v>
      </c>
      <c r="CT20" s="46">
        <v>0</v>
      </c>
      <c r="CU20" s="46">
        <v>0</v>
      </c>
      <c r="CV20" s="46">
        <v>0</v>
      </c>
      <c r="CW20" s="46">
        <v>0</v>
      </c>
      <c r="CX20" s="46">
        <v>0</v>
      </c>
      <c r="CY20" s="46">
        <v>0</v>
      </c>
      <c r="CZ20" s="46">
        <v>0</v>
      </c>
      <c r="DA20" s="46">
        <v>0</v>
      </c>
      <c r="DB20" s="46">
        <v>-1432107</v>
      </c>
      <c r="DC20" s="46">
        <v>-3612844</v>
      </c>
      <c r="DD20" s="46">
        <v>0</v>
      </c>
      <c r="DE20" s="46">
        <v>0</v>
      </c>
      <c r="DF20" s="46">
        <v>0</v>
      </c>
      <c r="DG20" s="46">
        <v>0</v>
      </c>
      <c r="DH20" s="46">
        <v>0</v>
      </c>
      <c r="DI20" s="46">
        <v>0</v>
      </c>
      <c r="DJ20" s="46">
        <v>0</v>
      </c>
      <c r="DK20" s="46">
        <v>0</v>
      </c>
      <c r="DL20" s="46">
        <v>0</v>
      </c>
      <c r="DM20" s="46">
        <v>0</v>
      </c>
      <c r="DN20" s="46">
        <v>0</v>
      </c>
      <c r="DO20" s="46">
        <v>0</v>
      </c>
      <c r="DP20" s="46">
        <v>0</v>
      </c>
      <c r="DQ20" s="46">
        <v>0</v>
      </c>
      <c r="DR20" s="46">
        <v>0</v>
      </c>
      <c r="DS20" s="46">
        <v>0</v>
      </c>
      <c r="DT20" s="46">
        <v>-4404938</v>
      </c>
      <c r="DU20" s="46">
        <v>-7732532</v>
      </c>
      <c r="DV20" s="46">
        <v>0</v>
      </c>
      <c r="DW20" s="46">
        <v>0</v>
      </c>
      <c r="DX20" s="46">
        <v>0</v>
      </c>
      <c r="DY20" s="46">
        <v>0</v>
      </c>
      <c r="DZ20" s="46">
        <v>0</v>
      </c>
      <c r="EA20" s="46">
        <v>0</v>
      </c>
      <c r="EB20" s="46">
        <v>0</v>
      </c>
      <c r="EC20" s="46">
        <v>0</v>
      </c>
      <c r="ED20" s="46">
        <v>0</v>
      </c>
      <c r="EE20" s="46">
        <v>0</v>
      </c>
      <c r="EF20" s="46">
        <v>0</v>
      </c>
      <c r="EG20" s="46">
        <v>0</v>
      </c>
      <c r="EH20" s="46">
        <v>0</v>
      </c>
      <c r="EI20" s="46">
        <v>0</v>
      </c>
      <c r="EJ20" s="46">
        <v>0</v>
      </c>
      <c r="EK20" s="46">
        <v>0</v>
      </c>
      <c r="EL20" s="46">
        <v>0</v>
      </c>
      <c r="EM20" s="46">
        <v>0</v>
      </c>
      <c r="EN20" s="46">
        <v>0</v>
      </c>
      <c r="EO20" s="46">
        <v>0</v>
      </c>
      <c r="EP20" s="46">
        <v>0</v>
      </c>
      <c r="EQ20" s="46">
        <v>0</v>
      </c>
      <c r="ER20" s="46">
        <v>0</v>
      </c>
      <c r="ES20" s="46">
        <v>0</v>
      </c>
      <c r="ET20" s="46">
        <v>0</v>
      </c>
      <c r="EU20" s="46">
        <v>0</v>
      </c>
      <c r="EV20" s="46">
        <v>0</v>
      </c>
      <c r="EW20" s="46">
        <v>0</v>
      </c>
      <c r="EX20" s="46">
        <v>0</v>
      </c>
      <c r="EY20" s="46">
        <v>0</v>
      </c>
      <c r="EZ20" s="46">
        <v>0</v>
      </c>
      <c r="FA20" s="46">
        <v>0</v>
      </c>
      <c r="FB20" s="46">
        <v>0</v>
      </c>
      <c r="FC20" s="46">
        <v>0</v>
      </c>
      <c r="FD20" s="46">
        <v>0</v>
      </c>
      <c r="FE20" s="46">
        <v>0</v>
      </c>
      <c r="FF20" s="46">
        <v>0</v>
      </c>
      <c r="FG20" s="46">
        <v>0</v>
      </c>
      <c r="FH20" s="46">
        <v>0</v>
      </c>
      <c r="FI20" s="46">
        <v>0</v>
      </c>
      <c r="FJ20" s="46">
        <v>0</v>
      </c>
      <c r="FK20" s="46">
        <v>0</v>
      </c>
      <c r="FL20" s="46">
        <v>0</v>
      </c>
      <c r="FM20" s="46">
        <v>218263</v>
      </c>
      <c r="FN20" s="46">
        <v>44353932</v>
      </c>
      <c r="FO20" s="46">
        <v>20097134</v>
      </c>
      <c r="FP20" s="46">
        <v>0</v>
      </c>
      <c r="FQ20" s="46">
        <v>0</v>
      </c>
      <c r="FR20" s="46">
        <v>0</v>
      </c>
      <c r="FS20" s="46">
        <v>0</v>
      </c>
      <c r="FT20" s="46">
        <v>0</v>
      </c>
      <c r="FU20" s="46">
        <v>0</v>
      </c>
      <c r="FV20" s="46">
        <v>0</v>
      </c>
      <c r="FW20" s="46">
        <v>0</v>
      </c>
      <c r="FX20" s="46">
        <v>0</v>
      </c>
      <c r="FY20" s="46">
        <v>0</v>
      </c>
      <c r="FZ20" s="46">
        <v>0</v>
      </c>
      <c r="GA20" s="46">
        <v>0</v>
      </c>
      <c r="GB20" s="46">
        <v>0</v>
      </c>
      <c r="GC20" s="46">
        <v>0</v>
      </c>
      <c r="GD20" s="46">
        <v>0</v>
      </c>
      <c r="GE20" s="46">
        <v>0</v>
      </c>
      <c r="GF20" s="46">
        <v>0</v>
      </c>
      <c r="GG20" s="46">
        <v>0</v>
      </c>
      <c r="GH20" s="46">
        <v>0</v>
      </c>
      <c r="GI20" s="46">
        <v>0</v>
      </c>
      <c r="GJ20" s="46">
        <v>0</v>
      </c>
      <c r="GK20" s="46">
        <v>0</v>
      </c>
      <c r="GL20" s="46">
        <v>0</v>
      </c>
      <c r="GM20" s="46">
        <v>0</v>
      </c>
      <c r="GN20" s="46">
        <v>-228280</v>
      </c>
      <c r="GO20" s="46">
        <v>-3746310</v>
      </c>
      <c r="GP20" s="46">
        <v>-1560703</v>
      </c>
      <c r="GQ20" s="46">
        <v>0</v>
      </c>
      <c r="GR20" s="46">
        <v>0</v>
      </c>
      <c r="GS20" s="46">
        <v>0</v>
      </c>
      <c r="GT20" s="46">
        <v>0</v>
      </c>
      <c r="GU20" s="46">
        <v>0</v>
      </c>
      <c r="GV20" s="46">
        <v>0</v>
      </c>
      <c r="GW20" s="46">
        <v>0</v>
      </c>
      <c r="GX20" s="46">
        <v>0</v>
      </c>
      <c r="GY20" s="46">
        <v>0</v>
      </c>
      <c r="GZ20" s="46">
        <v>0</v>
      </c>
      <c r="HA20" s="46">
        <v>0</v>
      </c>
      <c r="HB20" s="46">
        <v>0</v>
      </c>
      <c r="HC20" s="46">
        <v>0</v>
      </c>
      <c r="HD20" s="46">
        <v>0</v>
      </c>
      <c r="HE20" s="46">
        <v>0</v>
      </c>
      <c r="HF20" s="46">
        <v>161755</v>
      </c>
      <c r="HG20" s="46">
        <v>-9772415</v>
      </c>
      <c r="HH20" s="46">
        <v>-4564743</v>
      </c>
      <c r="HI20" s="46">
        <v>0</v>
      </c>
      <c r="HJ20" s="46">
        <v>0</v>
      </c>
      <c r="HK20" s="46">
        <v>0</v>
      </c>
      <c r="HL20" s="46">
        <v>0</v>
      </c>
      <c r="HM20" s="46">
        <v>0</v>
      </c>
      <c r="HN20" s="46">
        <v>0</v>
      </c>
      <c r="HO20" s="46">
        <v>35981</v>
      </c>
      <c r="HP20" s="46">
        <v>4266359</v>
      </c>
      <c r="HQ20" s="46">
        <v>0</v>
      </c>
      <c r="HR20" s="46">
        <v>47126011</v>
      </c>
      <c r="HS20" s="46">
        <v>0</v>
      </c>
      <c r="HT20" s="46">
        <v>0</v>
      </c>
      <c r="HU20" s="46">
        <v>0</v>
      </c>
      <c r="HV20" s="46">
        <v>0</v>
      </c>
      <c r="HW20" s="46">
        <v>0</v>
      </c>
      <c r="HX20" s="46">
        <v>0</v>
      </c>
      <c r="HY20" s="46">
        <v>0</v>
      </c>
      <c r="HZ20" s="46">
        <v>0</v>
      </c>
      <c r="IA20" s="46">
        <v>0</v>
      </c>
      <c r="IB20" s="46">
        <v>0</v>
      </c>
      <c r="IC20" s="46">
        <v>0</v>
      </c>
      <c r="ID20" s="46">
        <v>0</v>
      </c>
      <c r="IE20" s="46">
        <v>0</v>
      </c>
      <c r="IF20" s="46">
        <v>0</v>
      </c>
      <c r="IG20" s="46">
        <v>0</v>
      </c>
      <c r="IH20" s="46">
        <v>0</v>
      </c>
      <c r="II20" s="46">
        <v>0</v>
      </c>
      <c r="IJ20" s="46">
        <v>0</v>
      </c>
      <c r="IK20" s="46">
        <v>0</v>
      </c>
      <c r="IL20" s="46">
        <v>0</v>
      </c>
      <c r="IM20" s="46">
        <v>0</v>
      </c>
      <c r="IN20" s="46">
        <v>0</v>
      </c>
      <c r="IO20" s="46">
        <v>0</v>
      </c>
      <c r="IP20" s="46">
        <v>269673</v>
      </c>
      <c r="IQ20" s="46">
        <v>9904674</v>
      </c>
      <c r="IR20" s="46">
        <v>3912299</v>
      </c>
      <c r="IS20" s="46">
        <v>745259</v>
      </c>
      <c r="IT20" s="46">
        <v>63754</v>
      </c>
      <c r="IU20" s="46">
        <v>9897</v>
      </c>
      <c r="IV20" s="46">
        <v>0</v>
      </c>
      <c r="IW20" s="46">
        <v>0</v>
      </c>
      <c r="IX20" s="46">
        <v>0</v>
      </c>
      <c r="IY20" s="46">
        <v>0</v>
      </c>
      <c r="IZ20" s="46">
        <v>0</v>
      </c>
      <c r="JA20" s="46">
        <v>0</v>
      </c>
      <c r="JB20" s="46">
        <v>0</v>
      </c>
      <c r="JC20" s="46">
        <v>0</v>
      </c>
      <c r="JD20" s="46">
        <v>0</v>
      </c>
      <c r="JE20" s="46">
        <v>0</v>
      </c>
      <c r="JF20" s="46">
        <v>0</v>
      </c>
      <c r="JG20" s="46">
        <v>0</v>
      </c>
      <c r="JH20" s="46">
        <v>0</v>
      </c>
      <c r="JI20" s="46">
        <v>5863505</v>
      </c>
      <c r="JJ20" s="46">
        <v>578501</v>
      </c>
      <c r="JK20" s="46">
        <v>19225087</v>
      </c>
      <c r="JL20" s="46">
        <v>0</v>
      </c>
      <c r="JM20" s="46">
        <v>0</v>
      </c>
      <c r="JN20" s="46">
        <v>887370</v>
      </c>
      <c r="JO20" s="46">
        <v>0</v>
      </c>
      <c r="JP20" s="46">
        <v>0</v>
      </c>
      <c r="JQ20" s="46">
        <v>0</v>
      </c>
      <c r="JR20" s="46">
        <v>3166646</v>
      </c>
      <c r="JS20" s="46">
        <v>0</v>
      </c>
      <c r="JT20" s="46">
        <v>219437</v>
      </c>
      <c r="JU20" s="46">
        <v>0</v>
      </c>
      <c r="JV20" s="46">
        <v>0</v>
      </c>
      <c r="JW20" s="46">
        <v>0</v>
      </c>
      <c r="JX20" s="46">
        <v>0</v>
      </c>
      <c r="JY20" s="46">
        <v>0</v>
      </c>
      <c r="JZ20" s="46">
        <v>0</v>
      </c>
      <c r="KA20" s="46">
        <v>0</v>
      </c>
      <c r="KB20" s="46">
        <v>20428365</v>
      </c>
      <c r="KC20" s="46">
        <v>0</v>
      </c>
      <c r="KD20" s="46">
        <v>0</v>
      </c>
      <c r="KE20" s="46">
        <v>0</v>
      </c>
      <c r="KF20" s="46">
        <v>0</v>
      </c>
      <c r="KG20" s="46">
        <v>0</v>
      </c>
      <c r="KH20" s="46">
        <v>0</v>
      </c>
      <c r="KI20" s="46">
        <v>165317</v>
      </c>
      <c r="KJ20" s="46">
        <v>621109</v>
      </c>
      <c r="KK20" s="46">
        <v>1003439</v>
      </c>
      <c r="KL20" s="46">
        <v>188377</v>
      </c>
      <c r="KM20" s="46">
        <v>0</v>
      </c>
      <c r="KN20" s="46">
        <v>0</v>
      </c>
      <c r="KO20" s="46">
        <v>0</v>
      </c>
      <c r="KP20" s="46">
        <v>0</v>
      </c>
      <c r="KQ20" s="46">
        <v>261679</v>
      </c>
      <c r="KR20" s="46">
        <v>40169433</v>
      </c>
      <c r="KS20" s="46">
        <v>27212041</v>
      </c>
      <c r="KT20" s="46">
        <v>0</v>
      </c>
      <c r="KU20" s="46">
        <v>1249268</v>
      </c>
      <c r="KV20" s="46">
        <v>0</v>
      </c>
      <c r="KW20" s="46">
        <v>0</v>
      </c>
      <c r="KX20" s="46">
        <v>0</v>
      </c>
      <c r="KY20" s="46">
        <v>0</v>
      </c>
      <c r="KZ20" s="46">
        <v>0</v>
      </c>
      <c r="LA20" s="46">
        <v>9575260</v>
      </c>
      <c r="LB20" s="46">
        <v>3706070</v>
      </c>
      <c r="LC20" s="46">
        <v>0</v>
      </c>
      <c r="LD20" s="46">
        <v>30539179</v>
      </c>
      <c r="LE20" s="46">
        <v>0</v>
      </c>
      <c r="LF20" s="46">
        <v>0</v>
      </c>
      <c r="LG20" s="46">
        <v>3156</v>
      </c>
      <c r="LH20" s="46">
        <v>0</v>
      </c>
      <c r="LI20" s="46">
        <v>0</v>
      </c>
      <c r="LJ20" s="46">
        <v>904861</v>
      </c>
      <c r="LK20" s="46">
        <v>2026048</v>
      </c>
      <c r="LL20" s="46">
        <v>0</v>
      </c>
      <c r="LM20" s="46">
        <v>1171182</v>
      </c>
      <c r="LN20" s="46">
        <v>0</v>
      </c>
      <c r="LO20" s="46">
        <v>0</v>
      </c>
      <c r="LP20" s="46">
        <v>0</v>
      </c>
      <c r="LQ20" s="46">
        <v>0</v>
      </c>
      <c r="LR20" s="46">
        <v>0</v>
      </c>
      <c r="LS20" s="46">
        <v>0</v>
      </c>
      <c r="LT20" s="46">
        <v>0</v>
      </c>
      <c r="LU20" s="46">
        <v>0</v>
      </c>
      <c r="LV20" s="46">
        <v>0</v>
      </c>
      <c r="LW20" s="46">
        <v>0</v>
      </c>
      <c r="LX20" s="46">
        <v>0</v>
      </c>
      <c r="LY20" s="46">
        <v>0</v>
      </c>
      <c r="LZ20" s="46">
        <v>0</v>
      </c>
      <c r="MA20" s="46">
        <v>0</v>
      </c>
      <c r="MB20" s="46">
        <v>14398779</v>
      </c>
      <c r="MC20" s="46">
        <v>17921598</v>
      </c>
      <c r="MD20" s="46">
        <v>0</v>
      </c>
      <c r="ME20" s="46">
        <v>1487976</v>
      </c>
      <c r="MF20" s="46">
        <v>0</v>
      </c>
      <c r="MG20" s="46">
        <v>0</v>
      </c>
      <c r="MH20" s="46">
        <v>0</v>
      </c>
      <c r="MI20" s="46">
        <v>0</v>
      </c>
      <c r="MJ20" s="46">
        <v>0</v>
      </c>
      <c r="MK20" s="46">
        <v>5341525</v>
      </c>
      <c r="ML20" s="46">
        <v>8463440</v>
      </c>
      <c r="MM20" s="46">
        <v>0</v>
      </c>
      <c r="MN20" s="46">
        <v>445661</v>
      </c>
      <c r="MO20" s="46">
        <v>353796</v>
      </c>
      <c r="MP20" s="46">
        <v>0</v>
      </c>
      <c r="MQ20" s="46">
        <v>0</v>
      </c>
      <c r="MR20" s="46">
        <v>0</v>
      </c>
      <c r="MS20" s="46">
        <v>0</v>
      </c>
      <c r="MT20" s="46">
        <v>9477386</v>
      </c>
      <c r="MU20" s="46">
        <v>11497204</v>
      </c>
      <c r="MV20" s="46">
        <v>0</v>
      </c>
      <c r="MW20" s="46">
        <v>446454</v>
      </c>
      <c r="MX20" s="46">
        <v>0</v>
      </c>
      <c r="MY20" s="46">
        <v>0</v>
      </c>
      <c r="MZ20" s="46">
        <v>0</v>
      </c>
      <c r="NA20" s="46">
        <v>0</v>
      </c>
      <c r="NB20" s="46">
        <v>0</v>
      </c>
      <c r="NC20" s="46">
        <v>2882560</v>
      </c>
      <c r="ND20" s="46">
        <v>10565070</v>
      </c>
      <c r="NE20" s="46">
        <v>0</v>
      </c>
      <c r="NF20" s="46">
        <v>7382</v>
      </c>
      <c r="NG20" s="46">
        <v>0</v>
      </c>
      <c r="NH20" s="46">
        <v>0</v>
      </c>
      <c r="NI20" s="46">
        <v>0</v>
      </c>
      <c r="NJ20" s="46">
        <v>0</v>
      </c>
      <c r="NK20" s="46">
        <v>0</v>
      </c>
      <c r="NL20" s="46">
        <v>3403984</v>
      </c>
      <c r="NM20" s="46">
        <v>8502193</v>
      </c>
      <c r="NN20" s="46">
        <v>0</v>
      </c>
      <c r="NO20" s="46">
        <v>7133322</v>
      </c>
      <c r="NP20" s="46">
        <v>0</v>
      </c>
      <c r="NQ20" s="46">
        <v>0</v>
      </c>
      <c r="NR20" s="46">
        <v>0</v>
      </c>
      <c r="NS20" s="46">
        <v>0</v>
      </c>
      <c r="NT20" s="46">
        <v>0</v>
      </c>
      <c r="NU20" s="46">
        <v>0</v>
      </c>
      <c r="NV20" s="46">
        <v>0</v>
      </c>
      <c r="NW20" s="46">
        <v>43937833</v>
      </c>
      <c r="NX20" s="46">
        <v>0</v>
      </c>
      <c r="NY20" s="46">
        <v>0</v>
      </c>
      <c r="NZ20" s="46">
        <v>0</v>
      </c>
      <c r="OA20" s="46">
        <v>0</v>
      </c>
      <c r="OB20" s="46">
        <v>0</v>
      </c>
      <c r="OC20" s="46">
        <v>0</v>
      </c>
      <c r="OD20" s="46">
        <v>2709879</v>
      </c>
      <c r="OE20" s="46">
        <v>594290</v>
      </c>
      <c r="OF20" s="46">
        <v>136142</v>
      </c>
      <c r="OG20" s="46">
        <v>1222130</v>
      </c>
      <c r="OH20" s="46">
        <v>0</v>
      </c>
      <c r="OI20" s="46">
        <v>0</v>
      </c>
      <c r="OJ20" s="46">
        <v>0</v>
      </c>
      <c r="OK20" s="46">
        <v>0</v>
      </c>
      <c r="OL20" s="46">
        <v>0</v>
      </c>
      <c r="OM20" s="46">
        <v>150277</v>
      </c>
      <c r="ON20" s="46">
        <v>608446</v>
      </c>
      <c r="OO20" s="46">
        <v>422059</v>
      </c>
      <c r="OP20" s="46">
        <v>423798</v>
      </c>
      <c r="OQ20" s="46">
        <v>0</v>
      </c>
      <c r="OR20" s="46">
        <v>45486</v>
      </c>
      <c r="OS20" s="46">
        <v>0</v>
      </c>
      <c r="OT20" s="46">
        <v>0</v>
      </c>
      <c r="OU20" s="46">
        <v>2195980</v>
      </c>
      <c r="OV20" s="46">
        <v>0</v>
      </c>
      <c r="OW20" s="46">
        <v>0</v>
      </c>
      <c r="OX20" s="46">
        <v>0</v>
      </c>
      <c r="OY20" s="46">
        <v>0</v>
      </c>
      <c r="OZ20" s="46">
        <v>0</v>
      </c>
      <c r="PA20" s="46">
        <v>0</v>
      </c>
      <c r="PB20" s="46">
        <v>16107742</v>
      </c>
      <c r="PC20" s="46">
        <v>0</v>
      </c>
      <c r="PD20" s="46">
        <v>0</v>
      </c>
      <c r="PE20" s="46">
        <v>1108403</v>
      </c>
      <c r="PF20" s="46">
        <v>10174136</v>
      </c>
      <c r="PG20" s="46">
        <v>6987004</v>
      </c>
      <c r="PH20" s="46">
        <v>-31244413</v>
      </c>
      <c r="PI20" s="46">
        <v>211394</v>
      </c>
      <c r="PJ20" s="46">
        <v>437291</v>
      </c>
      <c r="PK20" s="46">
        <v>12892948</v>
      </c>
      <c r="PL20" s="46">
        <v>0</v>
      </c>
      <c r="PM20" s="46">
        <v>0</v>
      </c>
      <c r="PN20" s="46">
        <v>0</v>
      </c>
      <c r="PO20" s="46">
        <v>0</v>
      </c>
      <c r="PP20" s="46">
        <v>0</v>
      </c>
      <c r="PQ20" s="46">
        <v>0</v>
      </c>
      <c r="PR20" s="46">
        <v>0</v>
      </c>
      <c r="PS20" s="46">
        <v>0</v>
      </c>
      <c r="PT20" s="46">
        <v>0</v>
      </c>
      <c r="PU20" s="46">
        <v>0</v>
      </c>
      <c r="PV20" s="46">
        <v>0</v>
      </c>
      <c r="PW20" s="46">
        <v>-14958305</v>
      </c>
      <c r="PX20" s="46">
        <v>-1290824</v>
      </c>
      <c r="PY20" s="46">
        <v>-13715087</v>
      </c>
      <c r="PZ20" s="46">
        <v>0</v>
      </c>
      <c r="QA20" s="46">
        <v>0</v>
      </c>
      <c r="QB20" s="46">
        <v>0</v>
      </c>
      <c r="QC20" s="46">
        <v>0</v>
      </c>
      <c r="QD20" s="46">
        <v>0</v>
      </c>
      <c r="QE20" s="46">
        <v>0</v>
      </c>
      <c r="QF20" s="46">
        <v>245143</v>
      </c>
      <c r="QG20" s="46">
        <v>829301</v>
      </c>
      <c r="QH20" s="46">
        <v>-2240746</v>
      </c>
      <c r="QI20" s="46">
        <v>287589</v>
      </c>
      <c r="QJ20" s="46">
        <v>-50413</v>
      </c>
      <c r="QK20" s="46">
        <v>38321</v>
      </c>
      <c r="QL20" s="46">
        <v>218752</v>
      </c>
      <c r="QM20" s="46">
        <v>0</v>
      </c>
      <c r="QN20" s="46">
        <v>0</v>
      </c>
      <c r="QO20" s="46">
        <v>0</v>
      </c>
      <c r="QP20" s="46">
        <v>0</v>
      </c>
      <c r="QQ20" s="46">
        <v>0</v>
      </c>
      <c r="QR20" s="46">
        <v>0</v>
      </c>
      <c r="QS20" s="46">
        <v>0</v>
      </c>
      <c r="QT20" s="46">
        <v>318213</v>
      </c>
      <c r="QU20" s="46">
        <v>0</v>
      </c>
      <c r="QV20" s="46">
        <v>0</v>
      </c>
      <c r="QW20" s="46">
        <v>0</v>
      </c>
      <c r="QX20" s="46">
        <v>0</v>
      </c>
      <c r="QY20" s="46">
        <v>0</v>
      </c>
      <c r="QZ20" s="46">
        <v>0</v>
      </c>
      <c r="RA20" s="46">
        <v>0</v>
      </c>
      <c r="RB20" s="46">
        <v>0</v>
      </c>
      <c r="RC20" s="46">
        <v>0</v>
      </c>
      <c r="RD20" s="46">
        <v>0</v>
      </c>
      <c r="RE20" s="46">
        <v>0</v>
      </c>
      <c r="RF20" s="46">
        <v>0</v>
      </c>
      <c r="RG20" s="46">
        <v>0</v>
      </c>
      <c r="RH20" s="46">
        <v>0</v>
      </c>
      <c r="RI20" s="46">
        <v>0</v>
      </c>
      <c r="RJ20" s="46">
        <v>0</v>
      </c>
      <c r="RK20" s="46">
        <v>0</v>
      </c>
      <c r="RL20" s="46">
        <v>0</v>
      </c>
      <c r="RM20" s="46">
        <v>0</v>
      </c>
      <c r="RN20" s="46">
        <v>0</v>
      </c>
      <c r="RO20" s="46">
        <v>-30942033</v>
      </c>
      <c r="RP20" s="46">
        <v>0</v>
      </c>
      <c r="RQ20" s="46">
        <v>0</v>
      </c>
      <c r="RR20" s="46">
        <v>0</v>
      </c>
      <c r="RS20" s="46">
        <v>0</v>
      </c>
      <c r="RT20" s="46">
        <v>0</v>
      </c>
      <c r="RU20" s="46">
        <v>0</v>
      </c>
      <c r="RV20" s="46">
        <v>0</v>
      </c>
      <c r="RW20" s="46">
        <v>0</v>
      </c>
      <c r="RX20" s="46">
        <v>-15686</v>
      </c>
      <c r="RY20" s="46">
        <v>0</v>
      </c>
      <c r="RZ20" s="46">
        <v>0</v>
      </c>
      <c r="SA20" s="46">
        <v>0</v>
      </c>
      <c r="SB20" s="46">
        <v>0</v>
      </c>
      <c r="SC20" s="46">
        <v>0</v>
      </c>
      <c r="SD20" s="46">
        <v>0</v>
      </c>
      <c r="SE20" s="46">
        <v>0</v>
      </c>
      <c r="SF20" s="46">
        <v>0</v>
      </c>
      <c r="SG20" s="46">
        <v>0</v>
      </c>
      <c r="SH20" s="46">
        <v>0</v>
      </c>
      <c r="SI20" s="46">
        <v>0</v>
      </c>
      <c r="SJ20" s="46">
        <v>0</v>
      </c>
      <c r="SK20" s="46">
        <v>0</v>
      </c>
      <c r="SL20" s="46">
        <v>0</v>
      </c>
      <c r="SM20" s="46">
        <v>0</v>
      </c>
      <c r="SN20" s="46">
        <v>0</v>
      </c>
      <c r="SO20" s="46">
        <v>0</v>
      </c>
      <c r="SP20" s="46">
        <v>422</v>
      </c>
      <c r="SQ20" s="46">
        <v>2709879</v>
      </c>
      <c r="SR20" s="46">
        <v>594290</v>
      </c>
      <c r="SS20" s="46">
        <v>136142</v>
      </c>
      <c r="ST20" s="46">
        <v>1222130</v>
      </c>
      <c r="SU20" s="46">
        <v>0</v>
      </c>
      <c r="SV20" s="46">
        <v>0</v>
      </c>
      <c r="SW20" s="46">
        <v>-16107742</v>
      </c>
      <c r="SX20" s="46">
        <v>0</v>
      </c>
      <c r="SY20" s="46">
        <v>0</v>
      </c>
      <c r="SZ20" s="46">
        <v>128064</v>
      </c>
      <c r="TA20" s="46">
        <v>2794846</v>
      </c>
      <c r="TB20" s="46">
        <v>19911</v>
      </c>
      <c r="TC20" s="46">
        <v>0</v>
      </c>
      <c r="TD20" s="46">
        <v>1199981</v>
      </c>
      <c r="TE20" s="46">
        <v>193044</v>
      </c>
      <c r="TF20" s="46">
        <v>155132</v>
      </c>
      <c r="TG20" s="46">
        <v>31534</v>
      </c>
      <c r="TH20" s="46">
        <v>3787</v>
      </c>
      <c r="TI20" s="46">
        <v>136142</v>
      </c>
      <c r="TJ20" s="46">
        <v>0</v>
      </c>
      <c r="TK20" s="46">
        <v>0</v>
      </c>
      <c r="TL20" s="46">
        <v>1136604</v>
      </c>
      <c r="TM20" s="46">
        <v>0</v>
      </c>
      <c r="TN20" s="46">
        <v>0</v>
      </c>
      <c r="TO20" s="46">
        <v>0</v>
      </c>
      <c r="TP20" s="46">
        <v>0</v>
      </c>
      <c r="TQ20" s="46">
        <v>0</v>
      </c>
      <c r="TR20" s="46">
        <v>0</v>
      </c>
      <c r="TS20" s="46">
        <v>0</v>
      </c>
      <c r="TT20" s="46">
        <v>0</v>
      </c>
      <c r="TU20" s="46">
        <v>0</v>
      </c>
      <c r="TV20" s="46">
        <v>0</v>
      </c>
      <c r="TW20" s="46">
        <v>0</v>
      </c>
      <c r="TX20" s="46">
        <v>0</v>
      </c>
      <c r="TY20" s="46">
        <v>0</v>
      </c>
      <c r="TZ20" s="46">
        <v>0</v>
      </c>
      <c r="UA20" s="46">
        <v>0</v>
      </c>
      <c r="UB20" s="46">
        <v>0</v>
      </c>
      <c r="UC20" s="46">
        <v>0</v>
      </c>
      <c r="UD20" s="46">
        <v>0</v>
      </c>
      <c r="UE20" s="46">
        <v>68630742</v>
      </c>
      <c r="UF20" s="46">
        <v>43823665</v>
      </c>
      <c r="UG20" s="46">
        <v>4102091</v>
      </c>
      <c r="UH20" s="46">
        <v>0</v>
      </c>
      <c r="UI20" s="46">
        <v>33808353</v>
      </c>
      <c r="UJ20" s="46">
        <v>14604422</v>
      </c>
      <c r="UK20" s="46">
        <v>21421044</v>
      </c>
      <c r="UL20" s="46">
        <v>13455012</v>
      </c>
      <c r="UM20" s="46">
        <v>19039499</v>
      </c>
      <c r="UN20" s="46">
        <v>43937833</v>
      </c>
      <c r="UO2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4662441</v>
      </c>
      <c r="UP20" s="46">
        <f>SUM(Input[[#This Row],[Oth Exp E&amp;G]],Input[[#This Row],[Oth Exp Desg]],Input[[#This Row],[Oth Exp Aux]],Input[[#This Row],[Oth Exp R Exp]],Input[[#This Row],[Oth Exp Loan]],Input[[#This Row],[Oth Exp Annuity]],Input[[#This Row],[Oth Exp Unexp]],Input[[#This Row],[Oth Exp R of Ind]],Input[[#This Row],[Oth Exp Inv in P]])</f>
        <v>3846046</v>
      </c>
      <c r="UQ20" s="46"/>
      <c r="UR20" s="46"/>
      <c r="US20" s="8" t="s">
        <v>742</v>
      </c>
      <c r="UT20" s="47">
        <v>9798459761</v>
      </c>
      <c r="UU20" s="8" t="s">
        <v>71</v>
      </c>
      <c r="UV20" s="8" t="s">
        <v>791</v>
      </c>
      <c r="UW20" s="47">
        <v>3618255571</v>
      </c>
      <c r="UX20" s="8" t="s">
        <v>792</v>
      </c>
      <c r="UY20" s="51" cm="1">
        <f t="array" ref="UY20">IFERROR(_xlfn.IFS(Input[[#This Row],[Type]]="HRI",SUMIFS('FTSE | FTFE'!$P$8:$P$77,'FTSE | FTFE'!$H$8:$H$77,A20),Input[[#This Row],[Type]]="UNIV",SUMIFS('FTSE | FTFE'!$P$104:$P$139,'FTSE | FTFE'!$H$104:$H$139,A20),OR(Input[[#This Row],[Type]]="TSTC",Input[[#This Row],[Type]]="LSC"),SUMIFS('FTSE | FTFE'!$O$88:$O$96,'FTSE | FTFE'!$H$88:$H$96,A20),Input[[#This Row],[Type]]="AHM",SUMIFS(Hidden!$H$42:$H$45,Hidden!$G$42:$G$45,A20)),"N/A")</f>
        <v>9531</v>
      </c>
      <c r="UZ20" s="51" cm="1">
        <f t="array" ref="UZ20">IFERROR(_xlfn.IFS(Input[[#This Row],[Type]]="HRI",SUMIFS('FTSE | FTFE'!$Q$8:$Q$77,'FTSE | FTFE'!$H$8:$H$77,A20),Input[[#This Row],[Type]]="UNIV",SUMIFS('FTSE | FTFE'!$Q$104:$Q$139,'FTSE | FTFE'!$H$104:$H$139,A20),OR(Input[[#This Row],[Type]]="TSTC",Input[[#This Row],[Type]]="LSC"),SUMIFS('FTSE | FTFE'!$P$88:$P$96,'FTSE | FTFE'!$H$88:$H$96,A20)),"N/A")</f>
        <v>153</v>
      </c>
      <c r="VA2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84879341</v>
      </c>
      <c r="VB2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11825139</v>
      </c>
      <c r="VC20" s="46">
        <f>SUM(Input[[#This Row],[Fed G&amp;C E&amp;G]],Input[[#This Row],[Fed G&amp;C Desg]],Input[[#This Row],[Fed G&amp;C R Exp]],Input[[#This Row],[Fed G&amp;C Loan]],Input[[#This Row],[Fed G&amp;C Annuity]],Input[[#This Row],[Fed G&amp;C Unexp]],Input[[#This Row],[Fed G&amp;C R of Ind]],Input[[#This Row],[Fed G&amp;C Inv in P]])</f>
        <v>51428351</v>
      </c>
      <c r="VD2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41591784</v>
      </c>
      <c r="VE2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39593518</v>
      </c>
      <c r="VF2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30986945</v>
      </c>
      <c r="VG20" s="46">
        <f>SUM(Input[[#This Row],[Oth Inc E&amp;G]],Input[[#This Row],[Oth Exp Desg]],Input[[#This Row],[Oth Exp R Exp]],Input[[#This Row],[Oth Exp Loan]],Input[[#This Row],[Oth Exp Annuity]],Input[[#This Row],[Oth Exp Unexp]],Input[[#This Row],[Oth Exp R of Ind]],Input[[#This Row],[Oth Exp Inv in P]])</f>
        <v>3439027</v>
      </c>
      <c r="VH20" s="46">
        <f>SUM(Input[[#This Row],[Instr E&amp;G]],Input[[#This Row],[Instr Desg]],Input[[#This Row],[Instr R Exp]],Input[[#This Row],[Instr Loan]],Input[[#This Row],[Instr Annuity]],Input[[#This Row],[Instr Unexp]],Input[[#This Row],[Instr R of Ind]],Input[[#This Row],[Instr Inv in P]])</f>
        <v>68630742</v>
      </c>
      <c r="VI20" s="46">
        <f>SUM(Input[[#This Row],[Res E&amp;G]],Input[[#This Row],[Res Desg]],Input[[#This Row],[Res R Exp]],Input[[#This Row],[Res Loan]],Input[[#This Row],[Res Annuity]],Input[[#This Row],[Res Unexp]],Input[[#This Row],[Res R of Ind]],Input[[#This Row],[Res Inv in P]])</f>
        <v>43823665</v>
      </c>
      <c r="VJ20" s="46">
        <f>SUM(Input[[#This Row],[Acad Sup E&amp;G]],Input[[#This Row],[Acad Sup Desg]],Input[[#This Row],[Acad Sup R Exp]],Input[[#This Row],[Acad Sup Loan]],Input[[#This Row],[Acad Sup Annuity]],Input[[#This Row],[Acad Sup Unexp]],Input[[#This Row],[Acad Sup R of Ind]],Input[[#This Row],[Acad Sup Inv in P]])</f>
        <v>33808353</v>
      </c>
      <c r="VK20" s="46">
        <f>SUM(Input[[#This Row],[Stu Svc E&amp;G]],Input[[#This Row],[Stu Svc Desg]],Input[[#This Row],[Stu Svc R Exp]],Input[[#This Row],[Stu Svc Loan]],Input[[#This Row],[Stu Svc Annuity]],Input[[#This Row],[Stu Svc Unexp]],Input[[#This Row],[Stu Svc R of Ind]],Input[[#This Row],[Stu Svc Inv in P]])</f>
        <v>14604422</v>
      </c>
      <c r="VL20" s="46">
        <f>SUM(Input[[#This Row],[Inst. Spt E&amp;G]],Input[[#This Row],[Inst. Spt Desg]],Input[[#This Row],[Inst. Spt R Exp]],Input[[#This Row],[Inst. Spt Loan]],Input[[#This Row],[Inst. Spt Annuity]],Input[[#This Row],[Inst. Spt Unexp]],Input[[#This Row],[Inst. Spt R of Ind]],Input[[#This Row],[Inst. Spt Inv in P]])</f>
        <v>21421044</v>
      </c>
      <c r="VM20" s="46">
        <f>SUM(Input[[#This Row],[M&amp;O Plnt E&amp;G]],Input[[#This Row],[M&amp;O Plnt Desg]],Input[[#This Row],[M&amp;O Plnt R Exp]],Input[[#This Row],[M&amp;O Plnt Loan]],Input[[#This Row],[M&amp;O Plnt Annuity]],Input[[#This Row],[M&amp;O Plnt Unexp]],Input[[#This Row],[M&amp;O Plnt R of Ind]],Input[[#This Row],[M&amp;O Plnt Inv in P]])</f>
        <v>13455012</v>
      </c>
      <c r="VN20" s="46">
        <f>SUM(Input[[#This Row],[Schl &amp; Fell E&amp;G]],Input[[#This Row],[Schl &amp; Fell Desg]],Input[[#This Row],[Schl &amp; Fell R Exp]],Input[[#This Row],[Schl &amp; Fell Loan]],Input[[#This Row],[Schl &amp; Fell Annuity]],Input[[#This Row],[Schl &amp; Fell Unexp]],Input[[#This Row],[Schl &amp; Fell R of Ind]],Input[[#This Row],[Schl &amp; Fell Inv in P]])</f>
        <v>19039499</v>
      </c>
      <c r="VO20" s="46">
        <f>SUM(Input[[#This Row],[Cap Out fund E&amp;G]],Input[[#This Row],[Cap Out fund Desg]],Input[[#This Row],[Cap Out fund R Exp]],Input[[#This Row],[Cap Out fund Loan]],Input[[#This Row],[Cap Out fund Annuity]],Input[[#This Row],[Cap Out fund Unexp]],Input[[#This Row],[Cap Out fund R of Ind]],Input[[#This Row],[Cap Out fund Inv in P]])</f>
        <v>4526299</v>
      </c>
      <c r="VP20" s="46">
        <f>SUM(Input[[#This Row],[Oth Exp E&amp;G]],Input[[#This Row],[Oth Exp Desg]],Input[[#This Row],[Oth Exp R Exp]],Input[[#This Row],[Oth Exp Loan]],Input[[#This Row],[Oth Exp Annuity]],Input[[#This Row],[Oth Exp Unexp]],Input[[#This Row],[Oth Exp R of Ind]],Input[[#This Row],[Oth Exp Inv in P]],Input[[#This Row],[Oth Exp Inv in P]])</f>
        <v>5619967</v>
      </c>
    </row>
    <row r="21" spans="1:588" ht="30" customHeight="1" x14ac:dyDescent="0.3">
      <c r="A21" s="15" t="s">
        <v>9</v>
      </c>
      <c r="B21" s="36" t="s">
        <v>111</v>
      </c>
      <c r="C21" s="36" t="s">
        <v>110</v>
      </c>
      <c r="D21" s="36">
        <v>208</v>
      </c>
      <c r="E21" s="36" t="s">
        <v>132</v>
      </c>
      <c r="F21" s="95" cm="1">
        <f t="array" ref="F21">IFERROR(_xlfn.IFS(Input[[#This Row],[Type]]="HRI",SUMIFS('FTSE | FTFE'!$I$8:$I$77,'FTSE | FTFE'!$H$8:$H$77,A21),Input[[#This Row],[Type]]="UNIV",SUMIFS('FTSE | FTFE'!$I$104:$I$139,'FTSE | FTFE'!$H$104:$H$139,A21),OR(Input[[#This Row],[Type]]="TSTC",Input[[#This Row],[Type]]="LSC"),SUMIFS('FTSE | FTFE'!$I$88:$I$96,'FTSE | FTFE'!$H$88:$H$96,A21)),"N/A")</f>
        <v>3639</v>
      </c>
      <c r="G21" s="46">
        <v>50933169</v>
      </c>
      <c r="H21" s="46">
        <v>0</v>
      </c>
      <c r="I21" s="46">
        <v>0</v>
      </c>
      <c r="J21" s="46">
        <v>0</v>
      </c>
      <c r="K21" s="46">
        <v>0</v>
      </c>
      <c r="L21" s="46">
        <v>0</v>
      </c>
      <c r="M21" s="46">
        <v>0</v>
      </c>
      <c r="N21" s="46">
        <v>0</v>
      </c>
      <c r="O21" s="46">
        <v>0</v>
      </c>
      <c r="P21" s="46">
        <v>2654440</v>
      </c>
      <c r="Q21" s="46">
        <v>78434</v>
      </c>
      <c r="R21" s="46">
        <v>0</v>
      </c>
      <c r="S21" s="46">
        <v>10448553</v>
      </c>
      <c r="T21" s="46">
        <v>0</v>
      </c>
      <c r="U21" s="46">
        <v>0</v>
      </c>
      <c r="V21" s="46">
        <v>0</v>
      </c>
      <c r="W21" s="46">
        <v>0</v>
      </c>
      <c r="X21" s="46">
        <v>0</v>
      </c>
      <c r="Y21" s="46">
        <v>9125307</v>
      </c>
      <c r="Z21" s="46">
        <v>0</v>
      </c>
      <c r="AA21" s="46">
        <v>0</v>
      </c>
      <c r="AB21" s="46">
        <v>0</v>
      </c>
      <c r="AC21" s="46">
        <v>0</v>
      </c>
      <c r="AD21" s="46">
        <v>0</v>
      </c>
      <c r="AE21" s="46">
        <v>0</v>
      </c>
      <c r="AF21" s="46">
        <v>0</v>
      </c>
      <c r="AG21" s="46">
        <v>0</v>
      </c>
      <c r="AH21" s="46">
        <v>0</v>
      </c>
      <c r="AI21" s="46">
        <v>0</v>
      </c>
      <c r="AJ21" s="46">
        <v>0</v>
      </c>
      <c r="AK21" s="46">
        <v>0</v>
      </c>
      <c r="AL21" s="46">
        <v>0</v>
      </c>
      <c r="AM21" s="46">
        <v>0</v>
      </c>
      <c r="AN21" s="46">
        <v>0</v>
      </c>
      <c r="AO21" s="46">
        <v>0</v>
      </c>
      <c r="AP21" s="46">
        <v>0</v>
      </c>
      <c r="AQ21" s="46">
        <v>-1819170</v>
      </c>
      <c r="AR21" s="46">
        <v>0</v>
      </c>
      <c r="AS21" s="46">
        <v>0</v>
      </c>
      <c r="AT21" s="46">
        <v>0</v>
      </c>
      <c r="AU21" s="46">
        <v>0</v>
      </c>
      <c r="AV21" s="46">
        <v>0</v>
      </c>
      <c r="AW21" s="46">
        <v>0</v>
      </c>
      <c r="AX21" s="46">
        <v>0</v>
      </c>
      <c r="AY21" s="46">
        <v>0</v>
      </c>
      <c r="AZ21" s="46">
        <v>0</v>
      </c>
      <c r="BA21" s="46">
        <v>0</v>
      </c>
      <c r="BB21" s="46">
        <v>0</v>
      </c>
      <c r="BC21" s="46">
        <v>0</v>
      </c>
      <c r="BD21" s="46">
        <v>0</v>
      </c>
      <c r="BE21" s="46">
        <v>0</v>
      </c>
      <c r="BF21" s="46">
        <v>0</v>
      </c>
      <c r="BG21" s="46">
        <v>0</v>
      </c>
      <c r="BH21" s="46">
        <v>0</v>
      </c>
      <c r="BI21" s="46">
        <v>0</v>
      </c>
      <c r="BJ21" s="46">
        <v>0</v>
      </c>
      <c r="BK21" s="46">
        <v>0</v>
      </c>
      <c r="BL21" s="46">
        <v>0</v>
      </c>
      <c r="BM21" s="46">
        <v>0</v>
      </c>
      <c r="BN21" s="46">
        <v>0</v>
      </c>
      <c r="BO21" s="46">
        <v>0</v>
      </c>
      <c r="BP21" s="46">
        <v>0</v>
      </c>
      <c r="BQ21" s="46">
        <v>0</v>
      </c>
      <c r="BR21" s="46">
        <v>0</v>
      </c>
      <c r="BS21" s="46">
        <v>0</v>
      </c>
      <c r="BT21" s="46">
        <v>0</v>
      </c>
      <c r="BU21" s="46">
        <v>0</v>
      </c>
      <c r="BV21" s="46">
        <v>0</v>
      </c>
      <c r="BW21" s="46">
        <v>0</v>
      </c>
      <c r="BX21" s="46">
        <v>0</v>
      </c>
      <c r="BY21" s="46">
        <v>0</v>
      </c>
      <c r="BZ21" s="46">
        <v>0</v>
      </c>
      <c r="CA21" s="46">
        <v>12263177</v>
      </c>
      <c r="CB21" s="46">
        <v>20402623</v>
      </c>
      <c r="CC21" s="46">
        <v>0</v>
      </c>
      <c r="CD21" s="46">
        <v>0</v>
      </c>
      <c r="CE21" s="46">
        <v>0</v>
      </c>
      <c r="CF21" s="46">
        <v>0</v>
      </c>
      <c r="CG21" s="46">
        <v>0</v>
      </c>
      <c r="CH21" s="46">
        <v>0</v>
      </c>
      <c r="CI21" s="46">
        <v>0</v>
      </c>
      <c r="CJ21" s="46">
        <v>0</v>
      </c>
      <c r="CK21" s="46">
        <v>0</v>
      </c>
      <c r="CL21" s="46">
        <v>0</v>
      </c>
      <c r="CM21" s="46">
        <v>0</v>
      </c>
      <c r="CN21" s="46">
        <v>0</v>
      </c>
      <c r="CO21" s="46">
        <v>0</v>
      </c>
      <c r="CP21" s="46">
        <v>0</v>
      </c>
      <c r="CQ21" s="46">
        <v>0</v>
      </c>
      <c r="CR21" s="46">
        <v>0</v>
      </c>
      <c r="CS21" s="46">
        <v>0</v>
      </c>
      <c r="CT21" s="46">
        <v>0</v>
      </c>
      <c r="CU21" s="46">
        <v>0</v>
      </c>
      <c r="CV21" s="46">
        <v>0</v>
      </c>
      <c r="CW21" s="46">
        <v>0</v>
      </c>
      <c r="CX21" s="46">
        <v>0</v>
      </c>
      <c r="CY21" s="46">
        <v>0</v>
      </c>
      <c r="CZ21" s="46">
        <v>0</v>
      </c>
      <c r="DA21" s="46">
        <v>0</v>
      </c>
      <c r="DB21" s="46">
        <v>-696662</v>
      </c>
      <c r="DC21" s="46">
        <v>-1657961</v>
      </c>
      <c r="DD21" s="46">
        <v>0</v>
      </c>
      <c r="DE21" s="46">
        <v>0</v>
      </c>
      <c r="DF21" s="46">
        <v>0</v>
      </c>
      <c r="DG21" s="46">
        <v>0</v>
      </c>
      <c r="DH21" s="46">
        <v>0</v>
      </c>
      <c r="DI21" s="46">
        <v>0</v>
      </c>
      <c r="DJ21" s="46">
        <v>0</v>
      </c>
      <c r="DK21" s="46">
        <v>0</v>
      </c>
      <c r="DL21" s="46">
        <v>0</v>
      </c>
      <c r="DM21" s="46">
        <v>0</v>
      </c>
      <c r="DN21" s="46">
        <v>0</v>
      </c>
      <c r="DO21" s="46">
        <v>0</v>
      </c>
      <c r="DP21" s="46">
        <v>0</v>
      </c>
      <c r="DQ21" s="46">
        <v>0</v>
      </c>
      <c r="DR21" s="46">
        <v>0</v>
      </c>
      <c r="DS21" s="46">
        <v>0</v>
      </c>
      <c r="DT21" s="46">
        <v>-4483947</v>
      </c>
      <c r="DU21" s="46">
        <v>-6961178</v>
      </c>
      <c r="DV21" s="46">
        <v>0</v>
      </c>
      <c r="DW21" s="46">
        <v>0</v>
      </c>
      <c r="DX21" s="46">
        <v>0</v>
      </c>
      <c r="DY21" s="46">
        <v>0</v>
      </c>
      <c r="DZ21" s="46">
        <v>0</v>
      </c>
      <c r="EA21" s="46">
        <v>0</v>
      </c>
      <c r="EB21" s="46">
        <v>0</v>
      </c>
      <c r="EC21" s="46">
        <v>0</v>
      </c>
      <c r="ED21" s="46">
        <v>0</v>
      </c>
      <c r="EE21" s="46">
        <v>0</v>
      </c>
      <c r="EF21" s="46">
        <v>0</v>
      </c>
      <c r="EG21" s="46">
        <v>0</v>
      </c>
      <c r="EH21" s="46">
        <v>0</v>
      </c>
      <c r="EI21" s="46">
        <v>0</v>
      </c>
      <c r="EJ21" s="46">
        <v>0</v>
      </c>
      <c r="EK21" s="46">
        <v>0</v>
      </c>
      <c r="EL21" s="46">
        <v>0</v>
      </c>
      <c r="EM21" s="46">
        <v>0</v>
      </c>
      <c r="EN21" s="46">
        <v>0</v>
      </c>
      <c r="EO21" s="46">
        <v>0</v>
      </c>
      <c r="EP21" s="46">
        <v>0</v>
      </c>
      <c r="EQ21" s="46">
        <v>0</v>
      </c>
      <c r="ER21" s="46">
        <v>0</v>
      </c>
      <c r="ES21" s="46">
        <v>0</v>
      </c>
      <c r="ET21" s="46">
        <v>0</v>
      </c>
      <c r="EU21" s="46">
        <v>0</v>
      </c>
      <c r="EV21" s="46">
        <v>0</v>
      </c>
      <c r="EW21" s="46">
        <v>0</v>
      </c>
      <c r="EX21" s="46">
        <v>0</v>
      </c>
      <c r="EY21" s="46">
        <v>0</v>
      </c>
      <c r="EZ21" s="46">
        <v>0</v>
      </c>
      <c r="FA21" s="46">
        <v>0</v>
      </c>
      <c r="FB21" s="46">
        <v>0</v>
      </c>
      <c r="FC21" s="46">
        <v>0</v>
      </c>
      <c r="FD21" s="46">
        <v>0</v>
      </c>
      <c r="FE21" s="46">
        <v>0</v>
      </c>
      <c r="FF21" s="46">
        <v>0</v>
      </c>
      <c r="FG21" s="46">
        <v>0</v>
      </c>
      <c r="FH21" s="46">
        <v>0</v>
      </c>
      <c r="FI21" s="46">
        <v>0</v>
      </c>
      <c r="FJ21" s="46">
        <v>0</v>
      </c>
      <c r="FK21" s="46">
        <v>0</v>
      </c>
      <c r="FL21" s="46">
        <v>0</v>
      </c>
      <c r="FM21" s="46">
        <v>315322</v>
      </c>
      <c r="FN21" s="46">
        <v>24410235</v>
      </c>
      <c r="FO21" s="46">
        <v>6318301</v>
      </c>
      <c r="FP21" s="46">
        <v>0</v>
      </c>
      <c r="FQ21" s="46">
        <v>0</v>
      </c>
      <c r="FR21" s="46">
        <v>0</v>
      </c>
      <c r="FS21" s="46">
        <v>0</v>
      </c>
      <c r="FT21" s="46">
        <v>0</v>
      </c>
      <c r="FU21" s="46">
        <v>0</v>
      </c>
      <c r="FV21" s="46">
        <v>0</v>
      </c>
      <c r="FW21" s="46">
        <v>0</v>
      </c>
      <c r="FX21" s="46">
        <v>0</v>
      </c>
      <c r="FY21" s="46">
        <v>0</v>
      </c>
      <c r="FZ21" s="46">
        <v>0</v>
      </c>
      <c r="GA21" s="46">
        <v>0</v>
      </c>
      <c r="GB21" s="46">
        <v>0</v>
      </c>
      <c r="GC21" s="46">
        <v>0</v>
      </c>
      <c r="GD21" s="46">
        <v>0</v>
      </c>
      <c r="GE21" s="46">
        <v>0</v>
      </c>
      <c r="GF21" s="46">
        <v>0</v>
      </c>
      <c r="GG21" s="46">
        <v>0</v>
      </c>
      <c r="GH21" s="46">
        <v>0</v>
      </c>
      <c r="GI21" s="46">
        <v>0</v>
      </c>
      <c r="GJ21" s="46">
        <v>0</v>
      </c>
      <c r="GK21" s="46">
        <v>0</v>
      </c>
      <c r="GL21" s="46">
        <v>0</v>
      </c>
      <c r="GM21" s="46">
        <v>0</v>
      </c>
      <c r="GN21" s="46">
        <v>0</v>
      </c>
      <c r="GO21" s="46">
        <v>-1364788</v>
      </c>
      <c r="GP21" s="46">
        <v>-442134</v>
      </c>
      <c r="GQ21" s="46">
        <v>0</v>
      </c>
      <c r="GR21" s="46">
        <v>0</v>
      </c>
      <c r="GS21" s="46">
        <v>0</v>
      </c>
      <c r="GT21" s="46">
        <v>0</v>
      </c>
      <c r="GU21" s="46">
        <v>0</v>
      </c>
      <c r="GV21" s="46">
        <v>0</v>
      </c>
      <c r="GW21" s="46">
        <v>0</v>
      </c>
      <c r="GX21" s="46">
        <v>0</v>
      </c>
      <c r="GY21" s="46">
        <v>0</v>
      </c>
      <c r="GZ21" s="46">
        <v>0</v>
      </c>
      <c r="HA21" s="46">
        <v>0</v>
      </c>
      <c r="HB21" s="46">
        <v>0</v>
      </c>
      <c r="HC21" s="46">
        <v>0</v>
      </c>
      <c r="HD21" s="46">
        <v>0</v>
      </c>
      <c r="HE21" s="46">
        <v>0</v>
      </c>
      <c r="HF21" s="46">
        <v>-133208</v>
      </c>
      <c r="HG21" s="46">
        <v>-8947376</v>
      </c>
      <c r="HH21" s="46">
        <v>-2227048</v>
      </c>
      <c r="HI21" s="46">
        <v>0</v>
      </c>
      <c r="HJ21" s="46">
        <v>0</v>
      </c>
      <c r="HK21" s="46">
        <v>0</v>
      </c>
      <c r="HL21" s="46">
        <v>0</v>
      </c>
      <c r="HM21" s="46">
        <v>0</v>
      </c>
      <c r="HN21" s="46">
        <v>0</v>
      </c>
      <c r="HO21" s="46">
        <v>0</v>
      </c>
      <c r="HP21" s="46">
        <v>2953726</v>
      </c>
      <c r="HQ21" s="46">
        <v>0</v>
      </c>
      <c r="HR21" s="46">
        <v>43819303</v>
      </c>
      <c r="HS21" s="46">
        <v>0</v>
      </c>
      <c r="HT21" s="46">
        <v>0</v>
      </c>
      <c r="HU21" s="46">
        <v>0</v>
      </c>
      <c r="HV21" s="46">
        <v>0</v>
      </c>
      <c r="HW21" s="46">
        <v>0</v>
      </c>
      <c r="HX21" s="46">
        <v>0</v>
      </c>
      <c r="HY21" s="46">
        <v>0</v>
      </c>
      <c r="HZ21" s="46">
        <v>0</v>
      </c>
      <c r="IA21" s="46">
        <v>0</v>
      </c>
      <c r="IB21" s="46">
        <v>0</v>
      </c>
      <c r="IC21" s="46">
        <v>0</v>
      </c>
      <c r="ID21" s="46">
        <v>0</v>
      </c>
      <c r="IE21" s="46">
        <v>0</v>
      </c>
      <c r="IF21" s="46">
        <v>0</v>
      </c>
      <c r="IG21" s="46">
        <v>0</v>
      </c>
      <c r="IH21" s="46">
        <v>0</v>
      </c>
      <c r="II21" s="46">
        <v>0</v>
      </c>
      <c r="IJ21" s="46">
        <v>0</v>
      </c>
      <c r="IK21" s="46">
        <v>0</v>
      </c>
      <c r="IL21" s="46">
        <v>0</v>
      </c>
      <c r="IM21" s="46">
        <v>0</v>
      </c>
      <c r="IN21" s="46">
        <v>0</v>
      </c>
      <c r="IO21" s="46">
        <v>0</v>
      </c>
      <c r="IP21" s="46">
        <v>202148</v>
      </c>
      <c r="IQ21" s="46">
        <v>5879615</v>
      </c>
      <c r="IR21" s="46">
        <v>30614</v>
      </c>
      <c r="IS21" s="46">
        <v>3718901</v>
      </c>
      <c r="IT21" s="46">
        <v>663</v>
      </c>
      <c r="IU21" s="46">
        <v>3169</v>
      </c>
      <c r="IV21" s="46">
        <v>0</v>
      </c>
      <c r="IW21" s="46">
        <v>0</v>
      </c>
      <c r="IX21" s="46">
        <v>0</v>
      </c>
      <c r="IY21" s="46">
        <v>0</v>
      </c>
      <c r="IZ21" s="46">
        <v>0</v>
      </c>
      <c r="JA21" s="46">
        <v>0</v>
      </c>
      <c r="JB21" s="46">
        <v>0</v>
      </c>
      <c r="JC21" s="46">
        <v>0</v>
      </c>
      <c r="JD21" s="46">
        <v>0</v>
      </c>
      <c r="JE21" s="46">
        <v>0</v>
      </c>
      <c r="JF21" s="46">
        <v>0</v>
      </c>
      <c r="JG21" s="46">
        <v>0</v>
      </c>
      <c r="JH21" s="46">
        <v>0</v>
      </c>
      <c r="JI21" s="46">
        <v>420946</v>
      </c>
      <c r="JJ21" s="46">
        <v>930077</v>
      </c>
      <c r="JK21" s="46">
        <v>13816777</v>
      </c>
      <c r="JL21" s="46">
        <v>0</v>
      </c>
      <c r="JM21" s="46">
        <v>0</v>
      </c>
      <c r="JN21" s="46">
        <v>0</v>
      </c>
      <c r="JO21" s="46">
        <v>0</v>
      </c>
      <c r="JP21" s="46">
        <v>0</v>
      </c>
      <c r="JQ21" s="46">
        <v>222153</v>
      </c>
      <c r="JR21" s="46">
        <v>6189474</v>
      </c>
      <c r="JS21" s="46">
        <v>0</v>
      </c>
      <c r="JT21" s="46">
        <v>705958</v>
      </c>
      <c r="JU21" s="46">
        <v>0</v>
      </c>
      <c r="JV21" s="46">
        <v>0</v>
      </c>
      <c r="JW21" s="46">
        <v>0</v>
      </c>
      <c r="JX21" s="46">
        <v>0</v>
      </c>
      <c r="JY21" s="46">
        <v>0</v>
      </c>
      <c r="JZ21" s="46">
        <v>0</v>
      </c>
      <c r="KA21" s="46">
        <v>0</v>
      </c>
      <c r="KB21" s="46">
        <v>11351425</v>
      </c>
      <c r="KC21" s="46">
        <v>0</v>
      </c>
      <c r="KD21" s="46">
        <v>0</v>
      </c>
      <c r="KE21" s="46">
        <v>0</v>
      </c>
      <c r="KF21" s="46">
        <v>0</v>
      </c>
      <c r="KG21" s="46">
        <v>0</v>
      </c>
      <c r="KH21" s="46">
        <v>0</v>
      </c>
      <c r="KI21" s="46">
        <v>1868</v>
      </c>
      <c r="KJ21" s="46">
        <v>2988841</v>
      </c>
      <c r="KK21" s="46">
        <v>254697</v>
      </c>
      <c r="KL21" s="46">
        <v>24164</v>
      </c>
      <c r="KM21" s="46">
        <v>0</v>
      </c>
      <c r="KN21" s="46">
        <v>0</v>
      </c>
      <c r="KO21" s="46">
        <v>0</v>
      </c>
      <c r="KP21" s="46">
        <v>0</v>
      </c>
      <c r="KQ21" s="46">
        <v>-1293744</v>
      </c>
      <c r="KR21" s="46">
        <v>29184485</v>
      </c>
      <c r="KS21" s="46">
        <v>10357033</v>
      </c>
      <c r="KT21" s="46">
        <v>0</v>
      </c>
      <c r="KU21" s="46">
        <v>3781992</v>
      </c>
      <c r="KV21" s="46">
        <v>0</v>
      </c>
      <c r="KW21" s="46">
        <v>0</v>
      </c>
      <c r="KX21" s="46">
        <v>0</v>
      </c>
      <c r="KY21" s="46">
        <v>0</v>
      </c>
      <c r="KZ21" s="46">
        <v>0</v>
      </c>
      <c r="LA21" s="46">
        <v>4967683</v>
      </c>
      <c r="LB21" s="46">
        <v>1628414</v>
      </c>
      <c r="LC21" s="46">
        <v>0</v>
      </c>
      <c r="LD21" s="46">
        <v>25861883</v>
      </c>
      <c r="LE21" s="46">
        <v>0</v>
      </c>
      <c r="LF21" s="46">
        <v>0</v>
      </c>
      <c r="LG21" s="46">
        <v>0</v>
      </c>
      <c r="LH21" s="46">
        <v>0</v>
      </c>
      <c r="LI21" s="46">
        <v>0</v>
      </c>
      <c r="LJ21" s="46">
        <v>103648</v>
      </c>
      <c r="LK21" s="46">
        <v>396217</v>
      </c>
      <c r="LL21" s="46">
        <v>0</v>
      </c>
      <c r="LM21" s="46">
        <v>273998</v>
      </c>
      <c r="LN21" s="46">
        <v>0</v>
      </c>
      <c r="LO21" s="46">
        <v>0</v>
      </c>
      <c r="LP21" s="46">
        <v>0</v>
      </c>
      <c r="LQ21" s="46">
        <v>0</v>
      </c>
      <c r="LR21" s="46">
        <v>0</v>
      </c>
      <c r="LS21" s="46">
        <v>0</v>
      </c>
      <c r="LT21" s="46">
        <v>0</v>
      </c>
      <c r="LU21" s="46">
        <v>0</v>
      </c>
      <c r="LV21" s="46">
        <v>0</v>
      </c>
      <c r="LW21" s="46">
        <v>0</v>
      </c>
      <c r="LX21" s="46">
        <v>0</v>
      </c>
      <c r="LY21" s="46">
        <v>0</v>
      </c>
      <c r="LZ21" s="46">
        <v>0</v>
      </c>
      <c r="MA21" s="46">
        <v>0</v>
      </c>
      <c r="MB21" s="46">
        <v>9643926</v>
      </c>
      <c r="MC21" s="46">
        <v>7290923</v>
      </c>
      <c r="MD21" s="46">
        <v>0</v>
      </c>
      <c r="ME21" s="46">
        <v>1097029</v>
      </c>
      <c r="MF21" s="46">
        <v>0</v>
      </c>
      <c r="MG21" s="46">
        <v>0</v>
      </c>
      <c r="MH21" s="46">
        <v>0</v>
      </c>
      <c r="MI21" s="46">
        <v>0</v>
      </c>
      <c r="MJ21" s="46">
        <v>0</v>
      </c>
      <c r="MK21" s="46">
        <v>4566230</v>
      </c>
      <c r="ML21" s="46">
        <v>11449506</v>
      </c>
      <c r="MM21" s="46">
        <v>0</v>
      </c>
      <c r="MN21" s="46">
        <v>2339315</v>
      </c>
      <c r="MO21" s="46">
        <v>0</v>
      </c>
      <c r="MP21" s="46">
        <v>0</v>
      </c>
      <c r="MQ21" s="46">
        <v>0</v>
      </c>
      <c r="MR21" s="46">
        <v>0</v>
      </c>
      <c r="MS21" s="46">
        <v>0</v>
      </c>
      <c r="MT21" s="46">
        <v>7596008</v>
      </c>
      <c r="MU21" s="46">
        <v>7675687</v>
      </c>
      <c r="MV21" s="46">
        <v>0</v>
      </c>
      <c r="MW21" s="46">
        <v>395390</v>
      </c>
      <c r="MX21" s="46">
        <v>0</v>
      </c>
      <c r="MY21" s="46">
        <v>0</v>
      </c>
      <c r="MZ21" s="46">
        <v>0</v>
      </c>
      <c r="NA21" s="46">
        <v>0</v>
      </c>
      <c r="NB21" s="46">
        <v>0</v>
      </c>
      <c r="NC21" s="46">
        <v>2504522</v>
      </c>
      <c r="ND21" s="46">
        <v>8211872</v>
      </c>
      <c r="NE21" s="46">
        <v>0</v>
      </c>
      <c r="NF21" s="46">
        <v>156</v>
      </c>
      <c r="NG21" s="46">
        <v>0</v>
      </c>
      <c r="NH21" s="46">
        <v>0</v>
      </c>
      <c r="NI21" s="46">
        <v>11467811</v>
      </c>
      <c r="NJ21" s="46">
        <v>0</v>
      </c>
      <c r="NK21" s="46">
        <v>0</v>
      </c>
      <c r="NL21" s="46">
        <v>680209</v>
      </c>
      <c r="NM21" s="46">
        <v>4501258</v>
      </c>
      <c r="NN21" s="46">
        <v>0</v>
      </c>
      <c r="NO21" s="46">
        <v>8226985</v>
      </c>
      <c r="NP21" s="46">
        <v>0</v>
      </c>
      <c r="NQ21" s="46">
        <v>0</v>
      </c>
      <c r="NR21" s="46">
        <v>0</v>
      </c>
      <c r="NS21" s="46">
        <v>0</v>
      </c>
      <c r="NT21" s="46">
        <v>0</v>
      </c>
      <c r="NU21" s="46">
        <v>0</v>
      </c>
      <c r="NV21" s="46">
        <v>0</v>
      </c>
      <c r="NW21" s="46">
        <v>25631848</v>
      </c>
      <c r="NX21" s="46">
        <v>0</v>
      </c>
      <c r="NY21" s="46">
        <v>0</v>
      </c>
      <c r="NZ21" s="46">
        <v>0</v>
      </c>
      <c r="OA21" s="46">
        <v>0</v>
      </c>
      <c r="OB21" s="46">
        <v>0</v>
      </c>
      <c r="OC21" s="46">
        <v>0</v>
      </c>
      <c r="OD21" s="46">
        <v>1334742</v>
      </c>
      <c r="OE21" s="46">
        <v>307558</v>
      </c>
      <c r="OF21" s="46">
        <v>41370</v>
      </c>
      <c r="OG21" s="46">
        <v>1309168</v>
      </c>
      <c r="OH21" s="46">
        <v>0</v>
      </c>
      <c r="OI21" s="46">
        <v>0</v>
      </c>
      <c r="OJ21" s="46">
        <v>0</v>
      </c>
      <c r="OK21" s="46">
        <v>0</v>
      </c>
      <c r="OL21" s="46">
        <v>0</v>
      </c>
      <c r="OM21" s="46">
        <v>0</v>
      </c>
      <c r="ON21" s="46">
        <v>529764</v>
      </c>
      <c r="OO21" s="46">
        <v>0</v>
      </c>
      <c r="OP21" s="46">
        <v>0</v>
      </c>
      <c r="OQ21" s="46">
        <v>0</v>
      </c>
      <c r="OR21" s="46">
        <v>0</v>
      </c>
      <c r="OS21" s="46">
        <v>0</v>
      </c>
      <c r="OT21" s="46">
        <v>0</v>
      </c>
      <c r="OU21" s="46">
        <v>500236</v>
      </c>
      <c r="OV21" s="46">
        <v>0</v>
      </c>
      <c r="OW21" s="46">
        <v>0</v>
      </c>
      <c r="OX21" s="46">
        <v>0</v>
      </c>
      <c r="OY21" s="46">
        <v>0</v>
      </c>
      <c r="OZ21" s="46">
        <v>0</v>
      </c>
      <c r="PA21" s="46">
        <v>0</v>
      </c>
      <c r="PB21" s="46">
        <v>2825062</v>
      </c>
      <c r="PC21" s="46">
        <v>0</v>
      </c>
      <c r="PD21" s="46">
        <v>0</v>
      </c>
      <c r="PE21" s="46">
        <v>2705799</v>
      </c>
      <c r="PF21" s="46">
        <v>3035487</v>
      </c>
      <c r="PG21" s="46">
        <v>14709939</v>
      </c>
      <c r="PH21" s="46">
        <v>-25465309</v>
      </c>
      <c r="PI21" s="46">
        <v>6318</v>
      </c>
      <c r="PJ21" s="46">
        <v>526404</v>
      </c>
      <c r="PK21" s="46">
        <v>8011533</v>
      </c>
      <c r="PL21" s="46">
        <v>0</v>
      </c>
      <c r="PM21" s="46">
        <v>0</v>
      </c>
      <c r="PN21" s="46">
        <v>0</v>
      </c>
      <c r="PO21" s="46">
        <v>0</v>
      </c>
      <c r="PP21" s="46">
        <v>0</v>
      </c>
      <c r="PQ21" s="46">
        <v>0</v>
      </c>
      <c r="PR21" s="46">
        <v>0</v>
      </c>
      <c r="PS21" s="46">
        <v>0</v>
      </c>
      <c r="PT21" s="46">
        <v>0</v>
      </c>
      <c r="PU21" s="46">
        <v>0</v>
      </c>
      <c r="PV21" s="46">
        <v>0</v>
      </c>
      <c r="PW21" s="46">
        <v>-10950806</v>
      </c>
      <c r="PX21" s="46">
        <v>0</v>
      </c>
      <c r="PY21" s="46">
        <v>-5768240</v>
      </c>
      <c r="PZ21" s="46">
        <v>0</v>
      </c>
      <c r="QA21" s="46">
        <v>0</v>
      </c>
      <c r="QB21" s="46">
        <v>0</v>
      </c>
      <c r="QC21" s="46">
        <v>0</v>
      </c>
      <c r="QD21" s="46">
        <v>0</v>
      </c>
      <c r="QE21" s="46">
        <v>0</v>
      </c>
      <c r="QF21" s="46">
        <v>0</v>
      </c>
      <c r="QG21" s="46">
        <v>762305</v>
      </c>
      <c r="QH21" s="46">
        <v>0</v>
      </c>
      <c r="QI21" s="46">
        <v>-928402</v>
      </c>
      <c r="QJ21" s="46">
        <v>0</v>
      </c>
      <c r="QK21" s="46">
        <v>40117</v>
      </c>
      <c r="QL21" s="46">
        <v>0</v>
      </c>
      <c r="QM21" s="46">
        <v>0</v>
      </c>
      <c r="QN21" s="46">
        <v>0</v>
      </c>
      <c r="QO21" s="46">
        <v>0</v>
      </c>
      <c r="QP21" s="46">
        <v>0</v>
      </c>
      <c r="QQ21" s="46">
        <v>0</v>
      </c>
      <c r="QR21" s="46">
        <v>0</v>
      </c>
      <c r="QS21" s="46">
        <v>0</v>
      </c>
      <c r="QT21" s="46">
        <v>145100</v>
      </c>
      <c r="QU21" s="46">
        <v>0</v>
      </c>
      <c r="QV21" s="46">
        <v>0</v>
      </c>
      <c r="QW21" s="46">
        <v>0</v>
      </c>
      <c r="QX21" s="46">
        <v>0</v>
      </c>
      <c r="QY21" s="46">
        <v>0</v>
      </c>
      <c r="QZ21" s="46">
        <v>0</v>
      </c>
      <c r="RA21" s="46">
        <v>0</v>
      </c>
      <c r="RB21" s="46">
        <v>0</v>
      </c>
      <c r="RC21" s="46">
        <v>0</v>
      </c>
      <c r="RD21" s="46">
        <v>0</v>
      </c>
      <c r="RE21" s="46">
        <v>0</v>
      </c>
      <c r="RF21" s="46">
        <v>0</v>
      </c>
      <c r="RG21" s="46">
        <v>0</v>
      </c>
      <c r="RH21" s="46">
        <v>0</v>
      </c>
      <c r="RI21" s="46">
        <v>0</v>
      </c>
      <c r="RJ21" s="46">
        <v>0</v>
      </c>
      <c r="RK21" s="46">
        <v>0</v>
      </c>
      <c r="RL21" s="46">
        <v>0</v>
      </c>
      <c r="RM21" s="46">
        <v>0</v>
      </c>
      <c r="RN21" s="46">
        <v>0</v>
      </c>
      <c r="RO21" s="46">
        <v>-13749483</v>
      </c>
      <c r="RP21" s="46">
        <v>0</v>
      </c>
      <c r="RQ21" s="46">
        <v>0</v>
      </c>
      <c r="RR21" s="46">
        <v>0</v>
      </c>
      <c r="RS21" s="46">
        <v>0</v>
      </c>
      <c r="RT21" s="46">
        <v>0</v>
      </c>
      <c r="RU21" s="46">
        <v>0</v>
      </c>
      <c r="RV21" s="46">
        <v>0</v>
      </c>
      <c r="RW21" s="46">
        <v>0</v>
      </c>
      <c r="RX21" s="46">
        <v>132486</v>
      </c>
      <c r="RY21" s="46">
        <v>0</v>
      </c>
      <c r="RZ21" s="46">
        <v>0</v>
      </c>
      <c r="SA21" s="46">
        <v>0</v>
      </c>
      <c r="SB21" s="46">
        <v>0</v>
      </c>
      <c r="SC21" s="46">
        <v>0</v>
      </c>
      <c r="SD21" s="46">
        <v>0</v>
      </c>
      <c r="SE21" s="46">
        <v>0</v>
      </c>
      <c r="SF21" s="46">
        <v>0</v>
      </c>
      <c r="SG21" s="46">
        <v>0</v>
      </c>
      <c r="SH21" s="46">
        <v>0</v>
      </c>
      <c r="SI21" s="46">
        <v>0</v>
      </c>
      <c r="SJ21" s="46">
        <v>0</v>
      </c>
      <c r="SK21" s="46">
        <v>0</v>
      </c>
      <c r="SL21" s="46">
        <v>0</v>
      </c>
      <c r="SM21" s="46">
        <v>0</v>
      </c>
      <c r="SN21" s="46">
        <v>0</v>
      </c>
      <c r="SO21" s="46">
        <v>0</v>
      </c>
      <c r="SP21" s="46">
        <v>10436</v>
      </c>
      <c r="SQ21" s="46">
        <v>1334742</v>
      </c>
      <c r="SR21" s="46">
        <v>307558</v>
      </c>
      <c r="SS21" s="46">
        <v>41370</v>
      </c>
      <c r="ST21" s="46">
        <v>1309168</v>
      </c>
      <c r="SU21" s="46">
        <v>0</v>
      </c>
      <c r="SV21" s="46">
        <v>0</v>
      </c>
      <c r="SW21" s="46">
        <v>-2825062</v>
      </c>
      <c r="SX21" s="46">
        <v>0</v>
      </c>
      <c r="SY21" s="46">
        <v>0</v>
      </c>
      <c r="SZ21" s="46">
        <v>41671</v>
      </c>
      <c r="TA21" s="46">
        <v>1497996</v>
      </c>
      <c r="TB21" s="46">
        <v>44327</v>
      </c>
      <c r="TC21" s="46">
        <v>0</v>
      </c>
      <c r="TD21" s="46">
        <v>988803</v>
      </c>
      <c r="TE21" s="46">
        <v>82159</v>
      </c>
      <c r="TF21" s="46">
        <v>53765</v>
      </c>
      <c r="TG21" s="46">
        <v>242747</v>
      </c>
      <c r="TH21" s="46">
        <v>0</v>
      </c>
      <c r="TI21" s="46">
        <v>41370</v>
      </c>
      <c r="TJ21" s="46">
        <v>0</v>
      </c>
      <c r="TK21" s="46">
        <v>0</v>
      </c>
      <c r="TL21" s="46">
        <v>1282263</v>
      </c>
      <c r="TM21" s="46">
        <v>0</v>
      </c>
      <c r="TN21" s="46">
        <v>0</v>
      </c>
      <c r="TO21" s="46">
        <v>0</v>
      </c>
      <c r="TP21" s="46">
        <v>0</v>
      </c>
      <c r="TQ21" s="46">
        <v>0</v>
      </c>
      <c r="TR21" s="46">
        <v>0</v>
      </c>
      <c r="TS21" s="46">
        <v>0</v>
      </c>
      <c r="TT21" s="46">
        <v>0</v>
      </c>
      <c r="TU21" s="46">
        <v>37850</v>
      </c>
      <c r="TV21" s="46">
        <v>0</v>
      </c>
      <c r="TW21" s="46">
        <v>0</v>
      </c>
      <c r="TX21" s="46">
        <v>0</v>
      </c>
      <c r="TY21" s="46">
        <v>0</v>
      </c>
      <c r="TZ21" s="46">
        <v>0</v>
      </c>
      <c r="UA21" s="46">
        <v>0</v>
      </c>
      <c r="UB21" s="46">
        <v>0</v>
      </c>
      <c r="UC21" s="46">
        <v>0</v>
      </c>
      <c r="UD21" s="46">
        <v>0</v>
      </c>
      <c r="UE21" s="46">
        <v>43323510</v>
      </c>
      <c r="UF21" s="46">
        <v>32457980</v>
      </c>
      <c r="UG21" s="46">
        <v>773863</v>
      </c>
      <c r="UH21" s="46">
        <v>0</v>
      </c>
      <c r="UI21" s="46">
        <v>18031878</v>
      </c>
      <c r="UJ21" s="46">
        <v>18355051</v>
      </c>
      <c r="UK21" s="46">
        <v>15667085</v>
      </c>
      <c r="UL21" s="46">
        <v>22184361</v>
      </c>
      <c r="UM21" s="46">
        <v>13408452</v>
      </c>
      <c r="UN21" s="46">
        <v>25631848</v>
      </c>
      <c r="UO21"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2992838</v>
      </c>
      <c r="UP21" s="46">
        <f>SUM(Input[[#This Row],[Oth Exp E&amp;G]],Input[[#This Row],[Oth Exp Desg]],Input[[#This Row],[Oth Exp Aux]],Input[[#This Row],[Oth Exp R Exp]],Input[[#This Row],[Oth Exp Loan]],Input[[#This Row],[Oth Exp Annuity]],Input[[#This Row],[Oth Exp Unexp]],Input[[#This Row],[Oth Exp R of Ind]],Input[[#This Row],[Oth Exp Inv in P]])</f>
        <v>1030000</v>
      </c>
      <c r="UQ21" s="46"/>
      <c r="UR21" s="46"/>
      <c r="US21" s="8" t="s">
        <v>793</v>
      </c>
      <c r="UT21" s="47">
        <v>3615934965</v>
      </c>
      <c r="UU21" s="8" t="s">
        <v>72</v>
      </c>
      <c r="UV21" s="8" t="s">
        <v>794</v>
      </c>
      <c r="UW21" s="47">
        <v>3615932520</v>
      </c>
      <c r="UX21" s="8" t="s">
        <v>795</v>
      </c>
      <c r="UY21" s="51" cm="1">
        <f t="array" ref="UY21">IFERROR(_xlfn.IFS(Input[[#This Row],[Type]]="HRI",SUMIFS('FTSE | FTFE'!$P$8:$P$77,'FTSE | FTFE'!$H$8:$H$77,A21),Input[[#This Row],[Type]]="UNIV",SUMIFS('FTSE | FTFE'!$P$104:$P$139,'FTSE | FTFE'!$H$104:$H$139,A21),OR(Input[[#This Row],[Type]]="TSTC",Input[[#This Row],[Type]]="LSC"),SUMIFS('FTSE | FTFE'!$O$88:$O$96,'FTSE | FTFE'!$H$88:$H$96,A21),Input[[#This Row],[Type]]="AHM",SUMIFS(Hidden!$H$42:$H$45,Hidden!$G$42:$G$45,A21)),"N/A")</f>
        <v>5640</v>
      </c>
      <c r="UZ21" s="51" cm="1">
        <f t="array" ref="UZ21">IFERROR(_xlfn.IFS(Input[[#This Row],[Type]]="HRI",SUMIFS('FTSE | FTFE'!$Q$8:$Q$77,'FTSE | FTFE'!$H$8:$H$77,A21),Input[[#This Row],[Type]]="UNIV",SUMIFS('FTSE | FTFE'!$Q$104:$Q$139,'FTSE | FTFE'!$H$104:$H$139,A21),OR(Input[[#This Row],[Type]]="TSTC",Input[[#This Row],[Type]]="LSC"),SUMIFS('FTSE | FTFE'!$P$88:$P$96,'FTSE | FTFE'!$H$88:$H$96,A21)),"N/A")</f>
        <v>202</v>
      </c>
      <c r="VA2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64114596</v>
      </c>
      <c r="VB2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9125307</v>
      </c>
      <c r="VC21" s="46">
        <f>SUM(Input[[#This Row],[Fed G&amp;C E&amp;G]],Input[[#This Row],[Fed G&amp;C Desg]],Input[[#This Row],[Fed G&amp;C R Exp]],Input[[#This Row],[Fed G&amp;C Loan]],Input[[#This Row],[Fed G&amp;C Annuity]],Input[[#This Row],[Fed G&amp;C Unexp]],Input[[#This Row],[Fed G&amp;C R of Ind]],Input[[#This Row],[Fed G&amp;C Inv in P]])</f>
        <v>46773029</v>
      </c>
      <c r="VD2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32880933</v>
      </c>
      <c r="VE2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18866052</v>
      </c>
      <c r="VF2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14280185</v>
      </c>
      <c r="VG21" s="46">
        <f>SUM(Input[[#This Row],[Oth Inc E&amp;G]],Input[[#This Row],[Oth Exp Desg]],Input[[#This Row],[Oth Exp R Exp]],Input[[#This Row],[Oth Exp Loan]],Input[[#This Row],[Oth Exp Annuity]],Input[[#This Row],[Oth Exp Unexp]],Input[[#This Row],[Oth Exp R of Ind]],Input[[#This Row],[Oth Exp Inv in P]])</f>
        <v>1031868</v>
      </c>
      <c r="VH21" s="46">
        <f>SUM(Input[[#This Row],[Instr E&amp;G]],Input[[#This Row],[Instr Desg]],Input[[#This Row],[Instr R Exp]],Input[[#This Row],[Instr Loan]],Input[[#This Row],[Instr Annuity]],Input[[#This Row],[Instr Unexp]],Input[[#This Row],[Instr R of Ind]],Input[[#This Row],[Instr Inv in P]])</f>
        <v>43323510</v>
      </c>
      <c r="VI21" s="46">
        <f>SUM(Input[[#This Row],[Res E&amp;G]],Input[[#This Row],[Res Desg]],Input[[#This Row],[Res R Exp]],Input[[#This Row],[Res Loan]],Input[[#This Row],[Res Annuity]],Input[[#This Row],[Res Unexp]],Input[[#This Row],[Res R of Ind]],Input[[#This Row],[Res Inv in P]])</f>
        <v>32457980</v>
      </c>
      <c r="VJ21" s="46">
        <f>SUM(Input[[#This Row],[Acad Sup E&amp;G]],Input[[#This Row],[Acad Sup Desg]],Input[[#This Row],[Acad Sup R Exp]],Input[[#This Row],[Acad Sup Loan]],Input[[#This Row],[Acad Sup Annuity]],Input[[#This Row],[Acad Sup Unexp]],Input[[#This Row],[Acad Sup R of Ind]],Input[[#This Row],[Acad Sup Inv in P]])</f>
        <v>18031878</v>
      </c>
      <c r="VK21" s="46">
        <f>SUM(Input[[#This Row],[Stu Svc E&amp;G]],Input[[#This Row],[Stu Svc Desg]],Input[[#This Row],[Stu Svc R Exp]],Input[[#This Row],[Stu Svc Loan]],Input[[#This Row],[Stu Svc Annuity]],Input[[#This Row],[Stu Svc Unexp]],Input[[#This Row],[Stu Svc R of Ind]],Input[[#This Row],[Stu Svc Inv in P]])</f>
        <v>18355051</v>
      </c>
      <c r="VL21" s="46">
        <f>SUM(Input[[#This Row],[Inst. Spt E&amp;G]],Input[[#This Row],[Inst. Spt Desg]],Input[[#This Row],[Inst. Spt R Exp]],Input[[#This Row],[Inst. Spt Loan]],Input[[#This Row],[Inst. Spt Annuity]],Input[[#This Row],[Inst. Spt Unexp]],Input[[#This Row],[Inst. Spt R of Ind]],Input[[#This Row],[Inst. Spt Inv in P]])</f>
        <v>15667085</v>
      </c>
      <c r="VM21" s="46">
        <f>SUM(Input[[#This Row],[M&amp;O Plnt E&amp;G]],Input[[#This Row],[M&amp;O Plnt Desg]],Input[[#This Row],[M&amp;O Plnt R Exp]],Input[[#This Row],[M&amp;O Plnt Loan]],Input[[#This Row],[M&amp;O Plnt Annuity]],Input[[#This Row],[M&amp;O Plnt Unexp]],Input[[#This Row],[M&amp;O Plnt R of Ind]],Input[[#This Row],[M&amp;O Plnt Inv in P]])</f>
        <v>22184361</v>
      </c>
      <c r="VN21" s="46">
        <f>SUM(Input[[#This Row],[Schl &amp; Fell E&amp;G]],Input[[#This Row],[Schl &amp; Fell Desg]],Input[[#This Row],[Schl &amp; Fell R Exp]],Input[[#This Row],[Schl &amp; Fell Loan]],Input[[#This Row],[Schl &amp; Fell Annuity]],Input[[#This Row],[Schl &amp; Fell Unexp]],Input[[#This Row],[Schl &amp; Fell R of Ind]],Input[[#This Row],[Schl &amp; Fell Inv in P]])</f>
        <v>13408452</v>
      </c>
      <c r="VO21" s="46">
        <f>SUM(Input[[#This Row],[Cap Out fund E&amp;G]],Input[[#This Row],[Cap Out fund Desg]],Input[[#This Row],[Cap Out fund R Exp]],Input[[#This Row],[Cap Out fund Loan]],Input[[#This Row],[Cap Out fund Annuity]],Input[[#This Row],[Cap Out fund Unexp]],Input[[#This Row],[Cap Out fund R of Ind]],Input[[#This Row],[Cap Out fund Inv in P]])</f>
        <v>2951468</v>
      </c>
      <c r="VP21" s="46">
        <f>SUM(Input[[#This Row],[Oth Exp E&amp;G]],Input[[#This Row],[Oth Exp Desg]],Input[[#This Row],[Oth Exp R Exp]],Input[[#This Row],[Oth Exp Loan]],Input[[#This Row],[Oth Exp Annuity]],Input[[#This Row],[Oth Exp Unexp]],Input[[#This Row],[Oth Exp R of Ind]],Input[[#This Row],[Oth Exp Inv in P]],Input[[#This Row],[Oth Exp Inv in P]])</f>
        <v>1530236</v>
      </c>
    </row>
    <row r="22" spans="1:588" ht="30" customHeight="1" x14ac:dyDescent="0.3">
      <c r="A22" s="15" t="s">
        <v>15</v>
      </c>
      <c r="B22" s="36" t="s">
        <v>111</v>
      </c>
      <c r="C22" s="36" t="s">
        <v>110</v>
      </c>
      <c r="D22" s="36">
        <v>209</v>
      </c>
      <c r="E22" s="36" t="s">
        <v>132</v>
      </c>
      <c r="F22" s="95" cm="1">
        <f t="array" ref="F22">IFERROR(_xlfn.IFS(Input[[#This Row],[Type]]="HRI",SUMIFS('FTSE | FTFE'!$I$8:$I$77,'FTSE | FTFE'!$H$8:$H$77,A22),Input[[#This Row],[Type]]="UNIV",SUMIFS('FTSE | FTFE'!$I$104:$I$139,'FTSE | FTFE'!$H$104:$H$139,A22),OR(Input[[#This Row],[Type]]="TSTC",Input[[#This Row],[Type]]="LSC"),SUMIFS('FTSE | FTFE'!$I$88:$I$96,'FTSE | FTFE'!$H$88:$H$96,A22)),"N/A")</f>
        <v>42485</v>
      </c>
      <c r="G22" s="46">
        <v>42681715</v>
      </c>
      <c r="H22" s="46">
        <v>0</v>
      </c>
      <c r="I22" s="46">
        <v>0</v>
      </c>
      <c r="J22" s="46">
        <v>0</v>
      </c>
      <c r="K22" s="46">
        <v>0</v>
      </c>
      <c r="L22" s="46">
        <v>0</v>
      </c>
      <c r="M22" s="46">
        <v>0</v>
      </c>
      <c r="N22" s="46">
        <v>0</v>
      </c>
      <c r="O22" s="46">
        <v>0</v>
      </c>
      <c r="P22" s="46">
        <v>132577</v>
      </c>
      <c r="Q22" s="46">
        <v>69570</v>
      </c>
      <c r="R22" s="46">
        <v>0</v>
      </c>
      <c r="S22" s="46">
        <v>7815668</v>
      </c>
      <c r="T22" s="46">
        <v>0</v>
      </c>
      <c r="U22" s="46">
        <v>0</v>
      </c>
      <c r="V22" s="46">
        <v>0</v>
      </c>
      <c r="W22" s="46">
        <v>0</v>
      </c>
      <c r="X22" s="46">
        <v>0</v>
      </c>
      <c r="Y22" s="46">
        <v>0</v>
      </c>
      <c r="Z22" s="46">
        <v>0</v>
      </c>
      <c r="AA22" s="46">
        <v>0</v>
      </c>
      <c r="AB22" s="46">
        <v>0</v>
      </c>
      <c r="AC22" s="46">
        <v>0</v>
      </c>
      <c r="AD22" s="46">
        <v>0</v>
      </c>
      <c r="AE22" s="46">
        <v>0</v>
      </c>
      <c r="AF22" s="46">
        <v>0</v>
      </c>
      <c r="AG22" s="46">
        <v>0</v>
      </c>
      <c r="AH22" s="46">
        <v>0</v>
      </c>
      <c r="AI22" s="46">
        <v>0</v>
      </c>
      <c r="AJ22" s="46">
        <v>0</v>
      </c>
      <c r="AK22" s="46">
        <v>0</v>
      </c>
      <c r="AL22" s="46">
        <v>0</v>
      </c>
      <c r="AM22" s="46">
        <v>0</v>
      </c>
      <c r="AN22" s="46">
        <v>0</v>
      </c>
      <c r="AO22" s="46">
        <v>0</v>
      </c>
      <c r="AP22" s="46">
        <v>0</v>
      </c>
      <c r="AQ22" s="46">
        <v>0</v>
      </c>
      <c r="AR22" s="46">
        <v>0</v>
      </c>
      <c r="AS22" s="46">
        <v>0</v>
      </c>
      <c r="AT22" s="46">
        <v>0</v>
      </c>
      <c r="AU22" s="46">
        <v>0</v>
      </c>
      <c r="AV22" s="46">
        <v>0</v>
      </c>
      <c r="AW22" s="46">
        <v>0</v>
      </c>
      <c r="AX22" s="46">
        <v>0</v>
      </c>
      <c r="AY22" s="46">
        <v>0</v>
      </c>
      <c r="AZ22" s="46">
        <v>0</v>
      </c>
      <c r="BA22" s="46">
        <v>0</v>
      </c>
      <c r="BB22" s="46">
        <v>0</v>
      </c>
      <c r="BC22" s="46">
        <v>0</v>
      </c>
      <c r="BD22" s="46">
        <v>0</v>
      </c>
      <c r="BE22" s="46">
        <v>0</v>
      </c>
      <c r="BF22" s="46">
        <v>0</v>
      </c>
      <c r="BG22" s="46">
        <v>0</v>
      </c>
      <c r="BH22" s="46">
        <v>0</v>
      </c>
      <c r="BI22" s="46">
        <v>0</v>
      </c>
      <c r="BJ22" s="46">
        <v>0</v>
      </c>
      <c r="BK22" s="46">
        <v>0</v>
      </c>
      <c r="BL22" s="46">
        <v>0</v>
      </c>
      <c r="BM22" s="46">
        <v>0</v>
      </c>
      <c r="BN22" s="46">
        <v>0</v>
      </c>
      <c r="BO22" s="46">
        <v>0</v>
      </c>
      <c r="BP22" s="46">
        <v>0</v>
      </c>
      <c r="BQ22" s="46">
        <v>0</v>
      </c>
      <c r="BR22" s="46">
        <v>0</v>
      </c>
      <c r="BS22" s="46">
        <v>0</v>
      </c>
      <c r="BT22" s="46">
        <v>0</v>
      </c>
      <c r="BU22" s="46">
        <v>0</v>
      </c>
      <c r="BV22" s="46">
        <v>0</v>
      </c>
      <c r="BW22" s="46">
        <v>0</v>
      </c>
      <c r="BX22" s="46">
        <v>0</v>
      </c>
      <c r="BY22" s="46">
        <v>0</v>
      </c>
      <c r="BZ22" s="46">
        <v>0</v>
      </c>
      <c r="CA22" s="46">
        <v>9806820</v>
      </c>
      <c r="CB22" s="46">
        <v>21604421</v>
      </c>
      <c r="CC22" s="46">
        <v>0</v>
      </c>
      <c r="CD22" s="46">
        <v>0</v>
      </c>
      <c r="CE22" s="46">
        <v>0</v>
      </c>
      <c r="CF22" s="46">
        <v>0</v>
      </c>
      <c r="CG22" s="46">
        <v>0</v>
      </c>
      <c r="CH22" s="46">
        <v>0</v>
      </c>
      <c r="CI22" s="46">
        <v>0</v>
      </c>
      <c r="CJ22" s="46">
        <v>0</v>
      </c>
      <c r="CK22" s="46">
        <v>0</v>
      </c>
      <c r="CL22" s="46">
        <v>0</v>
      </c>
      <c r="CM22" s="46">
        <v>0</v>
      </c>
      <c r="CN22" s="46">
        <v>0</v>
      </c>
      <c r="CO22" s="46">
        <v>0</v>
      </c>
      <c r="CP22" s="46">
        <v>0</v>
      </c>
      <c r="CQ22" s="46">
        <v>0</v>
      </c>
      <c r="CR22" s="46">
        <v>0</v>
      </c>
      <c r="CS22" s="46">
        <v>0</v>
      </c>
      <c r="CT22" s="46">
        <v>0</v>
      </c>
      <c r="CU22" s="46">
        <v>0</v>
      </c>
      <c r="CV22" s="46">
        <v>0</v>
      </c>
      <c r="CW22" s="46">
        <v>0</v>
      </c>
      <c r="CX22" s="46">
        <v>0</v>
      </c>
      <c r="CY22" s="46">
        <v>0</v>
      </c>
      <c r="CZ22" s="46">
        <v>0</v>
      </c>
      <c r="DA22" s="46">
        <v>0</v>
      </c>
      <c r="DB22" s="46">
        <v>-845422</v>
      </c>
      <c r="DC22" s="46">
        <v>-2493640</v>
      </c>
      <c r="DD22" s="46">
        <v>0</v>
      </c>
      <c r="DE22" s="46">
        <v>0</v>
      </c>
      <c r="DF22" s="46">
        <v>0</v>
      </c>
      <c r="DG22" s="46">
        <v>0</v>
      </c>
      <c r="DH22" s="46">
        <v>0</v>
      </c>
      <c r="DI22" s="46">
        <v>0</v>
      </c>
      <c r="DJ22" s="46">
        <v>0</v>
      </c>
      <c r="DK22" s="46">
        <v>0</v>
      </c>
      <c r="DL22" s="46">
        <v>0</v>
      </c>
      <c r="DM22" s="46">
        <v>0</v>
      </c>
      <c r="DN22" s="46">
        <v>0</v>
      </c>
      <c r="DO22" s="46">
        <v>0</v>
      </c>
      <c r="DP22" s="46">
        <v>0</v>
      </c>
      <c r="DQ22" s="46">
        <v>0</v>
      </c>
      <c r="DR22" s="46">
        <v>0</v>
      </c>
      <c r="DS22" s="46">
        <v>0</v>
      </c>
      <c r="DT22" s="46">
        <v>-4626980</v>
      </c>
      <c r="DU22" s="46">
        <v>-9562060</v>
      </c>
      <c r="DV22" s="46">
        <v>0</v>
      </c>
      <c r="DW22" s="46">
        <v>0</v>
      </c>
      <c r="DX22" s="46">
        <v>0</v>
      </c>
      <c r="DY22" s="46">
        <v>0</v>
      </c>
      <c r="DZ22" s="46">
        <v>0</v>
      </c>
      <c r="EA22" s="46">
        <v>0</v>
      </c>
      <c r="EB22" s="46">
        <v>0</v>
      </c>
      <c r="EC22" s="46">
        <v>0</v>
      </c>
      <c r="ED22" s="46">
        <v>0</v>
      </c>
      <c r="EE22" s="46">
        <v>0</v>
      </c>
      <c r="EF22" s="46">
        <v>0</v>
      </c>
      <c r="EG22" s="46">
        <v>0</v>
      </c>
      <c r="EH22" s="46">
        <v>0</v>
      </c>
      <c r="EI22" s="46">
        <v>0</v>
      </c>
      <c r="EJ22" s="46">
        <v>0</v>
      </c>
      <c r="EK22" s="46">
        <v>0</v>
      </c>
      <c r="EL22" s="46">
        <v>0</v>
      </c>
      <c r="EM22" s="46">
        <v>0</v>
      </c>
      <c r="EN22" s="46">
        <v>0</v>
      </c>
      <c r="EO22" s="46">
        <v>0</v>
      </c>
      <c r="EP22" s="46">
        <v>0</v>
      </c>
      <c r="EQ22" s="46">
        <v>0</v>
      </c>
      <c r="ER22" s="46">
        <v>0</v>
      </c>
      <c r="ES22" s="46">
        <v>0</v>
      </c>
      <c r="ET22" s="46">
        <v>0</v>
      </c>
      <c r="EU22" s="46">
        <v>0</v>
      </c>
      <c r="EV22" s="46">
        <v>0</v>
      </c>
      <c r="EW22" s="46">
        <v>0</v>
      </c>
      <c r="EX22" s="46">
        <v>0</v>
      </c>
      <c r="EY22" s="46">
        <v>0</v>
      </c>
      <c r="EZ22" s="46">
        <v>0</v>
      </c>
      <c r="FA22" s="46">
        <v>0</v>
      </c>
      <c r="FB22" s="46">
        <v>0</v>
      </c>
      <c r="FC22" s="46">
        <v>0</v>
      </c>
      <c r="FD22" s="46">
        <v>0</v>
      </c>
      <c r="FE22" s="46">
        <v>0</v>
      </c>
      <c r="FF22" s="46">
        <v>0</v>
      </c>
      <c r="FG22" s="46">
        <v>0</v>
      </c>
      <c r="FH22" s="46">
        <v>0</v>
      </c>
      <c r="FI22" s="46">
        <v>0</v>
      </c>
      <c r="FJ22" s="46">
        <v>0</v>
      </c>
      <c r="FK22" s="46">
        <v>0</v>
      </c>
      <c r="FL22" s="46">
        <v>0</v>
      </c>
      <c r="FM22" s="46">
        <v>275176</v>
      </c>
      <c r="FN22" s="46">
        <v>24723374</v>
      </c>
      <c r="FO22" s="46">
        <v>4617842</v>
      </c>
      <c r="FP22" s="46">
        <v>0</v>
      </c>
      <c r="FQ22" s="46">
        <v>0</v>
      </c>
      <c r="FR22" s="46">
        <v>0</v>
      </c>
      <c r="FS22" s="46">
        <v>0</v>
      </c>
      <c r="FT22" s="46">
        <v>0</v>
      </c>
      <c r="FU22" s="46">
        <v>0</v>
      </c>
      <c r="FV22" s="46">
        <v>0</v>
      </c>
      <c r="FW22" s="46">
        <v>0</v>
      </c>
      <c r="FX22" s="46">
        <v>0</v>
      </c>
      <c r="FY22" s="46">
        <v>0</v>
      </c>
      <c r="FZ22" s="46">
        <v>0</v>
      </c>
      <c r="GA22" s="46">
        <v>0</v>
      </c>
      <c r="GB22" s="46">
        <v>0</v>
      </c>
      <c r="GC22" s="46">
        <v>0</v>
      </c>
      <c r="GD22" s="46">
        <v>0</v>
      </c>
      <c r="GE22" s="46">
        <v>0</v>
      </c>
      <c r="GF22" s="46">
        <v>0</v>
      </c>
      <c r="GG22" s="46">
        <v>0</v>
      </c>
      <c r="GH22" s="46">
        <v>0</v>
      </c>
      <c r="GI22" s="46">
        <v>0</v>
      </c>
      <c r="GJ22" s="46">
        <v>0</v>
      </c>
      <c r="GK22" s="46">
        <v>0</v>
      </c>
      <c r="GL22" s="46">
        <v>0</v>
      </c>
      <c r="GM22" s="46">
        <v>0</v>
      </c>
      <c r="GN22" s="46">
        <v>0</v>
      </c>
      <c r="GO22" s="46">
        <v>-2594106</v>
      </c>
      <c r="GP22" s="46">
        <v>-605587</v>
      </c>
      <c r="GQ22" s="46">
        <v>0</v>
      </c>
      <c r="GR22" s="46">
        <v>0</v>
      </c>
      <c r="GS22" s="46">
        <v>0</v>
      </c>
      <c r="GT22" s="46">
        <v>0</v>
      </c>
      <c r="GU22" s="46">
        <v>0</v>
      </c>
      <c r="GV22" s="46">
        <v>0</v>
      </c>
      <c r="GW22" s="46">
        <v>0</v>
      </c>
      <c r="GX22" s="46">
        <v>0</v>
      </c>
      <c r="GY22" s="46">
        <v>0</v>
      </c>
      <c r="GZ22" s="46">
        <v>0</v>
      </c>
      <c r="HA22" s="46">
        <v>0</v>
      </c>
      <c r="HB22" s="46">
        <v>0</v>
      </c>
      <c r="HC22" s="46">
        <v>0</v>
      </c>
      <c r="HD22" s="46">
        <v>0</v>
      </c>
      <c r="HE22" s="46">
        <v>0</v>
      </c>
      <c r="HF22" s="46">
        <v>-153554</v>
      </c>
      <c r="HG22" s="46">
        <v>-11202032</v>
      </c>
      <c r="HH22" s="46">
        <v>-1971261</v>
      </c>
      <c r="HI22" s="46">
        <v>0</v>
      </c>
      <c r="HJ22" s="46">
        <v>0</v>
      </c>
      <c r="HK22" s="46">
        <v>0</v>
      </c>
      <c r="HL22" s="46">
        <v>0</v>
      </c>
      <c r="HM22" s="46">
        <v>0</v>
      </c>
      <c r="HN22" s="46">
        <v>0</v>
      </c>
      <c r="HO22" s="46">
        <v>-23875</v>
      </c>
      <c r="HP22" s="46">
        <v>720163</v>
      </c>
      <c r="HQ22" s="46">
        <v>0</v>
      </c>
      <c r="HR22" s="46">
        <v>29060188</v>
      </c>
      <c r="HS22" s="46">
        <v>0</v>
      </c>
      <c r="HT22" s="46">
        <v>0</v>
      </c>
      <c r="HU22" s="46">
        <v>0</v>
      </c>
      <c r="HV22" s="46">
        <v>0</v>
      </c>
      <c r="HW22" s="46">
        <v>0</v>
      </c>
      <c r="HX22" s="46">
        <v>0</v>
      </c>
      <c r="HY22" s="46">
        <v>0</v>
      </c>
      <c r="HZ22" s="46">
        <v>0</v>
      </c>
      <c r="IA22" s="46">
        <v>0</v>
      </c>
      <c r="IB22" s="46">
        <v>0</v>
      </c>
      <c r="IC22" s="46">
        <v>0</v>
      </c>
      <c r="ID22" s="46">
        <v>0</v>
      </c>
      <c r="IE22" s="46">
        <v>0</v>
      </c>
      <c r="IF22" s="46">
        <v>0</v>
      </c>
      <c r="IG22" s="46">
        <v>0</v>
      </c>
      <c r="IH22" s="46">
        <v>0</v>
      </c>
      <c r="II22" s="46">
        <v>0</v>
      </c>
      <c r="IJ22" s="46">
        <v>0</v>
      </c>
      <c r="IK22" s="46">
        <v>0</v>
      </c>
      <c r="IL22" s="46">
        <v>0</v>
      </c>
      <c r="IM22" s="46">
        <v>0</v>
      </c>
      <c r="IN22" s="46">
        <v>0</v>
      </c>
      <c r="IO22" s="46">
        <v>0</v>
      </c>
      <c r="IP22" s="46">
        <v>463169</v>
      </c>
      <c r="IQ22" s="46">
        <v>3661122</v>
      </c>
      <c r="IR22" s="46">
        <v>0</v>
      </c>
      <c r="IS22" s="46">
        <v>1639</v>
      </c>
      <c r="IT22" s="46">
        <v>0</v>
      </c>
      <c r="IU22" s="46">
        <v>0</v>
      </c>
      <c r="IV22" s="46">
        <v>0</v>
      </c>
      <c r="IW22" s="46">
        <v>0</v>
      </c>
      <c r="IX22" s="46">
        <v>0</v>
      </c>
      <c r="IY22" s="46">
        <v>0</v>
      </c>
      <c r="IZ22" s="46">
        <v>0</v>
      </c>
      <c r="JA22" s="46">
        <v>0</v>
      </c>
      <c r="JB22" s="46">
        <v>0</v>
      </c>
      <c r="JC22" s="46">
        <v>0</v>
      </c>
      <c r="JD22" s="46">
        <v>0</v>
      </c>
      <c r="JE22" s="46">
        <v>0</v>
      </c>
      <c r="JF22" s="46">
        <v>0</v>
      </c>
      <c r="JG22" s="46">
        <v>0</v>
      </c>
      <c r="JH22" s="46">
        <v>0</v>
      </c>
      <c r="JI22" s="46">
        <v>1142902</v>
      </c>
      <c r="JJ22" s="46">
        <v>90820</v>
      </c>
      <c r="JK22" s="46">
        <v>5489141</v>
      </c>
      <c r="JL22" s="46">
        <v>0</v>
      </c>
      <c r="JM22" s="46">
        <v>0</v>
      </c>
      <c r="JN22" s="46">
        <v>20000</v>
      </c>
      <c r="JO22" s="46">
        <v>0</v>
      </c>
      <c r="JP22" s="46">
        <v>0</v>
      </c>
      <c r="JQ22" s="46">
        <v>0</v>
      </c>
      <c r="JR22" s="46">
        <v>1253840</v>
      </c>
      <c r="JS22" s="46">
        <v>0</v>
      </c>
      <c r="JT22" s="46">
        <v>34040</v>
      </c>
      <c r="JU22" s="46">
        <v>0</v>
      </c>
      <c r="JV22" s="46">
        <v>0</v>
      </c>
      <c r="JW22" s="46">
        <v>0</v>
      </c>
      <c r="JX22" s="46">
        <v>0</v>
      </c>
      <c r="JY22" s="46">
        <v>0</v>
      </c>
      <c r="JZ22" s="46">
        <v>0</v>
      </c>
      <c r="KA22" s="46">
        <v>0</v>
      </c>
      <c r="KB22" s="46">
        <v>7391240</v>
      </c>
      <c r="KC22" s="46">
        <v>0</v>
      </c>
      <c r="KD22" s="46">
        <v>0</v>
      </c>
      <c r="KE22" s="46">
        <v>0</v>
      </c>
      <c r="KF22" s="46">
        <v>0</v>
      </c>
      <c r="KG22" s="46">
        <v>0</v>
      </c>
      <c r="KH22" s="46">
        <v>0</v>
      </c>
      <c r="KI22" s="46">
        <v>0</v>
      </c>
      <c r="KJ22" s="46">
        <v>214714</v>
      </c>
      <c r="KK22" s="46">
        <v>329031</v>
      </c>
      <c r="KL22" s="46">
        <v>5563450</v>
      </c>
      <c r="KM22" s="46">
        <v>700</v>
      </c>
      <c r="KN22" s="46">
        <v>0</v>
      </c>
      <c r="KO22" s="46">
        <v>0</v>
      </c>
      <c r="KP22" s="46">
        <v>0</v>
      </c>
      <c r="KQ22" s="46">
        <v>-79846</v>
      </c>
      <c r="KR22" s="46">
        <v>22979655</v>
      </c>
      <c r="KS22" s="46">
        <v>9540293</v>
      </c>
      <c r="KT22" s="46">
        <v>0</v>
      </c>
      <c r="KU22" s="46">
        <v>8851</v>
      </c>
      <c r="KV22" s="46">
        <v>0</v>
      </c>
      <c r="KW22" s="46">
        <v>0</v>
      </c>
      <c r="KX22" s="46">
        <v>0</v>
      </c>
      <c r="KY22" s="46">
        <v>0</v>
      </c>
      <c r="KZ22" s="46">
        <v>0</v>
      </c>
      <c r="LA22" s="46">
        <v>105341</v>
      </c>
      <c r="LB22" s="46">
        <v>2509421</v>
      </c>
      <c r="LC22" s="46">
        <v>0</v>
      </c>
      <c r="LD22" s="46">
        <v>2112972</v>
      </c>
      <c r="LE22" s="46">
        <v>0</v>
      </c>
      <c r="LF22" s="46">
        <v>0</v>
      </c>
      <c r="LG22" s="46">
        <v>0</v>
      </c>
      <c r="LH22" s="46">
        <v>0</v>
      </c>
      <c r="LI22" s="46">
        <v>0</v>
      </c>
      <c r="LJ22" s="46">
        <v>0</v>
      </c>
      <c r="LK22" s="46">
        <v>411137</v>
      </c>
      <c r="LL22" s="46">
        <v>0</v>
      </c>
      <c r="LM22" s="46">
        <v>1254867</v>
      </c>
      <c r="LN22" s="46">
        <v>0</v>
      </c>
      <c r="LO22" s="46">
        <v>0</v>
      </c>
      <c r="LP22" s="46">
        <v>0</v>
      </c>
      <c r="LQ22" s="46">
        <v>0</v>
      </c>
      <c r="LR22" s="46">
        <v>0</v>
      </c>
      <c r="LS22" s="46">
        <v>0</v>
      </c>
      <c r="LT22" s="46">
        <v>0</v>
      </c>
      <c r="LU22" s="46">
        <v>0</v>
      </c>
      <c r="LV22" s="46">
        <v>0</v>
      </c>
      <c r="LW22" s="46">
        <v>0</v>
      </c>
      <c r="LX22" s="46">
        <v>0</v>
      </c>
      <c r="LY22" s="46">
        <v>0</v>
      </c>
      <c r="LZ22" s="46">
        <v>0</v>
      </c>
      <c r="MA22" s="46">
        <v>0</v>
      </c>
      <c r="MB22" s="46">
        <v>3857131</v>
      </c>
      <c r="MC22" s="46">
        <v>8594073</v>
      </c>
      <c r="MD22" s="46">
        <v>0</v>
      </c>
      <c r="ME22" s="46">
        <v>1317724</v>
      </c>
      <c r="MF22" s="46">
        <v>0</v>
      </c>
      <c r="MG22" s="46">
        <v>0</v>
      </c>
      <c r="MH22" s="46">
        <v>0</v>
      </c>
      <c r="MI22" s="46">
        <v>0</v>
      </c>
      <c r="MJ22" s="46">
        <v>0</v>
      </c>
      <c r="MK22" s="46">
        <v>3882794</v>
      </c>
      <c r="ML22" s="46">
        <v>14791060</v>
      </c>
      <c r="MM22" s="46">
        <v>0</v>
      </c>
      <c r="MN22" s="46">
        <v>2715191</v>
      </c>
      <c r="MO22" s="46">
        <v>0</v>
      </c>
      <c r="MP22" s="46">
        <v>0</v>
      </c>
      <c r="MQ22" s="46">
        <v>293440</v>
      </c>
      <c r="MR22" s="46">
        <v>0</v>
      </c>
      <c r="MS22" s="46">
        <v>0</v>
      </c>
      <c r="MT22" s="46">
        <v>5329255</v>
      </c>
      <c r="MU22" s="46">
        <v>6933479</v>
      </c>
      <c r="MV22" s="46">
        <v>0</v>
      </c>
      <c r="MW22" s="46">
        <v>105252</v>
      </c>
      <c r="MX22" s="46">
        <v>0</v>
      </c>
      <c r="MY22" s="46">
        <v>0</v>
      </c>
      <c r="MZ22" s="46">
        <v>24079</v>
      </c>
      <c r="NA22" s="46">
        <v>0</v>
      </c>
      <c r="NB22" s="46">
        <v>0</v>
      </c>
      <c r="NC22" s="46">
        <v>1568473</v>
      </c>
      <c r="ND22" s="46">
        <v>6944948</v>
      </c>
      <c r="NE22" s="46">
        <v>0</v>
      </c>
      <c r="NF22" s="46">
        <v>0</v>
      </c>
      <c r="NG22" s="46">
        <v>0</v>
      </c>
      <c r="NH22" s="46">
        <v>0</v>
      </c>
      <c r="NI22" s="46">
        <v>3992594</v>
      </c>
      <c r="NJ22" s="46">
        <v>0</v>
      </c>
      <c r="NK22" s="46">
        <v>0</v>
      </c>
      <c r="NL22" s="46">
        <v>-68927</v>
      </c>
      <c r="NM22" s="46">
        <v>5390211</v>
      </c>
      <c r="NN22" s="46">
        <v>0</v>
      </c>
      <c r="NO22" s="46">
        <v>3392267</v>
      </c>
      <c r="NP22" s="46">
        <v>0</v>
      </c>
      <c r="NQ22" s="46">
        <v>0</v>
      </c>
      <c r="NR22" s="46">
        <v>0</v>
      </c>
      <c r="NS22" s="46">
        <v>0</v>
      </c>
      <c r="NT22" s="46">
        <v>0</v>
      </c>
      <c r="NU22" s="46">
        <v>0</v>
      </c>
      <c r="NV22" s="46">
        <v>0</v>
      </c>
      <c r="NW22" s="46">
        <v>6905202</v>
      </c>
      <c r="NX22" s="46">
        <v>0</v>
      </c>
      <c r="NY22" s="46">
        <v>0</v>
      </c>
      <c r="NZ22" s="46">
        <v>0</v>
      </c>
      <c r="OA22" s="46">
        <v>0</v>
      </c>
      <c r="OB22" s="46">
        <v>0</v>
      </c>
      <c r="OC22" s="46">
        <v>0</v>
      </c>
      <c r="OD22" s="46">
        <v>0</v>
      </c>
      <c r="OE22" s="46">
        <v>4062427</v>
      </c>
      <c r="OF22" s="46">
        <v>15893</v>
      </c>
      <c r="OG22" s="46">
        <v>43371</v>
      </c>
      <c r="OH22" s="46">
        <v>0</v>
      </c>
      <c r="OI22" s="46">
        <v>0</v>
      </c>
      <c r="OJ22" s="46">
        <v>0</v>
      </c>
      <c r="OK22" s="46">
        <v>0</v>
      </c>
      <c r="OL22" s="46">
        <v>0</v>
      </c>
      <c r="OM22" s="46">
        <v>67965</v>
      </c>
      <c r="ON22" s="46">
        <v>169440</v>
      </c>
      <c r="OO22" s="46">
        <v>0</v>
      </c>
      <c r="OP22" s="46">
        <v>0</v>
      </c>
      <c r="OQ22" s="46">
        <v>0</v>
      </c>
      <c r="OR22" s="46">
        <v>0</v>
      </c>
      <c r="OS22" s="46">
        <v>0</v>
      </c>
      <c r="OT22" s="46">
        <v>0</v>
      </c>
      <c r="OU22" s="46">
        <v>473067</v>
      </c>
      <c r="OV22" s="46">
        <v>0</v>
      </c>
      <c r="OW22" s="46">
        <v>0</v>
      </c>
      <c r="OX22" s="46">
        <v>0</v>
      </c>
      <c r="OY22" s="46">
        <v>0</v>
      </c>
      <c r="OZ22" s="46">
        <v>0</v>
      </c>
      <c r="PA22" s="46">
        <v>0</v>
      </c>
      <c r="PB22" s="46">
        <v>3047528</v>
      </c>
      <c r="PC22" s="46">
        <v>0</v>
      </c>
      <c r="PD22" s="46">
        <v>0</v>
      </c>
      <c r="PE22" s="46">
        <v>3252492</v>
      </c>
      <c r="PF22" s="46">
        <v>29255893</v>
      </c>
      <c r="PG22" s="46">
        <v>2272649</v>
      </c>
      <c r="PH22" s="46">
        <v>-36372213</v>
      </c>
      <c r="PI22" s="46">
        <v>0</v>
      </c>
      <c r="PJ22" s="46">
        <v>1925</v>
      </c>
      <c r="PK22" s="46">
        <v>7722504</v>
      </c>
      <c r="PL22" s="46">
        <v>0</v>
      </c>
      <c r="PM22" s="46">
        <v>0</v>
      </c>
      <c r="PN22" s="46">
        <v>0</v>
      </c>
      <c r="PO22" s="46">
        <v>0</v>
      </c>
      <c r="PP22" s="46">
        <v>0</v>
      </c>
      <c r="PQ22" s="46">
        <v>0</v>
      </c>
      <c r="PR22" s="46">
        <v>0</v>
      </c>
      <c r="PS22" s="46">
        <v>0</v>
      </c>
      <c r="PT22" s="46">
        <v>0</v>
      </c>
      <c r="PU22" s="46">
        <v>0</v>
      </c>
      <c r="PV22" s="46">
        <v>0</v>
      </c>
      <c r="PW22" s="46">
        <v>-11601570</v>
      </c>
      <c r="PX22" s="46">
        <v>-96118</v>
      </c>
      <c r="PY22" s="46">
        <v>-2853276</v>
      </c>
      <c r="PZ22" s="46">
        <v>0</v>
      </c>
      <c r="QA22" s="46">
        <v>0</v>
      </c>
      <c r="QB22" s="46">
        <v>0</v>
      </c>
      <c r="QC22" s="46">
        <v>0</v>
      </c>
      <c r="QD22" s="46">
        <v>0</v>
      </c>
      <c r="QE22" s="46">
        <v>0</v>
      </c>
      <c r="QF22" s="46">
        <v>39689</v>
      </c>
      <c r="QG22" s="46">
        <v>2238187</v>
      </c>
      <c r="QH22" s="46">
        <v>-235484</v>
      </c>
      <c r="QI22" s="46">
        <v>55250</v>
      </c>
      <c r="QJ22" s="46">
        <v>-96071</v>
      </c>
      <c r="QK22" s="46">
        <v>1184</v>
      </c>
      <c r="QL22" s="46">
        <v>-132492</v>
      </c>
      <c r="QM22" s="46">
        <v>0</v>
      </c>
      <c r="QN22" s="46">
        <v>0</v>
      </c>
      <c r="QO22" s="46">
        <v>0</v>
      </c>
      <c r="QP22" s="46">
        <v>0</v>
      </c>
      <c r="QQ22" s="46">
        <v>0</v>
      </c>
      <c r="QR22" s="46">
        <v>0</v>
      </c>
      <c r="QS22" s="46">
        <v>0</v>
      </c>
      <c r="QT22" s="46">
        <v>0</v>
      </c>
      <c r="QU22" s="46">
        <v>0</v>
      </c>
      <c r="QV22" s="46">
        <v>0</v>
      </c>
      <c r="QW22" s="46">
        <v>0</v>
      </c>
      <c r="QX22" s="46">
        <v>0</v>
      </c>
      <c r="QY22" s="46">
        <v>0</v>
      </c>
      <c r="QZ22" s="46">
        <v>0</v>
      </c>
      <c r="RA22" s="46">
        <v>0</v>
      </c>
      <c r="RB22" s="46">
        <v>0</v>
      </c>
      <c r="RC22" s="46">
        <v>0</v>
      </c>
      <c r="RD22" s="46">
        <v>0</v>
      </c>
      <c r="RE22" s="46">
        <v>0</v>
      </c>
      <c r="RF22" s="46">
        <v>0</v>
      </c>
      <c r="RG22" s="46">
        <v>0</v>
      </c>
      <c r="RH22" s="46">
        <v>0</v>
      </c>
      <c r="RI22" s="46">
        <v>0</v>
      </c>
      <c r="RJ22" s="46">
        <v>0</v>
      </c>
      <c r="RK22" s="46">
        <v>0</v>
      </c>
      <c r="RL22" s="46">
        <v>0</v>
      </c>
      <c r="RM22" s="46">
        <v>0</v>
      </c>
      <c r="RN22" s="46">
        <v>0</v>
      </c>
      <c r="RO22" s="46">
        <v>-15649694</v>
      </c>
      <c r="RP22" s="46">
        <v>0</v>
      </c>
      <c r="RQ22" s="46">
        <v>0</v>
      </c>
      <c r="RR22" s="46">
        <v>0</v>
      </c>
      <c r="RS22" s="46">
        <v>0</v>
      </c>
      <c r="RT22" s="46">
        <v>0</v>
      </c>
      <c r="RU22" s="46">
        <v>0</v>
      </c>
      <c r="RV22" s="46">
        <v>0</v>
      </c>
      <c r="RW22" s="46">
        <v>0</v>
      </c>
      <c r="RX22" s="46">
        <v>24853511</v>
      </c>
      <c r="RY22" s="46">
        <v>0</v>
      </c>
      <c r="RZ22" s="46">
        <v>0</v>
      </c>
      <c r="SA22" s="46">
        <v>0</v>
      </c>
      <c r="SB22" s="46">
        <v>0</v>
      </c>
      <c r="SC22" s="46">
        <v>0</v>
      </c>
      <c r="SD22" s="46">
        <v>0</v>
      </c>
      <c r="SE22" s="46">
        <v>0</v>
      </c>
      <c r="SF22" s="46">
        <v>0</v>
      </c>
      <c r="SG22" s="46">
        <v>0</v>
      </c>
      <c r="SH22" s="46">
        <v>0</v>
      </c>
      <c r="SI22" s="46">
        <v>0</v>
      </c>
      <c r="SJ22" s="46">
        <v>0</v>
      </c>
      <c r="SK22" s="46">
        <v>0</v>
      </c>
      <c r="SL22" s="46">
        <v>0</v>
      </c>
      <c r="SM22" s="46">
        <v>0</v>
      </c>
      <c r="SN22" s="46">
        <v>0</v>
      </c>
      <c r="SO22" s="46">
        <v>0</v>
      </c>
      <c r="SP22" s="46">
        <v>6940</v>
      </c>
      <c r="SQ22" s="46">
        <v>0</v>
      </c>
      <c r="SR22" s="46">
        <v>4062427</v>
      </c>
      <c r="SS22" s="46">
        <v>15893</v>
      </c>
      <c r="ST22" s="46">
        <v>43371</v>
      </c>
      <c r="SU22" s="46">
        <v>0</v>
      </c>
      <c r="SV22" s="46">
        <v>0</v>
      </c>
      <c r="SW22" s="46">
        <v>-3047528</v>
      </c>
      <c r="SX22" s="46">
        <v>0</v>
      </c>
      <c r="SY22" s="46">
        <v>0</v>
      </c>
      <c r="SZ22" s="46">
        <v>22546</v>
      </c>
      <c r="TA22" s="46">
        <v>183465</v>
      </c>
      <c r="TB22" s="46">
        <v>0</v>
      </c>
      <c r="TC22" s="46">
        <v>0</v>
      </c>
      <c r="TD22" s="46">
        <v>64202</v>
      </c>
      <c r="TE22" s="46">
        <v>24930</v>
      </c>
      <c r="TF22" s="46">
        <v>3454369</v>
      </c>
      <c r="TG22" s="46">
        <v>356286</v>
      </c>
      <c r="TH22" s="46">
        <v>0</v>
      </c>
      <c r="TI22" s="46">
        <v>15893</v>
      </c>
      <c r="TJ22" s="46">
        <v>0</v>
      </c>
      <c r="TK22" s="46">
        <v>0</v>
      </c>
      <c r="TL22" s="46">
        <v>82116</v>
      </c>
      <c r="TM22" s="46">
        <v>0</v>
      </c>
      <c r="TN22" s="46">
        <v>0</v>
      </c>
      <c r="TO22" s="46">
        <v>0</v>
      </c>
      <c r="TP22" s="46">
        <v>0</v>
      </c>
      <c r="TQ22" s="46">
        <v>0</v>
      </c>
      <c r="TR22" s="46">
        <v>0</v>
      </c>
      <c r="TS22" s="46">
        <v>0</v>
      </c>
      <c r="TT22" s="46">
        <v>0</v>
      </c>
      <c r="TU22" s="46">
        <v>0</v>
      </c>
      <c r="TV22" s="46">
        <v>0</v>
      </c>
      <c r="TW22" s="46">
        <v>0</v>
      </c>
      <c r="TX22" s="46">
        <v>0</v>
      </c>
      <c r="TY22" s="46">
        <v>0</v>
      </c>
      <c r="TZ22" s="46">
        <v>0</v>
      </c>
      <c r="UA22" s="46">
        <v>0</v>
      </c>
      <c r="UB22" s="46">
        <v>0</v>
      </c>
      <c r="UC22" s="46">
        <v>0</v>
      </c>
      <c r="UD22" s="46">
        <v>0</v>
      </c>
      <c r="UE22" s="46">
        <v>32528799</v>
      </c>
      <c r="UF22" s="46">
        <v>4727734</v>
      </c>
      <c r="UG22" s="46">
        <v>1666004</v>
      </c>
      <c r="UH22" s="46">
        <v>0</v>
      </c>
      <c r="UI22" s="46">
        <v>13768928</v>
      </c>
      <c r="UJ22" s="46">
        <v>21682485</v>
      </c>
      <c r="UK22" s="46">
        <v>12392065</v>
      </c>
      <c r="UL22" s="46">
        <v>12506015</v>
      </c>
      <c r="UM22" s="46">
        <v>8713551</v>
      </c>
      <c r="UN22" s="46">
        <v>6905202</v>
      </c>
      <c r="UO22"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4121691</v>
      </c>
      <c r="UP22" s="46">
        <f>SUM(Input[[#This Row],[Oth Exp E&amp;G]],Input[[#This Row],[Oth Exp Desg]],Input[[#This Row],[Oth Exp Aux]],Input[[#This Row],[Oth Exp R Exp]],Input[[#This Row],[Oth Exp Loan]],Input[[#This Row],[Oth Exp Annuity]],Input[[#This Row],[Oth Exp Unexp]],Input[[#This Row],[Oth Exp R of Ind]],Input[[#This Row],[Oth Exp Inv in P]])</f>
        <v>710472</v>
      </c>
      <c r="UQ22" s="46"/>
      <c r="UR22" s="46"/>
      <c r="US22" s="8" t="s">
        <v>742</v>
      </c>
      <c r="UT22" s="47">
        <v>9798459761</v>
      </c>
      <c r="UU22" s="8" t="s">
        <v>71</v>
      </c>
      <c r="UV22" s="8" t="s">
        <v>796</v>
      </c>
      <c r="UW22" s="47">
        <v>2107842011</v>
      </c>
      <c r="UX22" s="8" t="s">
        <v>797</v>
      </c>
      <c r="UY22" s="51" cm="1">
        <f t="array" ref="UY22">IFERROR(_xlfn.IFS(Input[[#This Row],[Type]]="HRI",SUMIFS('FTSE | FTFE'!$P$8:$P$77,'FTSE | FTFE'!$H$8:$H$77,A22),Input[[#This Row],[Type]]="UNIV",SUMIFS('FTSE | FTFE'!$P$104:$P$139,'FTSE | FTFE'!$H$104:$H$139,A22),OR(Input[[#This Row],[Type]]="TSTC",Input[[#This Row],[Type]]="LSC"),SUMIFS('FTSE | FTFE'!$O$88:$O$96,'FTSE | FTFE'!$H$88:$H$96,A22),Input[[#This Row],[Type]]="AHM",SUMIFS(Hidden!$H$42:$H$45,Hidden!$G$42:$G$45,A22)),"N/A")</f>
        <v>5683</v>
      </c>
      <c r="UZ22" s="51" cm="1">
        <f t="array" ref="UZ22">IFERROR(_xlfn.IFS(Input[[#This Row],[Type]]="HRI",SUMIFS('FTSE | FTFE'!$Q$8:$Q$77,'FTSE | FTFE'!$H$8:$H$77,A22),Input[[#This Row],[Type]]="UNIV",SUMIFS('FTSE | FTFE'!$Q$104:$Q$139,'FTSE | FTFE'!$H$104:$H$139,A22),OR(Input[[#This Row],[Type]]="TSTC",Input[[#This Row],[Type]]="LSC"),SUMIFS('FTSE | FTFE'!$P$88:$P$96,'FTSE | FTFE'!$H$88:$H$96,A22)),"N/A")</f>
        <v>134</v>
      </c>
      <c r="VA2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50699530</v>
      </c>
      <c r="VB2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22" s="46">
        <f>SUM(Input[[#This Row],[Fed G&amp;C E&amp;G]],Input[[#This Row],[Fed G&amp;C Desg]],Input[[#This Row],[Fed G&amp;C R Exp]],Input[[#This Row],[Fed G&amp;C Loan]],Input[[#This Row],[Fed G&amp;C Annuity]],Input[[#This Row],[Fed G&amp;C Unexp]],Input[[#This Row],[Fed G&amp;C R of Ind]],Input[[#This Row],[Fed G&amp;C Inv in P]])</f>
        <v>29756476</v>
      </c>
      <c r="VD2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17764871</v>
      </c>
      <c r="VE2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13883139</v>
      </c>
      <c r="VF2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11048858</v>
      </c>
      <c r="VG22" s="46">
        <f>SUM(Input[[#This Row],[Oth Inc E&amp;G]],Input[[#This Row],[Oth Exp Desg]],Input[[#This Row],[Oth Exp R Exp]],Input[[#This Row],[Oth Exp Loan]],Input[[#This Row],[Oth Exp Annuity]],Input[[#This Row],[Oth Exp Unexp]],Input[[#This Row],[Oth Exp R of Ind]],Input[[#This Row],[Oth Exp Inv in P]])</f>
        <v>642507</v>
      </c>
      <c r="VH22" s="46">
        <f>SUM(Input[[#This Row],[Instr E&amp;G]],Input[[#This Row],[Instr Desg]],Input[[#This Row],[Instr R Exp]],Input[[#This Row],[Instr Loan]],Input[[#This Row],[Instr Annuity]],Input[[#This Row],[Instr Unexp]],Input[[#This Row],[Instr R of Ind]],Input[[#This Row],[Instr Inv in P]])</f>
        <v>32528799</v>
      </c>
      <c r="VI22" s="46">
        <f>SUM(Input[[#This Row],[Res E&amp;G]],Input[[#This Row],[Res Desg]],Input[[#This Row],[Res R Exp]],Input[[#This Row],[Res Loan]],Input[[#This Row],[Res Annuity]],Input[[#This Row],[Res Unexp]],Input[[#This Row],[Res R of Ind]],Input[[#This Row],[Res Inv in P]])</f>
        <v>4727734</v>
      </c>
      <c r="VJ22" s="46">
        <f>SUM(Input[[#This Row],[Acad Sup E&amp;G]],Input[[#This Row],[Acad Sup Desg]],Input[[#This Row],[Acad Sup R Exp]],Input[[#This Row],[Acad Sup Loan]],Input[[#This Row],[Acad Sup Annuity]],Input[[#This Row],[Acad Sup Unexp]],Input[[#This Row],[Acad Sup R of Ind]],Input[[#This Row],[Acad Sup Inv in P]])</f>
        <v>13768928</v>
      </c>
      <c r="VK22" s="46">
        <f>SUM(Input[[#This Row],[Stu Svc E&amp;G]],Input[[#This Row],[Stu Svc Desg]],Input[[#This Row],[Stu Svc R Exp]],Input[[#This Row],[Stu Svc Loan]],Input[[#This Row],[Stu Svc Annuity]],Input[[#This Row],[Stu Svc Unexp]],Input[[#This Row],[Stu Svc R of Ind]],Input[[#This Row],[Stu Svc Inv in P]])</f>
        <v>21682485</v>
      </c>
      <c r="VL22" s="46">
        <f>SUM(Input[[#This Row],[Inst. Spt E&amp;G]],Input[[#This Row],[Inst. Spt Desg]],Input[[#This Row],[Inst. Spt R Exp]],Input[[#This Row],[Inst. Spt Loan]],Input[[#This Row],[Inst. Spt Annuity]],Input[[#This Row],[Inst. Spt Unexp]],Input[[#This Row],[Inst. Spt R of Ind]],Input[[#This Row],[Inst. Spt Inv in P]])</f>
        <v>12392065</v>
      </c>
      <c r="VM22" s="46">
        <f>SUM(Input[[#This Row],[M&amp;O Plnt E&amp;G]],Input[[#This Row],[M&amp;O Plnt Desg]],Input[[#This Row],[M&amp;O Plnt R Exp]],Input[[#This Row],[M&amp;O Plnt Loan]],Input[[#This Row],[M&amp;O Plnt Annuity]],Input[[#This Row],[M&amp;O Plnt Unexp]],Input[[#This Row],[M&amp;O Plnt R of Ind]],Input[[#This Row],[M&amp;O Plnt Inv in P]])</f>
        <v>12506015</v>
      </c>
      <c r="VN22" s="46">
        <f>SUM(Input[[#This Row],[Schl &amp; Fell E&amp;G]],Input[[#This Row],[Schl &amp; Fell Desg]],Input[[#This Row],[Schl &amp; Fell R Exp]],Input[[#This Row],[Schl &amp; Fell Loan]],Input[[#This Row],[Schl &amp; Fell Annuity]],Input[[#This Row],[Schl &amp; Fell Unexp]],Input[[#This Row],[Schl &amp; Fell R of Ind]],Input[[#This Row],[Schl &amp; Fell Inv in P]])</f>
        <v>8713551</v>
      </c>
      <c r="VO22" s="46">
        <f>SUM(Input[[#This Row],[Cap Out fund E&amp;G]],Input[[#This Row],[Cap Out fund Desg]],Input[[#This Row],[Cap Out fund R Exp]],Input[[#This Row],[Cap Out fund Loan]],Input[[#This Row],[Cap Out fund Annuity]],Input[[#This Row],[Cap Out fund Unexp]],Input[[#This Row],[Cap Out fund R of Ind]],Input[[#This Row],[Cap Out fund Inv in P]])</f>
        <v>4105798</v>
      </c>
      <c r="VP22" s="46">
        <f>SUM(Input[[#This Row],[Oth Exp E&amp;G]],Input[[#This Row],[Oth Exp Desg]],Input[[#This Row],[Oth Exp R Exp]],Input[[#This Row],[Oth Exp Loan]],Input[[#This Row],[Oth Exp Annuity]],Input[[#This Row],[Oth Exp Unexp]],Input[[#This Row],[Oth Exp R of Ind]],Input[[#This Row],[Oth Exp Inv in P]],Input[[#This Row],[Oth Exp Inv in P]])</f>
        <v>1183539</v>
      </c>
    </row>
    <row r="23" spans="1:588" ht="30" customHeight="1" x14ac:dyDescent="0.3">
      <c r="A23" s="15" t="s">
        <v>10</v>
      </c>
      <c r="B23" s="36" t="s">
        <v>111</v>
      </c>
      <c r="C23" s="36" t="s">
        <v>110</v>
      </c>
      <c r="D23" s="36">
        <v>210</v>
      </c>
      <c r="E23" s="36" t="s">
        <v>134</v>
      </c>
      <c r="F23" s="95" cm="1">
        <f t="array" ref="F23">IFERROR(_xlfn.IFS(Input[[#This Row],[Type]]="HRI",SUMIFS('FTSE | FTFE'!$I$8:$I$77,'FTSE | FTFE'!$H$8:$H$77,A23),Input[[#This Row],[Type]]="UNIV",SUMIFS('FTSE | FTFE'!$I$104:$I$139,'FTSE | FTFE'!$H$104:$H$139,A23),OR(Input[[#This Row],[Type]]="TSTC",Input[[#This Row],[Type]]="LSC"),SUMIFS('FTSE | FTFE'!$I$88:$I$96,'FTSE | FTFE'!$H$88:$H$96,A23)),"N/A")</f>
        <v>9651</v>
      </c>
      <c r="G23" s="46">
        <v>53491802</v>
      </c>
      <c r="H23" s="46">
        <v>0</v>
      </c>
      <c r="I23" s="46">
        <v>0</v>
      </c>
      <c r="J23" s="46">
        <v>0</v>
      </c>
      <c r="K23" s="46">
        <v>0</v>
      </c>
      <c r="L23" s="46">
        <v>0</v>
      </c>
      <c r="M23" s="46">
        <v>0</v>
      </c>
      <c r="N23" s="46">
        <v>0</v>
      </c>
      <c r="O23" s="46">
        <v>0</v>
      </c>
      <c r="P23" s="46">
        <v>463674</v>
      </c>
      <c r="Q23" s="46">
        <v>114963</v>
      </c>
      <c r="R23" s="46">
        <v>0</v>
      </c>
      <c r="S23" s="46">
        <v>18536200</v>
      </c>
      <c r="T23" s="46">
        <v>0</v>
      </c>
      <c r="U23" s="46">
        <v>0</v>
      </c>
      <c r="V23" s="46">
        <v>0</v>
      </c>
      <c r="W23" s="46">
        <v>0</v>
      </c>
      <c r="X23" s="46">
        <v>0</v>
      </c>
      <c r="Y23" s="46">
        <v>7687534</v>
      </c>
      <c r="Z23" s="46">
        <v>0</v>
      </c>
      <c r="AA23" s="46">
        <v>0</v>
      </c>
      <c r="AB23" s="46">
        <v>0</v>
      </c>
      <c r="AC23" s="46">
        <v>0</v>
      </c>
      <c r="AD23" s="46">
        <v>0</v>
      </c>
      <c r="AE23" s="46">
        <v>0</v>
      </c>
      <c r="AF23" s="46">
        <v>0</v>
      </c>
      <c r="AG23" s="46">
        <v>0</v>
      </c>
      <c r="AH23" s="46">
        <v>0</v>
      </c>
      <c r="AI23" s="46">
        <v>0</v>
      </c>
      <c r="AJ23" s="46">
        <v>0</v>
      </c>
      <c r="AK23" s="46">
        <v>0</v>
      </c>
      <c r="AL23" s="46">
        <v>0</v>
      </c>
      <c r="AM23" s="46">
        <v>0</v>
      </c>
      <c r="AN23" s="46">
        <v>0</v>
      </c>
      <c r="AO23" s="46">
        <v>0</v>
      </c>
      <c r="AP23" s="46">
        <v>0</v>
      </c>
      <c r="AQ23" s="46">
        <v>-2749800</v>
      </c>
      <c r="AR23" s="46">
        <v>-37421</v>
      </c>
      <c r="AS23" s="46">
        <v>0</v>
      </c>
      <c r="AT23" s="46">
        <v>0</v>
      </c>
      <c r="AU23" s="46">
        <v>0</v>
      </c>
      <c r="AV23" s="46">
        <v>0</v>
      </c>
      <c r="AW23" s="46">
        <v>0</v>
      </c>
      <c r="AX23" s="46">
        <v>0</v>
      </c>
      <c r="AY23" s="46">
        <v>0</v>
      </c>
      <c r="AZ23" s="46">
        <v>0</v>
      </c>
      <c r="BA23" s="46">
        <v>0</v>
      </c>
      <c r="BB23" s="46">
        <v>0</v>
      </c>
      <c r="BC23" s="46">
        <v>0</v>
      </c>
      <c r="BD23" s="46">
        <v>0</v>
      </c>
      <c r="BE23" s="46">
        <v>0</v>
      </c>
      <c r="BF23" s="46">
        <v>0</v>
      </c>
      <c r="BG23" s="46">
        <v>0</v>
      </c>
      <c r="BH23" s="46">
        <v>0</v>
      </c>
      <c r="BI23" s="46">
        <v>-944230</v>
      </c>
      <c r="BJ23" s="46">
        <v>-469251</v>
      </c>
      <c r="BK23" s="46">
        <v>0</v>
      </c>
      <c r="BL23" s="46">
        <v>0</v>
      </c>
      <c r="BM23" s="46">
        <v>0</v>
      </c>
      <c r="BN23" s="46">
        <v>0</v>
      </c>
      <c r="BO23" s="46">
        <v>0</v>
      </c>
      <c r="BP23" s="46">
        <v>0</v>
      </c>
      <c r="BQ23" s="46">
        <v>0</v>
      </c>
      <c r="BR23" s="46">
        <v>0</v>
      </c>
      <c r="BS23" s="46">
        <v>0</v>
      </c>
      <c r="BT23" s="46">
        <v>0</v>
      </c>
      <c r="BU23" s="46">
        <v>0</v>
      </c>
      <c r="BV23" s="46">
        <v>0</v>
      </c>
      <c r="BW23" s="46">
        <v>0</v>
      </c>
      <c r="BX23" s="46">
        <v>0</v>
      </c>
      <c r="BY23" s="46">
        <v>0</v>
      </c>
      <c r="BZ23" s="46">
        <v>0</v>
      </c>
      <c r="CA23" s="46">
        <v>12266193</v>
      </c>
      <c r="CB23" s="46">
        <v>23716456</v>
      </c>
      <c r="CC23" s="46">
        <v>0</v>
      </c>
      <c r="CD23" s="46">
        <v>0</v>
      </c>
      <c r="CE23" s="46">
        <v>0</v>
      </c>
      <c r="CF23" s="46">
        <v>0</v>
      </c>
      <c r="CG23" s="46">
        <v>0</v>
      </c>
      <c r="CH23" s="46">
        <v>0</v>
      </c>
      <c r="CI23" s="46">
        <v>0</v>
      </c>
      <c r="CJ23" s="46">
        <v>0</v>
      </c>
      <c r="CK23" s="46">
        <v>0</v>
      </c>
      <c r="CL23" s="46">
        <v>0</v>
      </c>
      <c r="CM23" s="46">
        <v>0</v>
      </c>
      <c r="CN23" s="46">
        <v>0</v>
      </c>
      <c r="CO23" s="46">
        <v>0</v>
      </c>
      <c r="CP23" s="46">
        <v>0</v>
      </c>
      <c r="CQ23" s="46">
        <v>0</v>
      </c>
      <c r="CR23" s="46">
        <v>0</v>
      </c>
      <c r="CS23" s="46">
        <v>0</v>
      </c>
      <c r="CT23" s="46">
        <v>0</v>
      </c>
      <c r="CU23" s="46">
        <v>0</v>
      </c>
      <c r="CV23" s="46">
        <v>0</v>
      </c>
      <c r="CW23" s="46">
        <v>0</v>
      </c>
      <c r="CX23" s="46">
        <v>0</v>
      </c>
      <c r="CY23" s="46">
        <v>0</v>
      </c>
      <c r="CZ23" s="46">
        <v>0</v>
      </c>
      <c r="DA23" s="46">
        <v>0</v>
      </c>
      <c r="DB23" s="46">
        <v>-452786</v>
      </c>
      <c r="DC23" s="46">
        <v>-845639</v>
      </c>
      <c r="DD23" s="46">
        <v>0</v>
      </c>
      <c r="DE23" s="46">
        <v>0</v>
      </c>
      <c r="DF23" s="46">
        <v>0</v>
      </c>
      <c r="DG23" s="46">
        <v>0</v>
      </c>
      <c r="DH23" s="46">
        <v>0</v>
      </c>
      <c r="DI23" s="46">
        <v>0</v>
      </c>
      <c r="DJ23" s="46">
        <v>0</v>
      </c>
      <c r="DK23" s="46">
        <v>0</v>
      </c>
      <c r="DL23" s="46">
        <v>0</v>
      </c>
      <c r="DM23" s="46">
        <v>0</v>
      </c>
      <c r="DN23" s="46">
        <v>0</v>
      </c>
      <c r="DO23" s="46">
        <v>0</v>
      </c>
      <c r="DP23" s="46">
        <v>0</v>
      </c>
      <c r="DQ23" s="46">
        <v>0</v>
      </c>
      <c r="DR23" s="46">
        <v>0</v>
      </c>
      <c r="DS23" s="46">
        <v>0</v>
      </c>
      <c r="DT23" s="46">
        <v>-6833914</v>
      </c>
      <c r="DU23" s="46">
        <v>-13243060</v>
      </c>
      <c r="DV23" s="46">
        <v>0</v>
      </c>
      <c r="DW23" s="46">
        <v>0</v>
      </c>
      <c r="DX23" s="46">
        <v>0</v>
      </c>
      <c r="DY23" s="46">
        <v>0</v>
      </c>
      <c r="DZ23" s="46">
        <v>0</v>
      </c>
      <c r="EA23" s="46">
        <v>0</v>
      </c>
      <c r="EB23" s="46">
        <v>0</v>
      </c>
      <c r="EC23" s="46">
        <v>0</v>
      </c>
      <c r="ED23" s="46">
        <v>-499421</v>
      </c>
      <c r="EE23" s="46">
        <v>-21900</v>
      </c>
      <c r="EF23" s="46">
        <v>0</v>
      </c>
      <c r="EG23" s="46">
        <v>0</v>
      </c>
      <c r="EH23" s="46">
        <v>0</v>
      </c>
      <c r="EI23" s="46">
        <v>0</v>
      </c>
      <c r="EJ23" s="46">
        <v>0</v>
      </c>
      <c r="EK23" s="46">
        <v>0</v>
      </c>
      <c r="EL23" s="46">
        <v>0</v>
      </c>
      <c r="EM23" s="46">
        <v>0</v>
      </c>
      <c r="EN23" s="46">
        <v>0</v>
      </c>
      <c r="EO23" s="46">
        <v>0</v>
      </c>
      <c r="EP23" s="46">
        <v>0</v>
      </c>
      <c r="EQ23" s="46">
        <v>0</v>
      </c>
      <c r="ER23" s="46">
        <v>0</v>
      </c>
      <c r="ES23" s="46">
        <v>0</v>
      </c>
      <c r="ET23" s="46">
        <v>0</v>
      </c>
      <c r="EU23" s="46">
        <v>0</v>
      </c>
      <c r="EV23" s="46">
        <v>-934221</v>
      </c>
      <c r="EW23" s="46">
        <v>-1878664</v>
      </c>
      <c r="EX23" s="46">
        <v>0</v>
      </c>
      <c r="EY23" s="46">
        <v>0</v>
      </c>
      <c r="EZ23" s="46">
        <v>0</v>
      </c>
      <c r="FA23" s="46">
        <v>0</v>
      </c>
      <c r="FB23" s="46">
        <v>0</v>
      </c>
      <c r="FC23" s="46">
        <v>0</v>
      </c>
      <c r="FD23" s="46">
        <v>0</v>
      </c>
      <c r="FE23" s="46">
        <v>0</v>
      </c>
      <c r="FF23" s="46">
        <v>0</v>
      </c>
      <c r="FG23" s="46">
        <v>0</v>
      </c>
      <c r="FH23" s="46">
        <v>0</v>
      </c>
      <c r="FI23" s="46">
        <v>0</v>
      </c>
      <c r="FJ23" s="46">
        <v>0</v>
      </c>
      <c r="FK23" s="46">
        <v>0</v>
      </c>
      <c r="FL23" s="46">
        <v>0</v>
      </c>
      <c r="FM23" s="46">
        <v>472675</v>
      </c>
      <c r="FN23" s="46">
        <v>28858653</v>
      </c>
      <c r="FO23" s="46">
        <v>8028984</v>
      </c>
      <c r="FP23" s="46">
        <v>262901</v>
      </c>
      <c r="FQ23" s="46">
        <v>0</v>
      </c>
      <c r="FR23" s="46">
        <v>0</v>
      </c>
      <c r="FS23" s="46">
        <v>0</v>
      </c>
      <c r="FT23" s="46">
        <v>0</v>
      </c>
      <c r="FU23" s="46">
        <v>0</v>
      </c>
      <c r="FV23" s="46">
        <v>0</v>
      </c>
      <c r="FW23" s="46">
        <v>0</v>
      </c>
      <c r="FX23" s="46">
        <v>0</v>
      </c>
      <c r="FY23" s="46">
        <v>0</v>
      </c>
      <c r="FZ23" s="46">
        <v>0</v>
      </c>
      <c r="GA23" s="46">
        <v>0</v>
      </c>
      <c r="GB23" s="46">
        <v>0</v>
      </c>
      <c r="GC23" s="46">
        <v>0</v>
      </c>
      <c r="GD23" s="46">
        <v>0</v>
      </c>
      <c r="GE23" s="46">
        <v>0</v>
      </c>
      <c r="GF23" s="46">
        <v>0</v>
      </c>
      <c r="GG23" s="46">
        <v>0</v>
      </c>
      <c r="GH23" s="46">
        <v>0</v>
      </c>
      <c r="GI23" s="46">
        <v>0</v>
      </c>
      <c r="GJ23" s="46">
        <v>0</v>
      </c>
      <c r="GK23" s="46">
        <v>0</v>
      </c>
      <c r="GL23" s="46">
        <v>0</v>
      </c>
      <c r="GM23" s="46">
        <v>0</v>
      </c>
      <c r="GN23" s="46">
        <v>-390</v>
      </c>
      <c r="GO23" s="46">
        <v>-948940</v>
      </c>
      <c r="GP23" s="46">
        <v>-330730</v>
      </c>
      <c r="GQ23" s="46">
        <v>0</v>
      </c>
      <c r="GR23" s="46">
        <v>0</v>
      </c>
      <c r="GS23" s="46">
        <v>0</v>
      </c>
      <c r="GT23" s="46">
        <v>0</v>
      </c>
      <c r="GU23" s="46">
        <v>0</v>
      </c>
      <c r="GV23" s="46">
        <v>0</v>
      </c>
      <c r="GW23" s="46">
        <v>0</v>
      </c>
      <c r="GX23" s="46">
        <v>0</v>
      </c>
      <c r="GY23" s="46">
        <v>0</v>
      </c>
      <c r="GZ23" s="46">
        <v>0</v>
      </c>
      <c r="HA23" s="46">
        <v>0</v>
      </c>
      <c r="HB23" s="46">
        <v>0</v>
      </c>
      <c r="HC23" s="46">
        <v>0</v>
      </c>
      <c r="HD23" s="46">
        <v>0</v>
      </c>
      <c r="HE23" s="46">
        <v>0</v>
      </c>
      <c r="HF23" s="46">
        <v>-280402</v>
      </c>
      <c r="HG23" s="46">
        <v>-16194467</v>
      </c>
      <c r="HH23" s="46">
        <v>-4438867</v>
      </c>
      <c r="HI23" s="46">
        <v>0</v>
      </c>
      <c r="HJ23" s="46">
        <v>0</v>
      </c>
      <c r="HK23" s="46">
        <v>0</v>
      </c>
      <c r="HL23" s="46">
        <v>0</v>
      </c>
      <c r="HM23" s="46">
        <v>0</v>
      </c>
      <c r="HN23" s="46">
        <v>0</v>
      </c>
      <c r="HO23" s="46">
        <v>0</v>
      </c>
      <c r="HP23" s="46">
        <v>719735</v>
      </c>
      <c r="HQ23" s="46">
        <v>0</v>
      </c>
      <c r="HR23" s="46">
        <v>41202968</v>
      </c>
      <c r="HS23" s="46">
        <v>0</v>
      </c>
      <c r="HT23" s="46">
        <v>0</v>
      </c>
      <c r="HU23" s="46">
        <v>0</v>
      </c>
      <c r="HV23" s="46">
        <v>0</v>
      </c>
      <c r="HW23" s="46">
        <v>0</v>
      </c>
      <c r="HX23" s="46">
        <v>0</v>
      </c>
      <c r="HY23" s="46">
        <v>0</v>
      </c>
      <c r="HZ23" s="46">
        <v>0</v>
      </c>
      <c r="IA23" s="46">
        <v>0</v>
      </c>
      <c r="IB23" s="46">
        <v>0</v>
      </c>
      <c r="IC23" s="46">
        <v>0</v>
      </c>
      <c r="ID23" s="46">
        <v>0</v>
      </c>
      <c r="IE23" s="46">
        <v>0</v>
      </c>
      <c r="IF23" s="46">
        <v>0</v>
      </c>
      <c r="IG23" s="46">
        <v>0</v>
      </c>
      <c r="IH23" s="46">
        <v>0</v>
      </c>
      <c r="II23" s="46">
        <v>0</v>
      </c>
      <c r="IJ23" s="46">
        <v>0</v>
      </c>
      <c r="IK23" s="46">
        <v>0</v>
      </c>
      <c r="IL23" s="46">
        <v>0</v>
      </c>
      <c r="IM23" s="46">
        <v>0</v>
      </c>
      <c r="IN23" s="46">
        <v>0</v>
      </c>
      <c r="IO23" s="46">
        <v>0</v>
      </c>
      <c r="IP23" s="46">
        <v>675620</v>
      </c>
      <c r="IQ23" s="46">
        <v>8153497</v>
      </c>
      <c r="IR23" s="46">
        <v>792386</v>
      </c>
      <c r="IS23" s="46">
        <v>544707</v>
      </c>
      <c r="IT23" s="46">
        <v>325268</v>
      </c>
      <c r="IU23" s="46">
        <v>7608</v>
      </c>
      <c r="IV23" s="46">
        <v>62235</v>
      </c>
      <c r="IW23" s="46">
        <v>0</v>
      </c>
      <c r="IX23" s="46">
        <v>0</v>
      </c>
      <c r="IY23" s="46">
        <v>0</v>
      </c>
      <c r="IZ23" s="46">
        <v>0</v>
      </c>
      <c r="JA23" s="46">
        <v>0</v>
      </c>
      <c r="JB23" s="46">
        <v>0</v>
      </c>
      <c r="JC23" s="46">
        <v>0</v>
      </c>
      <c r="JD23" s="46">
        <v>0</v>
      </c>
      <c r="JE23" s="46">
        <v>0</v>
      </c>
      <c r="JF23" s="46">
        <v>0</v>
      </c>
      <c r="JG23" s="46">
        <v>0</v>
      </c>
      <c r="JH23" s="46">
        <v>0</v>
      </c>
      <c r="JI23" s="46">
        <v>164193</v>
      </c>
      <c r="JJ23" s="46">
        <v>10000</v>
      </c>
      <c r="JK23" s="46">
        <v>58040229</v>
      </c>
      <c r="JL23" s="46">
        <v>0</v>
      </c>
      <c r="JM23" s="46">
        <v>0</v>
      </c>
      <c r="JN23" s="46">
        <v>0</v>
      </c>
      <c r="JO23" s="46">
        <v>0</v>
      </c>
      <c r="JP23" s="46">
        <v>0</v>
      </c>
      <c r="JQ23" s="46">
        <v>46461</v>
      </c>
      <c r="JR23" s="46">
        <v>7057772</v>
      </c>
      <c r="JS23" s="46">
        <v>0</v>
      </c>
      <c r="JT23" s="46">
        <v>777393</v>
      </c>
      <c r="JU23" s="46">
        <v>0</v>
      </c>
      <c r="JV23" s="46">
        <v>0</v>
      </c>
      <c r="JW23" s="46">
        <v>0</v>
      </c>
      <c r="JX23" s="46">
        <v>0</v>
      </c>
      <c r="JY23" s="46">
        <v>0</v>
      </c>
      <c r="JZ23" s="46">
        <v>0</v>
      </c>
      <c r="KA23" s="46">
        <v>0</v>
      </c>
      <c r="KB23" s="46">
        <v>3051799</v>
      </c>
      <c r="KC23" s="46">
        <v>0</v>
      </c>
      <c r="KD23" s="46">
        <v>0</v>
      </c>
      <c r="KE23" s="46">
        <v>0</v>
      </c>
      <c r="KF23" s="46">
        <v>0</v>
      </c>
      <c r="KG23" s="46">
        <v>0</v>
      </c>
      <c r="KH23" s="46">
        <v>0</v>
      </c>
      <c r="KI23" s="46">
        <v>420</v>
      </c>
      <c r="KJ23" s="46">
        <v>417162</v>
      </c>
      <c r="KK23" s="46">
        <v>37919</v>
      </c>
      <c r="KL23" s="46">
        <v>845692</v>
      </c>
      <c r="KM23" s="46">
        <v>4313</v>
      </c>
      <c r="KN23" s="46">
        <v>748640</v>
      </c>
      <c r="KO23" s="46">
        <v>0</v>
      </c>
      <c r="KP23" s="46">
        <v>0</v>
      </c>
      <c r="KQ23" s="46">
        <v>0</v>
      </c>
      <c r="KR23" s="46">
        <v>35686027</v>
      </c>
      <c r="KS23" s="46">
        <v>4076163</v>
      </c>
      <c r="KT23" s="46">
        <v>0</v>
      </c>
      <c r="KU23" s="46">
        <v>891091</v>
      </c>
      <c r="KV23" s="46">
        <v>0</v>
      </c>
      <c r="KW23" s="46">
        <v>0</v>
      </c>
      <c r="KX23" s="46">
        <v>0</v>
      </c>
      <c r="KY23" s="46">
        <v>0</v>
      </c>
      <c r="KZ23" s="46">
        <v>0</v>
      </c>
      <c r="LA23" s="46">
        <v>1039682</v>
      </c>
      <c r="LB23" s="46">
        <v>426852</v>
      </c>
      <c r="LC23" s="46">
        <v>0</v>
      </c>
      <c r="LD23" s="46">
        <v>7251147</v>
      </c>
      <c r="LE23" s="46">
        <v>0</v>
      </c>
      <c r="LF23" s="46">
        <v>0</v>
      </c>
      <c r="LG23" s="46">
        <v>0</v>
      </c>
      <c r="LH23" s="46">
        <v>0</v>
      </c>
      <c r="LI23" s="46">
        <v>0</v>
      </c>
      <c r="LJ23" s="46">
        <v>700701</v>
      </c>
      <c r="LK23" s="46">
        <v>672316</v>
      </c>
      <c r="LL23" s="46">
        <v>0</v>
      </c>
      <c r="LM23" s="46">
        <v>1826597</v>
      </c>
      <c r="LN23" s="46">
        <v>0</v>
      </c>
      <c r="LO23" s="46">
        <v>0</v>
      </c>
      <c r="LP23" s="46">
        <v>0</v>
      </c>
      <c r="LQ23" s="46">
        <v>0</v>
      </c>
      <c r="LR23" s="46">
        <v>0</v>
      </c>
      <c r="LS23" s="46">
        <v>0</v>
      </c>
      <c r="LT23" s="46">
        <v>0</v>
      </c>
      <c r="LU23" s="46">
        <v>0</v>
      </c>
      <c r="LV23" s="46">
        <v>0</v>
      </c>
      <c r="LW23" s="46">
        <v>0</v>
      </c>
      <c r="LX23" s="46">
        <v>0</v>
      </c>
      <c r="LY23" s="46">
        <v>0</v>
      </c>
      <c r="LZ23" s="46">
        <v>0</v>
      </c>
      <c r="MA23" s="46">
        <v>0</v>
      </c>
      <c r="MB23" s="46">
        <v>10692481</v>
      </c>
      <c r="MC23" s="46">
        <v>13716946</v>
      </c>
      <c r="MD23" s="46">
        <v>0</v>
      </c>
      <c r="ME23" s="46">
        <v>2497462</v>
      </c>
      <c r="MF23" s="46">
        <v>0</v>
      </c>
      <c r="MG23" s="46">
        <v>0</v>
      </c>
      <c r="MH23" s="46">
        <v>0</v>
      </c>
      <c r="MI23" s="46">
        <v>0</v>
      </c>
      <c r="MJ23" s="46">
        <v>0</v>
      </c>
      <c r="MK23" s="46">
        <v>2169141</v>
      </c>
      <c r="ML23" s="46">
        <v>13808378</v>
      </c>
      <c r="MM23" s="46">
        <v>0</v>
      </c>
      <c r="MN23" s="46">
        <v>417716</v>
      </c>
      <c r="MO23" s="46">
        <v>33883</v>
      </c>
      <c r="MP23" s="46">
        <v>0</v>
      </c>
      <c r="MQ23" s="46">
        <v>0</v>
      </c>
      <c r="MR23" s="46">
        <v>0</v>
      </c>
      <c r="MS23" s="46">
        <v>0</v>
      </c>
      <c r="MT23" s="46">
        <v>808462</v>
      </c>
      <c r="MU23" s="46">
        <v>9866607</v>
      </c>
      <c r="MV23" s="46">
        <v>0</v>
      </c>
      <c r="MW23" s="46">
        <v>76743</v>
      </c>
      <c r="MX23" s="46">
        <v>0</v>
      </c>
      <c r="MY23" s="46">
        <v>0</v>
      </c>
      <c r="MZ23" s="46">
        <v>0</v>
      </c>
      <c r="NA23" s="46">
        <v>0</v>
      </c>
      <c r="NB23" s="46">
        <v>0</v>
      </c>
      <c r="NC23" s="46">
        <v>8882158</v>
      </c>
      <c r="ND23" s="46">
        <v>10223253</v>
      </c>
      <c r="NE23" s="46">
        <v>0</v>
      </c>
      <c r="NF23" s="46">
        <v>31819</v>
      </c>
      <c r="NG23" s="46">
        <v>0</v>
      </c>
      <c r="NH23" s="46">
        <v>0</v>
      </c>
      <c r="NI23" s="46">
        <v>86</v>
      </c>
      <c r="NJ23" s="46">
        <v>0</v>
      </c>
      <c r="NK23" s="46">
        <v>0</v>
      </c>
      <c r="NL23" s="46">
        <v>432798</v>
      </c>
      <c r="NM23" s="46">
        <v>5111974</v>
      </c>
      <c r="NN23" s="46">
        <v>0</v>
      </c>
      <c r="NO23" s="46">
        <v>17358905</v>
      </c>
      <c r="NP23" s="46">
        <v>0</v>
      </c>
      <c r="NQ23" s="46">
        <v>0</v>
      </c>
      <c r="NR23" s="46">
        <v>0</v>
      </c>
      <c r="NS23" s="46">
        <v>0</v>
      </c>
      <c r="NT23" s="46">
        <v>0</v>
      </c>
      <c r="NU23" s="46">
        <v>0</v>
      </c>
      <c r="NV23" s="46">
        <v>0</v>
      </c>
      <c r="NW23" s="46">
        <v>14463345</v>
      </c>
      <c r="NX23" s="46">
        <v>0</v>
      </c>
      <c r="NY23" s="46">
        <v>0</v>
      </c>
      <c r="NZ23" s="46">
        <v>0</v>
      </c>
      <c r="OA23" s="46">
        <v>0</v>
      </c>
      <c r="OB23" s="46">
        <v>0</v>
      </c>
      <c r="OC23" s="46">
        <v>0</v>
      </c>
      <c r="OD23" s="46">
        <v>2374707</v>
      </c>
      <c r="OE23" s="46">
        <v>575631</v>
      </c>
      <c r="OF23" s="46">
        <v>13450</v>
      </c>
      <c r="OG23" s="46">
        <v>464508</v>
      </c>
      <c r="OH23" s="46">
        <v>0</v>
      </c>
      <c r="OI23" s="46">
        <v>0</v>
      </c>
      <c r="OJ23" s="46">
        <v>0</v>
      </c>
      <c r="OK23" s="46">
        <v>0</v>
      </c>
      <c r="OL23" s="46">
        <v>0</v>
      </c>
      <c r="OM23" s="46">
        <v>9198</v>
      </c>
      <c r="ON23" s="46">
        <v>361679</v>
      </c>
      <c r="OO23" s="46">
        <v>132588</v>
      </c>
      <c r="OP23" s="46">
        <v>55823426</v>
      </c>
      <c r="OQ23" s="46">
        <v>13685</v>
      </c>
      <c r="OR23" s="46">
        <v>250000</v>
      </c>
      <c r="OS23" s="46">
        <v>2611</v>
      </c>
      <c r="OT23" s="46">
        <v>0</v>
      </c>
      <c r="OU23" s="46">
        <v>0</v>
      </c>
      <c r="OV23" s="46">
        <v>0</v>
      </c>
      <c r="OW23" s="46">
        <v>0</v>
      </c>
      <c r="OX23" s="46">
        <v>0</v>
      </c>
      <c r="OY23" s="46">
        <v>0</v>
      </c>
      <c r="OZ23" s="46">
        <v>0</v>
      </c>
      <c r="PA23" s="46">
        <v>0</v>
      </c>
      <c r="PB23" s="46">
        <v>0</v>
      </c>
      <c r="PC23" s="46">
        <v>0</v>
      </c>
      <c r="PD23" s="46">
        <v>0</v>
      </c>
      <c r="PE23" s="46">
        <v>7611826</v>
      </c>
      <c r="PF23" s="46">
        <v>22168298</v>
      </c>
      <c r="PG23" s="46">
        <v>8312626</v>
      </c>
      <c r="PH23" s="46">
        <v>-33709800</v>
      </c>
      <c r="PI23" s="46">
        <v>53461</v>
      </c>
      <c r="PJ23" s="46">
        <v>785000</v>
      </c>
      <c r="PK23" s="46">
        <v>0</v>
      </c>
      <c r="PL23" s="46">
        <v>0</v>
      </c>
      <c r="PM23" s="46">
        <v>0</v>
      </c>
      <c r="PN23" s="46">
        <v>0</v>
      </c>
      <c r="PO23" s="46">
        <v>0</v>
      </c>
      <c r="PP23" s="46">
        <v>0</v>
      </c>
      <c r="PQ23" s="46">
        <v>0</v>
      </c>
      <c r="PR23" s="46">
        <v>0</v>
      </c>
      <c r="PS23" s="46">
        <v>0</v>
      </c>
      <c r="PT23" s="46">
        <v>0</v>
      </c>
      <c r="PU23" s="46">
        <v>0</v>
      </c>
      <c r="PV23" s="46">
        <v>0</v>
      </c>
      <c r="PW23" s="46">
        <v>-10886407</v>
      </c>
      <c r="PX23" s="46">
        <v>-588952</v>
      </c>
      <c r="PY23" s="46">
        <v>-1684790</v>
      </c>
      <c r="PZ23" s="46">
        <v>0</v>
      </c>
      <c r="QA23" s="46">
        <v>0</v>
      </c>
      <c r="QB23" s="46">
        <v>0</v>
      </c>
      <c r="QC23" s="46">
        <v>-158370</v>
      </c>
      <c r="QD23" s="46">
        <v>0</v>
      </c>
      <c r="QE23" s="46">
        <v>0</v>
      </c>
      <c r="QF23" s="46">
        <v>1399700</v>
      </c>
      <c r="QG23" s="46">
        <v>1140235</v>
      </c>
      <c r="QH23" s="46">
        <v>272382</v>
      </c>
      <c r="QI23" s="46">
        <v>573027</v>
      </c>
      <c r="QJ23" s="46">
        <v>0</v>
      </c>
      <c r="QK23" s="46">
        <v>372417</v>
      </c>
      <c r="QL23" s="46">
        <v>0</v>
      </c>
      <c r="QM23" s="46">
        <v>0</v>
      </c>
      <c r="QN23" s="46">
        <v>0</v>
      </c>
      <c r="QO23" s="46">
        <v>0</v>
      </c>
      <c r="QP23" s="46">
        <v>0</v>
      </c>
      <c r="QQ23" s="46">
        <v>0</v>
      </c>
      <c r="QR23" s="46">
        <v>0</v>
      </c>
      <c r="QS23" s="46">
        <v>0</v>
      </c>
      <c r="QT23" s="46">
        <v>1442290</v>
      </c>
      <c r="QU23" s="46">
        <v>0</v>
      </c>
      <c r="QV23" s="46">
        <v>0</v>
      </c>
      <c r="QW23" s="46">
        <v>0</v>
      </c>
      <c r="QX23" s="46">
        <v>0</v>
      </c>
      <c r="QY23" s="46">
        <v>0</v>
      </c>
      <c r="QZ23" s="46">
        <v>0</v>
      </c>
      <c r="RA23" s="46">
        <v>0</v>
      </c>
      <c r="RB23" s="46">
        <v>0</v>
      </c>
      <c r="RC23" s="46">
        <v>0</v>
      </c>
      <c r="RD23" s="46">
        <v>0</v>
      </c>
      <c r="RE23" s="46">
        <v>0</v>
      </c>
      <c r="RF23" s="46">
        <v>0</v>
      </c>
      <c r="RG23" s="46">
        <v>0</v>
      </c>
      <c r="RH23" s="46">
        <v>0</v>
      </c>
      <c r="RI23" s="46">
        <v>0</v>
      </c>
      <c r="RJ23" s="46">
        <v>0</v>
      </c>
      <c r="RK23" s="46">
        <v>0</v>
      </c>
      <c r="RL23" s="46">
        <v>0</v>
      </c>
      <c r="RM23" s="46">
        <v>0</v>
      </c>
      <c r="RN23" s="46">
        <v>0</v>
      </c>
      <c r="RO23" s="46">
        <v>-11570630</v>
      </c>
      <c r="RP23" s="46">
        <v>0</v>
      </c>
      <c r="RQ23" s="46">
        <v>0</v>
      </c>
      <c r="RR23" s="46">
        <v>0</v>
      </c>
      <c r="RS23" s="46">
        <v>0</v>
      </c>
      <c r="RT23" s="46">
        <v>0</v>
      </c>
      <c r="RU23" s="46">
        <v>0</v>
      </c>
      <c r="RV23" s="46">
        <v>0</v>
      </c>
      <c r="RW23" s="46">
        <v>0</v>
      </c>
      <c r="RX23" s="46">
        <v>0</v>
      </c>
      <c r="RY23" s="46">
        <v>0</v>
      </c>
      <c r="RZ23" s="46">
        <v>0</v>
      </c>
      <c r="SA23" s="46">
        <v>0</v>
      </c>
      <c r="SB23" s="46">
        <v>0</v>
      </c>
      <c r="SC23" s="46">
        <v>0</v>
      </c>
      <c r="SD23" s="46">
        <v>0</v>
      </c>
      <c r="SE23" s="46">
        <v>0</v>
      </c>
      <c r="SF23" s="46">
        <v>0</v>
      </c>
      <c r="SG23" s="46">
        <v>0</v>
      </c>
      <c r="SH23" s="46">
        <v>0</v>
      </c>
      <c r="SI23" s="46">
        <v>0</v>
      </c>
      <c r="SJ23" s="46">
        <v>0</v>
      </c>
      <c r="SK23" s="46">
        <v>0</v>
      </c>
      <c r="SL23" s="46">
        <v>0</v>
      </c>
      <c r="SM23" s="46">
        <v>0</v>
      </c>
      <c r="SN23" s="46">
        <v>0</v>
      </c>
      <c r="SO23" s="46">
        <v>0</v>
      </c>
      <c r="SP23" s="46">
        <v>0</v>
      </c>
      <c r="SQ23" s="46">
        <v>2374707</v>
      </c>
      <c r="SR23" s="46">
        <v>575631</v>
      </c>
      <c r="SS23" s="46">
        <v>13450</v>
      </c>
      <c r="ST23" s="46">
        <v>464508</v>
      </c>
      <c r="SU23" s="46">
        <v>0</v>
      </c>
      <c r="SV23" s="46">
        <v>0</v>
      </c>
      <c r="SW23" s="46">
        <v>0</v>
      </c>
      <c r="SX23" s="46">
        <v>0</v>
      </c>
      <c r="SY23" s="46">
        <v>0</v>
      </c>
      <c r="SZ23" s="46">
        <v>160234</v>
      </c>
      <c r="TA23" s="46">
        <v>1305181</v>
      </c>
      <c r="TB23" s="46">
        <v>0</v>
      </c>
      <c r="TC23" s="46">
        <v>0</v>
      </c>
      <c r="TD23" s="46">
        <v>441971</v>
      </c>
      <c r="TE23" s="46">
        <v>16990</v>
      </c>
      <c r="TF23" s="46">
        <v>7125</v>
      </c>
      <c r="TG23" s="46">
        <v>1483346</v>
      </c>
      <c r="TH23" s="46">
        <v>0</v>
      </c>
      <c r="TI23" s="46">
        <v>13449</v>
      </c>
      <c r="TJ23" s="46">
        <v>0</v>
      </c>
      <c r="TK23" s="46">
        <v>0</v>
      </c>
      <c r="TL23" s="46">
        <v>0</v>
      </c>
      <c r="TM23" s="46">
        <v>0</v>
      </c>
      <c r="TN23" s="46">
        <v>0</v>
      </c>
      <c r="TO23" s="46">
        <v>0</v>
      </c>
      <c r="TP23" s="46">
        <v>0</v>
      </c>
      <c r="TQ23" s="46">
        <v>0</v>
      </c>
      <c r="TR23" s="46">
        <v>0</v>
      </c>
      <c r="TS23" s="46">
        <v>0</v>
      </c>
      <c r="TT23" s="46">
        <v>0</v>
      </c>
      <c r="TU23" s="46">
        <v>0</v>
      </c>
      <c r="TV23" s="46">
        <v>0</v>
      </c>
      <c r="TW23" s="46">
        <v>0</v>
      </c>
      <c r="TX23" s="46">
        <v>0</v>
      </c>
      <c r="TY23" s="46">
        <v>0</v>
      </c>
      <c r="TZ23" s="46">
        <v>0</v>
      </c>
      <c r="UA23" s="46">
        <v>0</v>
      </c>
      <c r="UB23" s="46">
        <v>0</v>
      </c>
      <c r="UC23" s="46">
        <v>0</v>
      </c>
      <c r="UD23" s="46">
        <v>0</v>
      </c>
      <c r="UE23" s="46">
        <v>40653281</v>
      </c>
      <c r="UF23" s="46">
        <v>8717681</v>
      </c>
      <c r="UG23" s="46">
        <v>3199614</v>
      </c>
      <c r="UH23" s="46">
        <v>0</v>
      </c>
      <c r="UI23" s="46">
        <v>26906889</v>
      </c>
      <c r="UJ23" s="46">
        <v>16429118</v>
      </c>
      <c r="UK23" s="46">
        <v>10751812</v>
      </c>
      <c r="UL23" s="46">
        <v>19137316</v>
      </c>
      <c r="UM23" s="46">
        <v>22903677</v>
      </c>
      <c r="UN23" s="46">
        <v>14463345</v>
      </c>
      <c r="UO2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3428296</v>
      </c>
      <c r="UP23" s="46">
        <f>SUM(Input[[#This Row],[Oth Exp E&amp;G]],Input[[#This Row],[Oth Exp Desg]],Input[[#This Row],[Oth Exp Aux]],Input[[#This Row],[Oth Exp R Exp]],Input[[#This Row],[Oth Exp Loan]],Input[[#This Row],[Oth Exp Annuity]],Input[[#This Row],[Oth Exp Unexp]],Input[[#This Row],[Oth Exp R of Ind]],Input[[#This Row],[Oth Exp Inv in P]])</f>
        <v>56593187</v>
      </c>
      <c r="UQ23" s="46"/>
      <c r="UR23" s="46"/>
      <c r="US23" s="8" t="s">
        <v>742</v>
      </c>
      <c r="UT23" s="47">
        <v>9798459761</v>
      </c>
      <c r="UU23" s="8" t="s">
        <v>71</v>
      </c>
      <c r="UV23" s="8" t="s">
        <v>781</v>
      </c>
      <c r="UW23" s="47">
        <v>9563262433</v>
      </c>
      <c r="UX23" s="8" t="s">
        <v>782</v>
      </c>
      <c r="UY23" s="51" cm="1">
        <f t="array" ref="UY23">IFERROR(_xlfn.IFS(Input[[#This Row],[Type]]="HRI",SUMIFS('FTSE | FTFE'!$P$8:$P$77,'FTSE | FTFE'!$H$8:$H$77,A23),Input[[#This Row],[Type]]="UNIV",SUMIFS('FTSE | FTFE'!$P$104:$P$139,'FTSE | FTFE'!$H$104:$H$139,A23),OR(Input[[#This Row],[Type]]="TSTC",Input[[#This Row],[Type]]="LSC"),SUMIFS('FTSE | FTFE'!$O$88:$O$96,'FTSE | FTFE'!$H$88:$H$96,A23),Input[[#This Row],[Type]]="AHM",SUMIFS(Hidden!$H$42:$H$45,Hidden!$G$42:$G$45,A23)),"N/A")</f>
        <v>7562</v>
      </c>
      <c r="UZ23" s="51" cm="1">
        <f t="array" ref="UZ23">IFERROR(_xlfn.IFS(Input[[#This Row],[Type]]="HRI",SUMIFS('FTSE | FTFE'!$Q$8:$Q$77,'FTSE | FTFE'!$H$8:$H$77,A23),Input[[#This Row],[Type]]="UNIV",SUMIFS('FTSE | FTFE'!$Q$104:$Q$139,'FTSE | FTFE'!$H$104:$H$139,A23),OR(Input[[#This Row],[Type]]="TSTC",Input[[#This Row],[Type]]="LSC"),SUMIFS('FTSE | FTFE'!$P$88:$P$96,'FTSE | FTFE'!$H$88:$H$96,A23)),"N/A")</f>
        <v>142</v>
      </c>
      <c r="VA2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72606639</v>
      </c>
      <c r="VB2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7687534</v>
      </c>
      <c r="VC23" s="46">
        <f>SUM(Input[[#This Row],[Fed G&amp;C E&amp;G]],Input[[#This Row],[Fed G&amp;C Desg]],Input[[#This Row],[Fed G&amp;C R Exp]],Input[[#This Row],[Fed G&amp;C Loan]],Input[[#This Row],[Fed G&amp;C Annuity]],Input[[#This Row],[Fed G&amp;C Unexp]],Input[[#This Row],[Fed G&amp;C R of Ind]],Input[[#This Row],[Fed G&amp;C Inv in P]])</f>
        <v>41922703</v>
      </c>
      <c r="VD2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77871210</v>
      </c>
      <c r="VE2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14607250</v>
      </c>
      <c r="VF2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11907129</v>
      </c>
      <c r="VG23" s="46">
        <f>SUM(Input[[#This Row],[Oth Inc E&amp;G]],Input[[#This Row],[Oth Exp Desg]],Input[[#This Row],[Oth Exp R Exp]],Input[[#This Row],[Oth Exp Loan]],Input[[#This Row],[Oth Exp Annuity]],Input[[#This Row],[Oth Exp Unexp]],Input[[#This Row],[Oth Exp R of Ind]],Input[[#This Row],[Oth Exp Inv in P]])</f>
        <v>56451821</v>
      </c>
      <c r="VH23" s="46">
        <f>SUM(Input[[#This Row],[Instr E&amp;G]],Input[[#This Row],[Instr Desg]],Input[[#This Row],[Instr R Exp]],Input[[#This Row],[Instr Loan]],Input[[#This Row],[Instr Annuity]],Input[[#This Row],[Instr Unexp]],Input[[#This Row],[Instr R of Ind]],Input[[#This Row],[Instr Inv in P]])</f>
        <v>40653281</v>
      </c>
      <c r="VI23" s="46">
        <f>SUM(Input[[#This Row],[Res E&amp;G]],Input[[#This Row],[Res Desg]],Input[[#This Row],[Res R Exp]],Input[[#This Row],[Res Loan]],Input[[#This Row],[Res Annuity]],Input[[#This Row],[Res Unexp]],Input[[#This Row],[Res R of Ind]],Input[[#This Row],[Res Inv in P]])</f>
        <v>8717681</v>
      </c>
      <c r="VJ23" s="46">
        <f>SUM(Input[[#This Row],[Acad Sup E&amp;G]],Input[[#This Row],[Acad Sup Desg]],Input[[#This Row],[Acad Sup R Exp]],Input[[#This Row],[Acad Sup Loan]],Input[[#This Row],[Acad Sup Annuity]],Input[[#This Row],[Acad Sup Unexp]],Input[[#This Row],[Acad Sup R of Ind]],Input[[#This Row],[Acad Sup Inv in P]])</f>
        <v>26906889</v>
      </c>
      <c r="VK23" s="46">
        <f>SUM(Input[[#This Row],[Stu Svc E&amp;G]],Input[[#This Row],[Stu Svc Desg]],Input[[#This Row],[Stu Svc R Exp]],Input[[#This Row],[Stu Svc Loan]],Input[[#This Row],[Stu Svc Annuity]],Input[[#This Row],[Stu Svc Unexp]],Input[[#This Row],[Stu Svc R of Ind]],Input[[#This Row],[Stu Svc Inv in P]])</f>
        <v>16429118</v>
      </c>
      <c r="VL23" s="46">
        <f>SUM(Input[[#This Row],[Inst. Spt E&amp;G]],Input[[#This Row],[Inst. Spt Desg]],Input[[#This Row],[Inst. Spt R Exp]],Input[[#This Row],[Inst. Spt Loan]],Input[[#This Row],[Inst. Spt Annuity]],Input[[#This Row],[Inst. Spt Unexp]],Input[[#This Row],[Inst. Spt R of Ind]],Input[[#This Row],[Inst. Spt Inv in P]])</f>
        <v>10751812</v>
      </c>
      <c r="VM23" s="46">
        <f>SUM(Input[[#This Row],[M&amp;O Plnt E&amp;G]],Input[[#This Row],[M&amp;O Plnt Desg]],Input[[#This Row],[M&amp;O Plnt R Exp]],Input[[#This Row],[M&amp;O Plnt Loan]],Input[[#This Row],[M&amp;O Plnt Annuity]],Input[[#This Row],[M&amp;O Plnt Unexp]],Input[[#This Row],[M&amp;O Plnt R of Ind]],Input[[#This Row],[M&amp;O Plnt Inv in P]])</f>
        <v>19137316</v>
      </c>
      <c r="VN23" s="46">
        <f>SUM(Input[[#This Row],[Schl &amp; Fell E&amp;G]],Input[[#This Row],[Schl &amp; Fell Desg]],Input[[#This Row],[Schl &amp; Fell R Exp]],Input[[#This Row],[Schl &amp; Fell Loan]],Input[[#This Row],[Schl &amp; Fell Annuity]],Input[[#This Row],[Schl &amp; Fell Unexp]],Input[[#This Row],[Schl &amp; Fell R of Ind]],Input[[#This Row],[Schl &amp; Fell Inv in P]])</f>
        <v>22903677</v>
      </c>
      <c r="VO23" s="46">
        <f>SUM(Input[[#This Row],[Cap Out fund E&amp;G]],Input[[#This Row],[Cap Out fund Desg]],Input[[#This Row],[Cap Out fund R Exp]],Input[[#This Row],[Cap Out fund Loan]],Input[[#This Row],[Cap Out fund Annuity]],Input[[#This Row],[Cap Out fund Unexp]],Input[[#This Row],[Cap Out fund R of Ind]],Input[[#This Row],[Cap Out fund Inv in P]])</f>
        <v>3414846</v>
      </c>
      <c r="VP23" s="46">
        <f>SUM(Input[[#This Row],[Oth Exp E&amp;G]],Input[[#This Row],[Oth Exp Desg]],Input[[#This Row],[Oth Exp R Exp]],Input[[#This Row],[Oth Exp Loan]],Input[[#This Row],[Oth Exp Annuity]],Input[[#This Row],[Oth Exp Unexp]],Input[[#This Row],[Oth Exp R of Ind]],Input[[#This Row],[Oth Exp Inv in P]],Input[[#This Row],[Oth Exp Inv in P]])</f>
        <v>56460599</v>
      </c>
    </row>
    <row r="24" spans="1:588" ht="30" customHeight="1" x14ac:dyDescent="0.3">
      <c r="A24" s="15" t="s">
        <v>11</v>
      </c>
      <c r="B24" s="36" t="s">
        <v>124</v>
      </c>
      <c r="C24" s="36" t="s">
        <v>110</v>
      </c>
      <c r="D24" s="36">
        <v>211</v>
      </c>
      <c r="E24" s="36" t="s">
        <v>132</v>
      </c>
      <c r="F24" s="95" cm="1">
        <f t="array" ref="F24">IFERROR(_xlfn.IFS(Input[[#This Row],[Type]]="HRI",SUMIFS('FTSE | FTFE'!$I$8:$I$77,'FTSE | FTFE'!$H$8:$H$77,A24),Input[[#This Row],[Type]]="UNIV",SUMIFS('FTSE | FTFE'!$I$104:$I$139,'FTSE | FTFE'!$H$104:$H$139,A24),OR(Input[[#This Row],[Type]]="TSTC",Input[[#This Row],[Type]]="LSC"),SUMIFS('FTSE | FTFE'!$I$88:$I$96,'FTSE | FTFE'!$H$88:$H$96,A24)),"N/A")</f>
        <v>3665</v>
      </c>
      <c r="G24" s="46">
        <v>59021816</v>
      </c>
      <c r="H24" s="46">
        <v>0</v>
      </c>
      <c r="I24" s="46">
        <v>0</v>
      </c>
      <c r="J24" s="46">
        <v>0</v>
      </c>
      <c r="K24" s="46">
        <v>0</v>
      </c>
      <c r="L24" s="46">
        <v>0</v>
      </c>
      <c r="M24" s="46">
        <v>0</v>
      </c>
      <c r="N24" s="46">
        <v>0</v>
      </c>
      <c r="O24" s="46">
        <v>0</v>
      </c>
      <c r="P24" s="46">
        <v>111012</v>
      </c>
      <c r="Q24" s="46">
        <v>46000</v>
      </c>
      <c r="R24" s="46">
        <v>0</v>
      </c>
      <c r="S24" s="46">
        <v>9088131</v>
      </c>
      <c r="T24" s="46">
        <v>0</v>
      </c>
      <c r="U24" s="46">
        <v>0</v>
      </c>
      <c r="V24" s="46">
        <v>0</v>
      </c>
      <c r="W24" s="46">
        <v>0</v>
      </c>
      <c r="X24" s="46">
        <v>0</v>
      </c>
      <c r="Y24" s="46">
        <v>7671155</v>
      </c>
      <c r="Z24" s="46">
        <v>0</v>
      </c>
      <c r="AA24" s="46">
        <v>0</v>
      </c>
      <c r="AB24" s="46">
        <v>0</v>
      </c>
      <c r="AC24" s="46">
        <v>0</v>
      </c>
      <c r="AD24" s="46">
        <v>0</v>
      </c>
      <c r="AE24" s="46">
        <v>0</v>
      </c>
      <c r="AF24" s="46">
        <v>0</v>
      </c>
      <c r="AG24" s="46">
        <v>0</v>
      </c>
      <c r="AH24" s="46">
        <v>0</v>
      </c>
      <c r="AI24" s="46">
        <v>0</v>
      </c>
      <c r="AJ24" s="46">
        <v>0</v>
      </c>
      <c r="AK24" s="46">
        <v>0</v>
      </c>
      <c r="AL24" s="46">
        <v>0</v>
      </c>
      <c r="AM24" s="46">
        <v>0</v>
      </c>
      <c r="AN24" s="46">
        <v>0</v>
      </c>
      <c r="AO24" s="46">
        <v>0</v>
      </c>
      <c r="AP24" s="46">
        <v>0</v>
      </c>
      <c r="AQ24" s="46">
        <v>-11424531</v>
      </c>
      <c r="AR24" s="46">
        <v>0</v>
      </c>
      <c r="AS24" s="46">
        <v>0</v>
      </c>
      <c r="AT24" s="46">
        <v>0</v>
      </c>
      <c r="AU24" s="46">
        <v>0</v>
      </c>
      <c r="AV24" s="46">
        <v>0</v>
      </c>
      <c r="AW24" s="46">
        <v>0</v>
      </c>
      <c r="AX24" s="46">
        <v>0</v>
      </c>
      <c r="AY24" s="46">
        <v>0</v>
      </c>
      <c r="AZ24" s="46">
        <v>0</v>
      </c>
      <c r="BA24" s="46">
        <v>0</v>
      </c>
      <c r="BB24" s="46">
        <v>0</v>
      </c>
      <c r="BC24" s="46">
        <v>0</v>
      </c>
      <c r="BD24" s="46">
        <v>0</v>
      </c>
      <c r="BE24" s="46">
        <v>0</v>
      </c>
      <c r="BF24" s="46">
        <v>0</v>
      </c>
      <c r="BG24" s="46">
        <v>0</v>
      </c>
      <c r="BH24" s="46">
        <v>0</v>
      </c>
      <c r="BI24" s="46">
        <v>0</v>
      </c>
      <c r="BJ24" s="46">
        <v>0</v>
      </c>
      <c r="BK24" s="46">
        <v>0</v>
      </c>
      <c r="BL24" s="46">
        <v>0</v>
      </c>
      <c r="BM24" s="46">
        <v>0</v>
      </c>
      <c r="BN24" s="46">
        <v>0</v>
      </c>
      <c r="BO24" s="46">
        <v>0</v>
      </c>
      <c r="BP24" s="46">
        <v>0</v>
      </c>
      <c r="BQ24" s="46">
        <v>0</v>
      </c>
      <c r="BR24" s="46">
        <v>0</v>
      </c>
      <c r="BS24" s="46">
        <v>0</v>
      </c>
      <c r="BT24" s="46">
        <v>0</v>
      </c>
      <c r="BU24" s="46">
        <v>0</v>
      </c>
      <c r="BV24" s="46">
        <v>0</v>
      </c>
      <c r="BW24" s="46">
        <v>0</v>
      </c>
      <c r="BX24" s="46">
        <v>0</v>
      </c>
      <c r="BY24" s="46">
        <v>0</v>
      </c>
      <c r="BZ24" s="46">
        <v>0</v>
      </c>
      <c r="CA24" s="46">
        <v>13487695</v>
      </c>
      <c r="CB24" s="46">
        <v>42274146</v>
      </c>
      <c r="CC24" s="46">
        <v>0</v>
      </c>
      <c r="CD24" s="46">
        <v>0</v>
      </c>
      <c r="CE24" s="46">
        <v>0</v>
      </c>
      <c r="CF24" s="46">
        <v>0</v>
      </c>
      <c r="CG24" s="46">
        <v>0</v>
      </c>
      <c r="CH24" s="46">
        <v>0</v>
      </c>
      <c r="CI24" s="46">
        <v>0</v>
      </c>
      <c r="CJ24" s="46">
        <v>0</v>
      </c>
      <c r="CK24" s="46">
        <v>0</v>
      </c>
      <c r="CL24" s="46">
        <v>0</v>
      </c>
      <c r="CM24" s="46">
        <v>0</v>
      </c>
      <c r="CN24" s="46">
        <v>0</v>
      </c>
      <c r="CO24" s="46">
        <v>0</v>
      </c>
      <c r="CP24" s="46">
        <v>0</v>
      </c>
      <c r="CQ24" s="46">
        <v>0</v>
      </c>
      <c r="CR24" s="46">
        <v>0</v>
      </c>
      <c r="CS24" s="46">
        <v>0</v>
      </c>
      <c r="CT24" s="46">
        <v>0</v>
      </c>
      <c r="CU24" s="46">
        <v>0</v>
      </c>
      <c r="CV24" s="46">
        <v>0</v>
      </c>
      <c r="CW24" s="46">
        <v>0</v>
      </c>
      <c r="CX24" s="46">
        <v>0</v>
      </c>
      <c r="CY24" s="46">
        <v>0</v>
      </c>
      <c r="CZ24" s="46">
        <v>0</v>
      </c>
      <c r="DA24" s="46">
        <v>0</v>
      </c>
      <c r="DB24" s="46">
        <v>-824198</v>
      </c>
      <c r="DC24" s="46">
        <v>-4837506</v>
      </c>
      <c r="DD24" s="46">
        <v>0</v>
      </c>
      <c r="DE24" s="46">
        <v>0</v>
      </c>
      <c r="DF24" s="46">
        <v>0</v>
      </c>
      <c r="DG24" s="46">
        <v>0</v>
      </c>
      <c r="DH24" s="46">
        <v>0</v>
      </c>
      <c r="DI24" s="46">
        <v>0</v>
      </c>
      <c r="DJ24" s="46">
        <v>0</v>
      </c>
      <c r="DK24" s="46">
        <v>0</v>
      </c>
      <c r="DL24" s="46">
        <v>0</v>
      </c>
      <c r="DM24" s="46">
        <v>0</v>
      </c>
      <c r="DN24" s="46">
        <v>0</v>
      </c>
      <c r="DO24" s="46">
        <v>0</v>
      </c>
      <c r="DP24" s="46">
        <v>0</v>
      </c>
      <c r="DQ24" s="46">
        <v>0</v>
      </c>
      <c r="DR24" s="46">
        <v>0</v>
      </c>
      <c r="DS24" s="46">
        <v>0</v>
      </c>
      <c r="DT24" s="46">
        <v>-4138765</v>
      </c>
      <c r="DU24" s="46">
        <v>-10717785</v>
      </c>
      <c r="DV24" s="46">
        <v>0</v>
      </c>
      <c r="DW24" s="46">
        <v>0</v>
      </c>
      <c r="DX24" s="46">
        <v>0</v>
      </c>
      <c r="DY24" s="46">
        <v>0</v>
      </c>
      <c r="DZ24" s="46">
        <v>0</v>
      </c>
      <c r="EA24" s="46">
        <v>0</v>
      </c>
      <c r="EB24" s="46">
        <v>0</v>
      </c>
      <c r="EC24" s="46">
        <v>0</v>
      </c>
      <c r="ED24" s="46">
        <v>0</v>
      </c>
      <c r="EE24" s="46">
        <v>0</v>
      </c>
      <c r="EF24" s="46">
        <v>0</v>
      </c>
      <c r="EG24" s="46">
        <v>0</v>
      </c>
      <c r="EH24" s="46">
        <v>0</v>
      </c>
      <c r="EI24" s="46">
        <v>0</v>
      </c>
      <c r="EJ24" s="46">
        <v>0</v>
      </c>
      <c r="EK24" s="46">
        <v>0</v>
      </c>
      <c r="EL24" s="46">
        <v>0</v>
      </c>
      <c r="EM24" s="46">
        <v>0</v>
      </c>
      <c r="EN24" s="46">
        <v>0</v>
      </c>
      <c r="EO24" s="46">
        <v>0</v>
      </c>
      <c r="EP24" s="46">
        <v>0</v>
      </c>
      <c r="EQ24" s="46">
        <v>0</v>
      </c>
      <c r="ER24" s="46">
        <v>0</v>
      </c>
      <c r="ES24" s="46">
        <v>0</v>
      </c>
      <c r="ET24" s="46">
        <v>0</v>
      </c>
      <c r="EU24" s="46">
        <v>0</v>
      </c>
      <c r="EV24" s="46">
        <v>0</v>
      </c>
      <c r="EW24" s="46">
        <v>0</v>
      </c>
      <c r="EX24" s="46">
        <v>0</v>
      </c>
      <c r="EY24" s="46">
        <v>0</v>
      </c>
      <c r="EZ24" s="46">
        <v>0</v>
      </c>
      <c r="FA24" s="46">
        <v>0</v>
      </c>
      <c r="FB24" s="46">
        <v>0</v>
      </c>
      <c r="FC24" s="46">
        <v>0</v>
      </c>
      <c r="FD24" s="46">
        <v>0</v>
      </c>
      <c r="FE24" s="46">
        <v>0</v>
      </c>
      <c r="FF24" s="46">
        <v>0</v>
      </c>
      <c r="FG24" s="46">
        <v>0</v>
      </c>
      <c r="FH24" s="46">
        <v>0</v>
      </c>
      <c r="FI24" s="46">
        <v>0</v>
      </c>
      <c r="FJ24" s="46">
        <v>0</v>
      </c>
      <c r="FK24" s="46">
        <v>0</v>
      </c>
      <c r="FL24" s="46">
        <v>0</v>
      </c>
      <c r="FM24" s="46">
        <v>11099</v>
      </c>
      <c r="FN24" s="46">
        <v>17681069</v>
      </c>
      <c r="FO24" s="46">
        <v>12413526</v>
      </c>
      <c r="FP24" s="46">
        <v>0</v>
      </c>
      <c r="FQ24" s="46">
        <v>0</v>
      </c>
      <c r="FR24" s="46">
        <v>0</v>
      </c>
      <c r="FS24" s="46">
        <v>0</v>
      </c>
      <c r="FT24" s="46">
        <v>0</v>
      </c>
      <c r="FU24" s="46">
        <v>0</v>
      </c>
      <c r="FV24" s="46">
        <v>0</v>
      </c>
      <c r="FW24" s="46">
        <v>0</v>
      </c>
      <c r="FX24" s="46">
        <v>0</v>
      </c>
      <c r="FY24" s="46">
        <v>0</v>
      </c>
      <c r="FZ24" s="46">
        <v>0</v>
      </c>
      <c r="GA24" s="46">
        <v>0</v>
      </c>
      <c r="GB24" s="46">
        <v>0</v>
      </c>
      <c r="GC24" s="46">
        <v>0</v>
      </c>
      <c r="GD24" s="46">
        <v>0</v>
      </c>
      <c r="GE24" s="46">
        <v>0</v>
      </c>
      <c r="GF24" s="46">
        <v>0</v>
      </c>
      <c r="GG24" s="46">
        <v>0</v>
      </c>
      <c r="GH24" s="46">
        <v>0</v>
      </c>
      <c r="GI24" s="46">
        <v>0</v>
      </c>
      <c r="GJ24" s="46">
        <v>0</v>
      </c>
      <c r="GK24" s="46">
        <v>0</v>
      </c>
      <c r="GL24" s="46">
        <v>0</v>
      </c>
      <c r="GM24" s="46">
        <v>0</v>
      </c>
      <c r="GN24" s="46">
        <v>0</v>
      </c>
      <c r="GO24" s="46">
        <v>0</v>
      </c>
      <c r="GP24" s="46">
        <v>-3322351</v>
      </c>
      <c r="GQ24" s="46">
        <v>0</v>
      </c>
      <c r="GR24" s="46">
        <v>0</v>
      </c>
      <c r="GS24" s="46">
        <v>0</v>
      </c>
      <c r="GT24" s="46">
        <v>0</v>
      </c>
      <c r="GU24" s="46">
        <v>0</v>
      </c>
      <c r="GV24" s="46">
        <v>0</v>
      </c>
      <c r="GW24" s="46">
        <v>0</v>
      </c>
      <c r="GX24" s="46">
        <v>0</v>
      </c>
      <c r="GY24" s="46">
        <v>0</v>
      </c>
      <c r="GZ24" s="46">
        <v>0</v>
      </c>
      <c r="HA24" s="46">
        <v>0</v>
      </c>
      <c r="HB24" s="46">
        <v>0</v>
      </c>
      <c r="HC24" s="46">
        <v>0</v>
      </c>
      <c r="HD24" s="46">
        <v>0</v>
      </c>
      <c r="HE24" s="46">
        <v>0</v>
      </c>
      <c r="HF24" s="46">
        <v>-4084</v>
      </c>
      <c r="HG24" s="46">
        <v>-6505966</v>
      </c>
      <c r="HH24" s="46">
        <v>-1245358</v>
      </c>
      <c r="HI24" s="46">
        <v>0</v>
      </c>
      <c r="HJ24" s="46">
        <v>0</v>
      </c>
      <c r="HK24" s="46">
        <v>0</v>
      </c>
      <c r="HL24" s="46">
        <v>0</v>
      </c>
      <c r="HM24" s="46">
        <v>0</v>
      </c>
      <c r="HN24" s="46">
        <v>0</v>
      </c>
      <c r="HO24" s="46">
        <v>0</v>
      </c>
      <c r="HP24" s="46">
        <v>494658</v>
      </c>
      <c r="HQ24" s="46">
        <v>0</v>
      </c>
      <c r="HR24" s="46">
        <v>24625435</v>
      </c>
      <c r="HS24" s="46">
        <v>0</v>
      </c>
      <c r="HT24" s="46">
        <v>0</v>
      </c>
      <c r="HU24" s="46">
        <v>0</v>
      </c>
      <c r="HV24" s="46">
        <v>0</v>
      </c>
      <c r="HW24" s="46">
        <v>0</v>
      </c>
      <c r="HX24" s="46">
        <v>0</v>
      </c>
      <c r="HY24" s="46">
        <v>0</v>
      </c>
      <c r="HZ24" s="46">
        <v>0</v>
      </c>
      <c r="IA24" s="46">
        <v>0</v>
      </c>
      <c r="IB24" s="46">
        <v>0</v>
      </c>
      <c r="IC24" s="46">
        <v>0</v>
      </c>
      <c r="ID24" s="46">
        <v>0</v>
      </c>
      <c r="IE24" s="46">
        <v>0</v>
      </c>
      <c r="IF24" s="46">
        <v>0</v>
      </c>
      <c r="IG24" s="46">
        <v>0</v>
      </c>
      <c r="IH24" s="46">
        <v>0</v>
      </c>
      <c r="II24" s="46">
        <v>0</v>
      </c>
      <c r="IJ24" s="46">
        <v>0</v>
      </c>
      <c r="IK24" s="46">
        <v>0</v>
      </c>
      <c r="IL24" s="46">
        <v>0</v>
      </c>
      <c r="IM24" s="46">
        <v>0</v>
      </c>
      <c r="IN24" s="46">
        <v>0</v>
      </c>
      <c r="IO24" s="46">
        <v>0</v>
      </c>
      <c r="IP24" s="46">
        <v>146896</v>
      </c>
      <c r="IQ24" s="46">
        <v>8786012</v>
      </c>
      <c r="IR24" s="46">
        <v>0</v>
      </c>
      <c r="IS24" s="46">
        <v>1101247</v>
      </c>
      <c r="IT24" s="46">
        <v>351517</v>
      </c>
      <c r="IU24" s="46">
        <v>2230</v>
      </c>
      <c r="IV24" s="46">
        <v>1703660</v>
      </c>
      <c r="IW24" s="46">
        <v>0</v>
      </c>
      <c r="IX24" s="46">
        <v>0</v>
      </c>
      <c r="IY24" s="46">
        <v>0</v>
      </c>
      <c r="IZ24" s="46">
        <v>0</v>
      </c>
      <c r="JA24" s="46">
        <v>0</v>
      </c>
      <c r="JB24" s="46">
        <v>0</v>
      </c>
      <c r="JC24" s="46">
        <v>0</v>
      </c>
      <c r="JD24" s="46">
        <v>0</v>
      </c>
      <c r="JE24" s="46">
        <v>0</v>
      </c>
      <c r="JF24" s="46">
        <v>0</v>
      </c>
      <c r="JG24" s="46">
        <v>0</v>
      </c>
      <c r="JH24" s="46">
        <v>0</v>
      </c>
      <c r="JI24" s="46">
        <v>790289</v>
      </c>
      <c r="JJ24" s="46">
        <v>460364</v>
      </c>
      <c r="JK24" s="46">
        <v>9208856</v>
      </c>
      <c r="JL24" s="46">
        <v>0</v>
      </c>
      <c r="JM24" s="46">
        <v>68055</v>
      </c>
      <c r="JN24" s="46">
        <v>22000</v>
      </c>
      <c r="JO24" s="46">
        <v>0</v>
      </c>
      <c r="JP24" s="46">
        <v>0</v>
      </c>
      <c r="JQ24" s="46">
        <v>9251</v>
      </c>
      <c r="JR24" s="46">
        <v>11273468</v>
      </c>
      <c r="JS24" s="46">
        <v>0</v>
      </c>
      <c r="JT24" s="46">
        <v>1384606</v>
      </c>
      <c r="JU24" s="46">
        <v>0</v>
      </c>
      <c r="JV24" s="46">
        <v>500</v>
      </c>
      <c r="JW24" s="46">
        <v>5602200</v>
      </c>
      <c r="JX24" s="46">
        <v>0</v>
      </c>
      <c r="JY24" s="46">
        <v>0</v>
      </c>
      <c r="JZ24" s="46">
        <v>0</v>
      </c>
      <c r="KA24" s="46">
        <v>0</v>
      </c>
      <c r="KB24" s="46">
        <v>14241899</v>
      </c>
      <c r="KC24" s="46">
        <v>0</v>
      </c>
      <c r="KD24" s="46">
        <v>0</v>
      </c>
      <c r="KE24" s="46">
        <v>0</v>
      </c>
      <c r="KF24" s="46">
        <v>0</v>
      </c>
      <c r="KG24" s="46">
        <v>0</v>
      </c>
      <c r="KH24" s="46">
        <v>0</v>
      </c>
      <c r="KI24" s="46">
        <v>70090</v>
      </c>
      <c r="KJ24" s="46">
        <v>1411799</v>
      </c>
      <c r="KK24" s="46">
        <v>156211</v>
      </c>
      <c r="KL24" s="46">
        <v>1500</v>
      </c>
      <c r="KM24" s="46">
        <v>21084</v>
      </c>
      <c r="KN24" s="46">
        <v>0</v>
      </c>
      <c r="KO24" s="46">
        <v>17000</v>
      </c>
      <c r="KP24" s="46">
        <v>0</v>
      </c>
      <c r="KQ24" s="46">
        <v>11583281</v>
      </c>
      <c r="KR24" s="46">
        <v>30617103</v>
      </c>
      <c r="KS24" s="46">
        <v>13709370</v>
      </c>
      <c r="KT24" s="46">
        <v>0</v>
      </c>
      <c r="KU24" s="46">
        <v>614981</v>
      </c>
      <c r="KV24" s="46">
        <v>0</v>
      </c>
      <c r="KW24" s="46">
        <v>0</v>
      </c>
      <c r="KX24" s="46">
        <v>0</v>
      </c>
      <c r="KY24" s="46">
        <v>0</v>
      </c>
      <c r="KZ24" s="46">
        <v>0</v>
      </c>
      <c r="LA24" s="46">
        <v>8277799</v>
      </c>
      <c r="LB24" s="46">
        <v>1449262</v>
      </c>
      <c r="LC24" s="46">
        <v>0</v>
      </c>
      <c r="LD24" s="46">
        <v>2647684</v>
      </c>
      <c r="LE24" s="46">
        <v>0</v>
      </c>
      <c r="LF24" s="46">
        <v>0</v>
      </c>
      <c r="LG24" s="46">
        <v>0</v>
      </c>
      <c r="LH24" s="46">
        <v>0</v>
      </c>
      <c r="LI24" s="46">
        <v>0</v>
      </c>
      <c r="LJ24" s="46">
        <v>1146613</v>
      </c>
      <c r="LK24" s="46">
        <v>1276969</v>
      </c>
      <c r="LL24" s="46">
        <v>0</v>
      </c>
      <c r="LM24" s="46">
        <v>2205912</v>
      </c>
      <c r="LN24" s="46">
        <v>0</v>
      </c>
      <c r="LO24" s="46">
        <v>0</v>
      </c>
      <c r="LP24" s="46">
        <v>0</v>
      </c>
      <c r="LQ24" s="46">
        <v>0</v>
      </c>
      <c r="LR24" s="46">
        <v>0</v>
      </c>
      <c r="LS24" s="46">
        <v>0</v>
      </c>
      <c r="LT24" s="46">
        <v>0</v>
      </c>
      <c r="LU24" s="46">
        <v>0</v>
      </c>
      <c r="LV24" s="46">
        <v>0</v>
      </c>
      <c r="LW24" s="46">
        <v>0</v>
      </c>
      <c r="LX24" s="46">
        <v>0</v>
      </c>
      <c r="LY24" s="46">
        <v>0</v>
      </c>
      <c r="LZ24" s="46">
        <v>0</v>
      </c>
      <c r="MA24" s="46">
        <v>0</v>
      </c>
      <c r="MB24" s="46">
        <v>9032684</v>
      </c>
      <c r="MC24" s="46">
        <v>6346464</v>
      </c>
      <c r="MD24" s="46">
        <v>0</v>
      </c>
      <c r="ME24" s="46">
        <v>6260827</v>
      </c>
      <c r="MF24" s="46">
        <v>0</v>
      </c>
      <c r="MG24" s="46">
        <v>0</v>
      </c>
      <c r="MH24" s="46">
        <v>0</v>
      </c>
      <c r="MI24" s="46">
        <v>0</v>
      </c>
      <c r="MJ24" s="46">
        <v>0</v>
      </c>
      <c r="MK24" s="46">
        <v>2389594</v>
      </c>
      <c r="ML24" s="46">
        <v>8804396</v>
      </c>
      <c r="MM24" s="46">
        <v>0</v>
      </c>
      <c r="MN24" s="46">
        <v>637479</v>
      </c>
      <c r="MO24" s="46">
        <v>177179</v>
      </c>
      <c r="MP24" s="46">
        <v>0</v>
      </c>
      <c r="MQ24" s="46">
        <v>0</v>
      </c>
      <c r="MR24" s="46">
        <v>0</v>
      </c>
      <c r="MS24" s="46">
        <v>0</v>
      </c>
      <c r="MT24" s="46">
        <v>6782964</v>
      </c>
      <c r="MU24" s="46">
        <v>8496141</v>
      </c>
      <c r="MV24" s="46">
        <v>0</v>
      </c>
      <c r="MW24" s="46">
        <v>810</v>
      </c>
      <c r="MX24" s="46">
        <v>0</v>
      </c>
      <c r="MY24" s="46">
        <v>0</v>
      </c>
      <c r="MZ24" s="46">
        <v>0</v>
      </c>
      <c r="NA24" s="46">
        <v>0</v>
      </c>
      <c r="NB24" s="46">
        <v>0</v>
      </c>
      <c r="NC24" s="46">
        <v>3564546</v>
      </c>
      <c r="ND24" s="46">
        <v>15351363</v>
      </c>
      <c r="NE24" s="46">
        <v>0</v>
      </c>
      <c r="NF24" s="46">
        <v>16001</v>
      </c>
      <c r="NG24" s="46">
        <v>0</v>
      </c>
      <c r="NH24" s="46">
        <v>0</v>
      </c>
      <c r="NI24" s="46">
        <v>8342590</v>
      </c>
      <c r="NJ24" s="46">
        <v>0</v>
      </c>
      <c r="NK24" s="46">
        <v>0</v>
      </c>
      <c r="NL24" s="46">
        <v>643377</v>
      </c>
      <c r="NM24" s="46">
        <v>6908409</v>
      </c>
      <c r="NN24" s="46">
        <v>0</v>
      </c>
      <c r="NO24" s="46">
        <v>6600586</v>
      </c>
      <c r="NP24" s="46">
        <v>0</v>
      </c>
      <c r="NQ24" s="46">
        <v>43200</v>
      </c>
      <c r="NR24" s="46">
        <v>0</v>
      </c>
      <c r="NS24" s="46">
        <v>0</v>
      </c>
      <c r="NT24" s="46">
        <v>0</v>
      </c>
      <c r="NU24" s="46">
        <v>0</v>
      </c>
      <c r="NV24" s="46">
        <v>0</v>
      </c>
      <c r="NW24" s="46">
        <v>19813579</v>
      </c>
      <c r="NX24" s="46">
        <v>0</v>
      </c>
      <c r="NY24" s="46">
        <v>0</v>
      </c>
      <c r="NZ24" s="46">
        <v>0</v>
      </c>
      <c r="OA24" s="46">
        <v>0</v>
      </c>
      <c r="OB24" s="46">
        <v>0</v>
      </c>
      <c r="OC24" s="46">
        <v>0</v>
      </c>
      <c r="OD24" s="46">
        <v>1235282</v>
      </c>
      <c r="OE24" s="46">
        <v>592089</v>
      </c>
      <c r="OF24" s="46">
        <v>375181</v>
      </c>
      <c r="OG24" s="46">
        <v>213455</v>
      </c>
      <c r="OH24" s="46">
        <v>0</v>
      </c>
      <c r="OI24" s="46">
        <v>0</v>
      </c>
      <c r="OJ24" s="46">
        <v>0</v>
      </c>
      <c r="OK24" s="46">
        <v>0</v>
      </c>
      <c r="OL24" s="46">
        <v>0</v>
      </c>
      <c r="OM24" s="46">
        <v>0</v>
      </c>
      <c r="ON24" s="46">
        <v>545815</v>
      </c>
      <c r="OO24" s="46">
        <v>0</v>
      </c>
      <c r="OP24" s="46">
        <v>997612</v>
      </c>
      <c r="OQ24" s="46">
        <v>0</v>
      </c>
      <c r="OR24" s="46">
        <v>12397188</v>
      </c>
      <c r="OS24" s="46">
        <v>0</v>
      </c>
      <c r="OT24" s="46">
        <v>0</v>
      </c>
      <c r="OU24" s="46">
        <v>-424011</v>
      </c>
      <c r="OV24" s="46">
        <v>0</v>
      </c>
      <c r="OW24" s="46">
        <v>0</v>
      </c>
      <c r="OX24" s="46">
        <v>0</v>
      </c>
      <c r="OY24" s="46">
        <v>0</v>
      </c>
      <c r="OZ24" s="46">
        <v>0</v>
      </c>
      <c r="PA24" s="46">
        <v>0</v>
      </c>
      <c r="PB24" s="46">
        <v>8920743</v>
      </c>
      <c r="PC24" s="46">
        <v>0</v>
      </c>
      <c r="PD24" s="46">
        <v>0</v>
      </c>
      <c r="PE24" s="46">
        <v>3270809</v>
      </c>
      <c r="PF24" s="46">
        <v>13192193</v>
      </c>
      <c r="PG24" s="46">
        <v>6166802</v>
      </c>
      <c r="PH24" s="46">
        <v>-27713152</v>
      </c>
      <c r="PI24" s="46">
        <v>57335</v>
      </c>
      <c r="PJ24" s="46">
        <v>445899</v>
      </c>
      <c r="PK24" s="46">
        <v>7226125</v>
      </c>
      <c r="PL24" s="46">
        <v>0</v>
      </c>
      <c r="PM24" s="46">
        <v>0</v>
      </c>
      <c r="PN24" s="46">
        <v>0</v>
      </c>
      <c r="PO24" s="46">
        <v>0</v>
      </c>
      <c r="PP24" s="46">
        <v>0</v>
      </c>
      <c r="PQ24" s="46">
        <v>0</v>
      </c>
      <c r="PR24" s="46">
        <v>0</v>
      </c>
      <c r="PS24" s="46">
        <v>0</v>
      </c>
      <c r="PT24" s="46">
        <v>0</v>
      </c>
      <c r="PU24" s="46">
        <v>0</v>
      </c>
      <c r="PV24" s="46">
        <v>0</v>
      </c>
      <c r="PW24" s="46">
        <v>-11466085</v>
      </c>
      <c r="PX24" s="46">
        <v>-2647571</v>
      </c>
      <c r="PY24" s="46">
        <v>-8624874</v>
      </c>
      <c r="PZ24" s="46">
        <v>0</v>
      </c>
      <c r="QA24" s="46">
        <v>0</v>
      </c>
      <c r="QB24" s="46">
        <v>0</v>
      </c>
      <c r="QC24" s="46">
        <v>0</v>
      </c>
      <c r="QD24" s="46">
        <v>0</v>
      </c>
      <c r="QE24" s="46">
        <v>0</v>
      </c>
      <c r="QF24" s="46">
        <v>68706</v>
      </c>
      <c r="QG24" s="46">
        <v>2799681</v>
      </c>
      <c r="QH24" s="46">
        <v>248645</v>
      </c>
      <c r="QI24" s="46">
        <v>84713</v>
      </c>
      <c r="QJ24" s="46">
        <v>0</v>
      </c>
      <c r="QK24" s="46">
        <v>-6568793</v>
      </c>
      <c r="QL24" s="46">
        <v>-1347137</v>
      </c>
      <c r="QM24" s="46">
        <v>0</v>
      </c>
      <c r="QN24" s="46">
        <v>0</v>
      </c>
      <c r="QO24" s="46">
        <v>0</v>
      </c>
      <c r="QP24" s="46">
        <v>0</v>
      </c>
      <c r="QQ24" s="46">
        <v>0</v>
      </c>
      <c r="QR24" s="46">
        <v>0</v>
      </c>
      <c r="QS24" s="46">
        <v>0</v>
      </c>
      <c r="QT24" s="46">
        <v>0</v>
      </c>
      <c r="QU24" s="46">
        <v>0</v>
      </c>
      <c r="QV24" s="46">
        <v>0</v>
      </c>
      <c r="QW24" s="46">
        <v>0</v>
      </c>
      <c r="QX24" s="46">
        <v>0</v>
      </c>
      <c r="QY24" s="46">
        <v>0</v>
      </c>
      <c r="QZ24" s="46">
        <v>0</v>
      </c>
      <c r="RA24" s="46">
        <v>0</v>
      </c>
      <c r="RB24" s="46">
        <v>0</v>
      </c>
      <c r="RC24" s="46">
        <v>0</v>
      </c>
      <c r="RD24" s="46">
        <v>0</v>
      </c>
      <c r="RE24" s="46">
        <v>0</v>
      </c>
      <c r="RF24" s="46">
        <v>0</v>
      </c>
      <c r="RG24" s="46">
        <v>0</v>
      </c>
      <c r="RH24" s="46">
        <v>0</v>
      </c>
      <c r="RI24" s="46">
        <v>0</v>
      </c>
      <c r="RJ24" s="46">
        <v>0</v>
      </c>
      <c r="RK24" s="46">
        <v>0</v>
      </c>
      <c r="RL24" s="46">
        <v>0</v>
      </c>
      <c r="RM24" s="46">
        <v>0</v>
      </c>
      <c r="RN24" s="46">
        <v>0</v>
      </c>
      <c r="RO24" s="46">
        <v>-20005280</v>
      </c>
      <c r="RP24" s="46">
        <v>0</v>
      </c>
      <c r="RQ24" s="46">
        <v>0</v>
      </c>
      <c r="RR24" s="46">
        <v>0</v>
      </c>
      <c r="RS24" s="46">
        <v>0</v>
      </c>
      <c r="RT24" s="46">
        <v>0</v>
      </c>
      <c r="RU24" s="46">
        <v>0</v>
      </c>
      <c r="RV24" s="46">
        <v>0</v>
      </c>
      <c r="RW24" s="46">
        <v>0</v>
      </c>
      <c r="RX24" s="46">
        <v>2712</v>
      </c>
      <c r="RY24" s="46">
        <v>0</v>
      </c>
      <c r="RZ24" s="46">
        <v>0</v>
      </c>
      <c r="SA24" s="46">
        <v>0</v>
      </c>
      <c r="SB24" s="46">
        <v>0</v>
      </c>
      <c r="SC24" s="46">
        <v>0</v>
      </c>
      <c r="SD24" s="46">
        <v>0</v>
      </c>
      <c r="SE24" s="46">
        <v>0</v>
      </c>
      <c r="SF24" s="46">
        <v>0</v>
      </c>
      <c r="SG24" s="46">
        <v>0</v>
      </c>
      <c r="SH24" s="46">
        <v>0</v>
      </c>
      <c r="SI24" s="46">
        <v>0</v>
      </c>
      <c r="SJ24" s="46">
        <v>0</v>
      </c>
      <c r="SK24" s="46">
        <v>0</v>
      </c>
      <c r="SL24" s="46">
        <v>0</v>
      </c>
      <c r="SM24" s="46">
        <v>0</v>
      </c>
      <c r="SN24" s="46">
        <v>0</v>
      </c>
      <c r="SO24" s="46">
        <v>0</v>
      </c>
      <c r="SP24" s="46">
        <v>0</v>
      </c>
      <c r="SQ24" s="46">
        <v>1235282</v>
      </c>
      <c r="SR24" s="46">
        <v>592089</v>
      </c>
      <c r="SS24" s="46">
        <v>375181</v>
      </c>
      <c r="ST24" s="46">
        <v>213455</v>
      </c>
      <c r="SU24" s="46">
        <v>0</v>
      </c>
      <c r="SV24" s="46">
        <v>0</v>
      </c>
      <c r="SW24" s="46">
        <v>-8920743</v>
      </c>
      <c r="SX24" s="46">
        <v>0</v>
      </c>
      <c r="SY24" s="46">
        <v>0</v>
      </c>
      <c r="SZ24" s="46">
        <v>263952</v>
      </c>
      <c r="TA24" s="46">
        <v>779846</v>
      </c>
      <c r="TB24" s="46">
        <v>0</v>
      </c>
      <c r="TC24" s="46">
        <v>0</v>
      </c>
      <c r="TD24" s="46">
        <v>348826</v>
      </c>
      <c r="TE24" s="46">
        <v>0</v>
      </c>
      <c r="TF24" s="46">
        <v>488411</v>
      </c>
      <c r="TG24" s="46">
        <v>68877</v>
      </c>
      <c r="TH24" s="46">
        <v>90914</v>
      </c>
      <c r="TI24" s="46">
        <v>375181</v>
      </c>
      <c r="TJ24" s="46">
        <v>0</v>
      </c>
      <c r="TK24" s="46">
        <v>0</v>
      </c>
      <c r="TL24" s="46">
        <v>38444</v>
      </c>
      <c r="TM24" s="46">
        <v>0</v>
      </c>
      <c r="TN24" s="46">
        <v>0</v>
      </c>
      <c r="TO24" s="46">
        <v>0</v>
      </c>
      <c r="TP24" s="46">
        <v>0</v>
      </c>
      <c r="TQ24" s="46">
        <v>0</v>
      </c>
      <c r="TR24" s="46">
        <v>0</v>
      </c>
      <c r="TS24" s="46">
        <v>0</v>
      </c>
      <c r="TT24" s="46">
        <v>0</v>
      </c>
      <c r="TU24" s="46">
        <v>0</v>
      </c>
      <c r="TV24" s="46">
        <v>0</v>
      </c>
      <c r="TW24" s="46">
        <v>0</v>
      </c>
      <c r="TX24" s="46">
        <v>0</v>
      </c>
      <c r="TY24" s="46">
        <v>0</v>
      </c>
      <c r="TZ24" s="46">
        <v>0</v>
      </c>
      <c r="UA24" s="46">
        <v>0</v>
      </c>
      <c r="UB24" s="46">
        <v>0</v>
      </c>
      <c r="UC24" s="46">
        <v>0</v>
      </c>
      <c r="UD24" s="46">
        <v>0</v>
      </c>
      <c r="UE24" s="46">
        <v>44941454</v>
      </c>
      <c r="UF24" s="46">
        <v>12374745</v>
      </c>
      <c r="UG24" s="46">
        <v>4629494</v>
      </c>
      <c r="UH24" s="46">
        <v>0</v>
      </c>
      <c r="UI24" s="46">
        <v>21639975</v>
      </c>
      <c r="UJ24" s="46">
        <v>12008648</v>
      </c>
      <c r="UK24" s="46">
        <v>15279915</v>
      </c>
      <c r="UL24" s="46">
        <v>27274500</v>
      </c>
      <c r="UM24" s="46">
        <v>14195572</v>
      </c>
      <c r="UN24" s="46">
        <v>19813579</v>
      </c>
      <c r="UO24"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2416007</v>
      </c>
      <c r="UP24" s="46">
        <f>SUM(Input[[#This Row],[Oth Exp E&amp;G]],Input[[#This Row],[Oth Exp Desg]],Input[[#This Row],[Oth Exp Aux]],Input[[#This Row],[Oth Exp R Exp]],Input[[#This Row],[Oth Exp Loan]],Input[[#This Row],[Oth Exp Annuity]],Input[[#This Row],[Oth Exp Unexp]],Input[[#This Row],[Oth Exp R of Ind]],Input[[#This Row],[Oth Exp Inv in P]])</f>
        <v>13516604</v>
      </c>
      <c r="UQ24" s="46"/>
      <c r="UR24" s="46"/>
      <c r="US24" s="8" t="s">
        <v>742</v>
      </c>
      <c r="UT24" s="47">
        <v>9798459761</v>
      </c>
      <c r="UU24" s="8" t="s">
        <v>71</v>
      </c>
      <c r="UV24" s="8" t="s">
        <v>1310</v>
      </c>
      <c r="UW24" s="47" t="s">
        <v>1310</v>
      </c>
      <c r="UX24" s="8" t="s">
        <v>1310</v>
      </c>
      <c r="UY24" s="51" cm="1">
        <f t="array" ref="UY24">IFERROR(_xlfn.IFS(Input[[#This Row],[Type]]="HRI",SUMIFS('FTSE | FTFE'!$P$8:$P$77,'FTSE | FTFE'!$H$8:$H$77,A24),Input[[#This Row],[Type]]="UNIV",SUMIFS('FTSE | FTFE'!$P$104:$P$139,'FTSE | FTFE'!$H$104:$H$139,A24),OR(Input[[#This Row],[Type]]="TSTC",Input[[#This Row],[Type]]="LSC"),SUMIFS('FTSE | FTFE'!$O$88:$O$96,'FTSE | FTFE'!$H$88:$H$96,A24),Input[[#This Row],[Type]]="AHM",SUMIFS(Hidden!$H$42:$H$45,Hidden!$G$42:$G$45,A24)),"N/A")</f>
        <v>7338</v>
      </c>
      <c r="UZ24" s="51" cm="1">
        <f t="array" ref="UZ24">IFERROR(_xlfn.IFS(Input[[#This Row],[Type]]="HRI",SUMIFS('FTSE | FTFE'!$Q$8:$Q$77,'FTSE | FTFE'!$H$8:$H$77,A24),Input[[#This Row],[Type]]="UNIV",SUMIFS('FTSE | FTFE'!$Q$104:$Q$139,'FTSE | FTFE'!$H$104:$H$139,A24),OR(Input[[#This Row],[Type]]="TSTC",Input[[#This Row],[Type]]="LSC"),SUMIFS('FTSE | FTFE'!$P$88:$P$96,'FTSE | FTFE'!$H$88:$H$96,A24)),"N/A")</f>
        <v>149</v>
      </c>
      <c r="VA2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68266959</v>
      </c>
      <c r="VB2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7671155</v>
      </c>
      <c r="VC24" s="46">
        <f>SUM(Input[[#This Row],[Fed G&amp;C E&amp;G]],Input[[#This Row],[Fed G&amp;C Desg]],Input[[#This Row],[Fed G&amp;C R Exp]],Input[[#This Row],[Fed G&amp;C Loan]],Input[[#This Row],[Fed G&amp;C Annuity]],Input[[#This Row],[Fed G&amp;C Unexp]],Input[[#This Row],[Fed G&amp;C R of Ind]],Input[[#This Row],[Fed G&amp;C Inv in P]])</f>
        <v>25120093</v>
      </c>
      <c r="VD2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53555541</v>
      </c>
      <c r="VE2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35243587</v>
      </c>
      <c r="VF2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11182118</v>
      </c>
      <c r="VG24" s="46">
        <f>SUM(Input[[#This Row],[Oth Inc E&amp;G]],Input[[#This Row],[Oth Exp Desg]],Input[[#This Row],[Oth Exp R Exp]],Input[[#This Row],[Oth Exp Loan]],Input[[#This Row],[Oth Exp Annuity]],Input[[#This Row],[Oth Exp Unexp]],Input[[#This Row],[Oth Exp R of Ind]],Input[[#This Row],[Oth Exp Inv in P]])</f>
        <v>13586694</v>
      </c>
      <c r="VH24" s="46">
        <f>SUM(Input[[#This Row],[Instr E&amp;G]],Input[[#This Row],[Instr Desg]],Input[[#This Row],[Instr R Exp]],Input[[#This Row],[Instr Loan]],Input[[#This Row],[Instr Annuity]],Input[[#This Row],[Instr Unexp]],Input[[#This Row],[Instr R of Ind]],Input[[#This Row],[Instr Inv in P]])</f>
        <v>44941454</v>
      </c>
      <c r="VI24" s="46">
        <f>SUM(Input[[#This Row],[Res E&amp;G]],Input[[#This Row],[Res Desg]],Input[[#This Row],[Res R Exp]],Input[[#This Row],[Res Loan]],Input[[#This Row],[Res Annuity]],Input[[#This Row],[Res Unexp]],Input[[#This Row],[Res R of Ind]],Input[[#This Row],[Res Inv in P]])</f>
        <v>12374745</v>
      </c>
      <c r="VJ24" s="46">
        <f>SUM(Input[[#This Row],[Acad Sup E&amp;G]],Input[[#This Row],[Acad Sup Desg]],Input[[#This Row],[Acad Sup R Exp]],Input[[#This Row],[Acad Sup Loan]],Input[[#This Row],[Acad Sup Annuity]],Input[[#This Row],[Acad Sup Unexp]],Input[[#This Row],[Acad Sup R of Ind]],Input[[#This Row],[Acad Sup Inv in P]])</f>
        <v>21639975</v>
      </c>
      <c r="VK24" s="46">
        <f>SUM(Input[[#This Row],[Stu Svc E&amp;G]],Input[[#This Row],[Stu Svc Desg]],Input[[#This Row],[Stu Svc R Exp]],Input[[#This Row],[Stu Svc Loan]],Input[[#This Row],[Stu Svc Annuity]],Input[[#This Row],[Stu Svc Unexp]],Input[[#This Row],[Stu Svc R of Ind]],Input[[#This Row],[Stu Svc Inv in P]])</f>
        <v>12008648</v>
      </c>
      <c r="VL24" s="46">
        <f>SUM(Input[[#This Row],[Inst. Spt E&amp;G]],Input[[#This Row],[Inst. Spt Desg]],Input[[#This Row],[Inst. Spt R Exp]],Input[[#This Row],[Inst. Spt Loan]],Input[[#This Row],[Inst. Spt Annuity]],Input[[#This Row],[Inst. Spt Unexp]],Input[[#This Row],[Inst. Spt R of Ind]],Input[[#This Row],[Inst. Spt Inv in P]])</f>
        <v>15279915</v>
      </c>
      <c r="VM24" s="46">
        <f>SUM(Input[[#This Row],[M&amp;O Plnt E&amp;G]],Input[[#This Row],[M&amp;O Plnt Desg]],Input[[#This Row],[M&amp;O Plnt R Exp]],Input[[#This Row],[M&amp;O Plnt Loan]],Input[[#This Row],[M&amp;O Plnt Annuity]],Input[[#This Row],[M&amp;O Plnt Unexp]],Input[[#This Row],[M&amp;O Plnt R of Ind]],Input[[#This Row],[M&amp;O Plnt Inv in P]])</f>
        <v>27274500</v>
      </c>
      <c r="VN24" s="46">
        <f>SUM(Input[[#This Row],[Schl &amp; Fell E&amp;G]],Input[[#This Row],[Schl &amp; Fell Desg]],Input[[#This Row],[Schl &amp; Fell R Exp]],Input[[#This Row],[Schl &amp; Fell Loan]],Input[[#This Row],[Schl &amp; Fell Annuity]],Input[[#This Row],[Schl &amp; Fell Unexp]],Input[[#This Row],[Schl &amp; Fell R of Ind]],Input[[#This Row],[Schl &amp; Fell Inv in P]])</f>
        <v>14195572</v>
      </c>
      <c r="VO24" s="46">
        <f>SUM(Input[[#This Row],[Cap Out fund E&amp;G]],Input[[#This Row],[Cap Out fund Desg]],Input[[#This Row],[Cap Out fund R Exp]],Input[[#This Row],[Cap Out fund Loan]],Input[[#This Row],[Cap Out fund Annuity]],Input[[#This Row],[Cap Out fund Unexp]],Input[[#This Row],[Cap Out fund R of Ind]],Input[[#This Row],[Cap Out fund Inv in P]])</f>
        <v>2040826</v>
      </c>
      <c r="VP24" s="46">
        <f>SUM(Input[[#This Row],[Oth Exp E&amp;G]],Input[[#This Row],[Oth Exp Desg]],Input[[#This Row],[Oth Exp R Exp]],Input[[#This Row],[Oth Exp Loan]],Input[[#This Row],[Oth Exp Annuity]],Input[[#This Row],[Oth Exp Unexp]],Input[[#This Row],[Oth Exp R of Ind]],Input[[#This Row],[Oth Exp Inv in P]],Input[[#This Row],[Oth Exp Inv in P]])</f>
        <v>13092593</v>
      </c>
    </row>
    <row r="25" spans="1:588" ht="30" customHeight="1" x14ac:dyDescent="0.3">
      <c r="A25" s="15" t="s">
        <v>12</v>
      </c>
      <c r="B25" s="36" t="s">
        <v>111</v>
      </c>
      <c r="C25" s="36" t="s">
        <v>110</v>
      </c>
      <c r="D25" s="36">
        <v>211</v>
      </c>
      <c r="E25" s="36" t="s">
        <v>132</v>
      </c>
      <c r="F25" s="95" cm="1">
        <f t="array" ref="F25">IFERROR(_xlfn.IFS(Input[[#This Row],[Type]]="HRI",SUMIFS('FTSE | FTFE'!$I$8:$I$77,'FTSE | FTFE'!$H$8:$H$77,A25),Input[[#This Row],[Type]]="UNIV",SUMIFS('FTSE | FTFE'!$I$104:$I$139,'FTSE | FTFE'!$H$104:$H$139,A25),OR(Input[[#This Row],[Type]]="TSTC",Input[[#This Row],[Type]]="LSC"),SUMIFS('FTSE | FTFE'!$I$88:$I$96,'FTSE | FTFE'!$H$88:$H$96,A25)),"N/A")</f>
        <v>3565</v>
      </c>
      <c r="G25" s="46">
        <v>67741140</v>
      </c>
      <c r="H25" s="46">
        <v>0</v>
      </c>
      <c r="I25" s="46">
        <v>0</v>
      </c>
      <c r="J25" s="46">
        <v>0</v>
      </c>
      <c r="K25" s="46">
        <v>0</v>
      </c>
      <c r="L25" s="46">
        <v>0</v>
      </c>
      <c r="M25" s="46">
        <v>0</v>
      </c>
      <c r="N25" s="46">
        <v>0</v>
      </c>
      <c r="O25" s="46">
        <v>0</v>
      </c>
      <c r="P25" s="46">
        <v>404423</v>
      </c>
      <c r="Q25" s="46">
        <v>50052</v>
      </c>
      <c r="R25" s="46">
        <v>0</v>
      </c>
      <c r="S25" s="46">
        <v>8071995</v>
      </c>
      <c r="T25" s="46">
        <v>0</v>
      </c>
      <c r="U25" s="46">
        <v>0</v>
      </c>
      <c r="V25" s="46">
        <v>0</v>
      </c>
      <c r="W25" s="46">
        <v>0</v>
      </c>
      <c r="X25" s="46">
        <v>0</v>
      </c>
      <c r="Y25" s="46">
        <v>11459464</v>
      </c>
      <c r="Z25" s="46">
        <v>0</v>
      </c>
      <c r="AA25" s="46">
        <v>0</v>
      </c>
      <c r="AB25" s="46">
        <v>0</v>
      </c>
      <c r="AC25" s="46">
        <v>0</v>
      </c>
      <c r="AD25" s="46">
        <v>0</v>
      </c>
      <c r="AE25" s="46">
        <v>0</v>
      </c>
      <c r="AF25" s="46">
        <v>0</v>
      </c>
      <c r="AG25" s="46">
        <v>0</v>
      </c>
      <c r="AH25" s="46">
        <v>0</v>
      </c>
      <c r="AI25" s="46">
        <v>0</v>
      </c>
      <c r="AJ25" s="46">
        <v>0</v>
      </c>
      <c r="AK25" s="46">
        <v>0</v>
      </c>
      <c r="AL25" s="46">
        <v>0</v>
      </c>
      <c r="AM25" s="46">
        <v>0</v>
      </c>
      <c r="AN25" s="46">
        <v>0</v>
      </c>
      <c r="AO25" s="46">
        <v>0</v>
      </c>
      <c r="AP25" s="46">
        <v>0</v>
      </c>
      <c r="AQ25" s="46">
        <v>-1451756</v>
      </c>
      <c r="AR25" s="46">
        <v>0</v>
      </c>
      <c r="AS25" s="46">
        <v>0</v>
      </c>
      <c r="AT25" s="46">
        <v>0</v>
      </c>
      <c r="AU25" s="46">
        <v>0</v>
      </c>
      <c r="AV25" s="46">
        <v>0</v>
      </c>
      <c r="AW25" s="46">
        <v>0</v>
      </c>
      <c r="AX25" s="46">
        <v>0</v>
      </c>
      <c r="AY25" s="46">
        <v>0</v>
      </c>
      <c r="AZ25" s="46">
        <v>0</v>
      </c>
      <c r="BA25" s="46">
        <v>0</v>
      </c>
      <c r="BB25" s="46">
        <v>0</v>
      </c>
      <c r="BC25" s="46">
        <v>0</v>
      </c>
      <c r="BD25" s="46">
        <v>0</v>
      </c>
      <c r="BE25" s="46">
        <v>0</v>
      </c>
      <c r="BF25" s="46">
        <v>0</v>
      </c>
      <c r="BG25" s="46">
        <v>0</v>
      </c>
      <c r="BH25" s="46">
        <v>0</v>
      </c>
      <c r="BI25" s="46">
        <v>0</v>
      </c>
      <c r="BJ25" s="46">
        <v>0</v>
      </c>
      <c r="BK25" s="46">
        <v>0</v>
      </c>
      <c r="BL25" s="46">
        <v>0</v>
      </c>
      <c r="BM25" s="46">
        <v>0</v>
      </c>
      <c r="BN25" s="46">
        <v>0</v>
      </c>
      <c r="BO25" s="46">
        <v>0</v>
      </c>
      <c r="BP25" s="46">
        <v>0</v>
      </c>
      <c r="BQ25" s="46">
        <v>0</v>
      </c>
      <c r="BR25" s="46">
        <v>0</v>
      </c>
      <c r="BS25" s="46">
        <v>0</v>
      </c>
      <c r="BT25" s="46">
        <v>0</v>
      </c>
      <c r="BU25" s="46">
        <v>0</v>
      </c>
      <c r="BV25" s="46">
        <v>0</v>
      </c>
      <c r="BW25" s="46">
        <v>0</v>
      </c>
      <c r="BX25" s="46">
        <v>0</v>
      </c>
      <c r="BY25" s="46">
        <v>0</v>
      </c>
      <c r="BZ25" s="46">
        <v>0</v>
      </c>
      <c r="CA25" s="46">
        <v>15640801</v>
      </c>
      <c r="CB25" s="46">
        <v>23361814</v>
      </c>
      <c r="CC25" s="46">
        <v>0</v>
      </c>
      <c r="CD25" s="46">
        <v>0</v>
      </c>
      <c r="CE25" s="46">
        <v>0</v>
      </c>
      <c r="CF25" s="46">
        <v>0</v>
      </c>
      <c r="CG25" s="46">
        <v>0</v>
      </c>
      <c r="CH25" s="46">
        <v>0</v>
      </c>
      <c r="CI25" s="46">
        <v>0</v>
      </c>
      <c r="CJ25" s="46">
        <v>0</v>
      </c>
      <c r="CK25" s="46">
        <v>0</v>
      </c>
      <c r="CL25" s="46">
        <v>0</v>
      </c>
      <c r="CM25" s="46">
        <v>0</v>
      </c>
      <c r="CN25" s="46">
        <v>0</v>
      </c>
      <c r="CO25" s="46">
        <v>0</v>
      </c>
      <c r="CP25" s="46">
        <v>0</v>
      </c>
      <c r="CQ25" s="46">
        <v>0</v>
      </c>
      <c r="CR25" s="46">
        <v>0</v>
      </c>
      <c r="CS25" s="46">
        <v>0</v>
      </c>
      <c r="CT25" s="46">
        <v>0</v>
      </c>
      <c r="CU25" s="46">
        <v>0</v>
      </c>
      <c r="CV25" s="46">
        <v>0</v>
      </c>
      <c r="CW25" s="46">
        <v>0</v>
      </c>
      <c r="CX25" s="46">
        <v>0</v>
      </c>
      <c r="CY25" s="46">
        <v>0</v>
      </c>
      <c r="CZ25" s="46">
        <v>0</v>
      </c>
      <c r="DA25" s="46">
        <v>0</v>
      </c>
      <c r="DB25" s="46">
        <v>-690752</v>
      </c>
      <c r="DC25" s="46">
        <v>-1158962</v>
      </c>
      <c r="DD25" s="46">
        <v>0</v>
      </c>
      <c r="DE25" s="46">
        <v>0</v>
      </c>
      <c r="DF25" s="46">
        <v>0</v>
      </c>
      <c r="DG25" s="46">
        <v>0</v>
      </c>
      <c r="DH25" s="46">
        <v>0</v>
      </c>
      <c r="DI25" s="46">
        <v>0</v>
      </c>
      <c r="DJ25" s="46">
        <v>0</v>
      </c>
      <c r="DK25" s="46">
        <v>0</v>
      </c>
      <c r="DL25" s="46">
        <v>0</v>
      </c>
      <c r="DM25" s="46">
        <v>0</v>
      </c>
      <c r="DN25" s="46">
        <v>0</v>
      </c>
      <c r="DO25" s="46">
        <v>0</v>
      </c>
      <c r="DP25" s="46">
        <v>0</v>
      </c>
      <c r="DQ25" s="46">
        <v>0</v>
      </c>
      <c r="DR25" s="46">
        <v>0</v>
      </c>
      <c r="DS25" s="46">
        <v>0</v>
      </c>
      <c r="DT25" s="46">
        <v>-4366644</v>
      </c>
      <c r="DU25" s="46">
        <v>-6394996</v>
      </c>
      <c r="DV25" s="46">
        <v>0</v>
      </c>
      <c r="DW25" s="46">
        <v>0</v>
      </c>
      <c r="DX25" s="46">
        <v>0</v>
      </c>
      <c r="DY25" s="46">
        <v>0</v>
      </c>
      <c r="DZ25" s="46">
        <v>0</v>
      </c>
      <c r="EA25" s="46">
        <v>0</v>
      </c>
      <c r="EB25" s="46">
        <v>0</v>
      </c>
      <c r="EC25" s="46">
        <v>-2383138</v>
      </c>
      <c r="ED25" s="46">
        <v>0</v>
      </c>
      <c r="EE25" s="46">
        <v>0</v>
      </c>
      <c r="EF25" s="46">
        <v>0</v>
      </c>
      <c r="EG25" s="46">
        <v>0</v>
      </c>
      <c r="EH25" s="46">
        <v>0</v>
      </c>
      <c r="EI25" s="46">
        <v>0</v>
      </c>
      <c r="EJ25" s="46">
        <v>0</v>
      </c>
      <c r="EK25" s="46">
        <v>0</v>
      </c>
      <c r="EL25" s="46">
        <v>0</v>
      </c>
      <c r="EM25" s="46">
        <v>0</v>
      </c>
      <c r="EN25" s="46">
        <v>0</v>
      </c>
      <c r="EO25" s="46">
        <v>0</v>
      </c>
      <c r="EP25" s="46">
        <v>0</v>
      </c>
      <c r="EQ25" s="46">
        <v>0</v>
      </c>
      <c r="ER25" s="46">
        <v>0</v>
      </c>
      <c r="ES25" s="46">
        <v>0</v>
      </c>
      <c r="ET25" s="46">
        <v>0</v>
      </c>
      <c r="EU25" s="46">
        <v>0</v>
      </c>
      <c r="EV25" s="46">
        <v>0</v>
      </c>
      <c r="EW25" s="46">
        <v>0</v>
      </c>
      <c r="EX25" s="46">
        <v>0</v>
      </c>
      <c r="EY25" s="46">
        <v>0</v>
      </c>
      <c r="EZ25" s="46">
        <v>0</v>
      </c>
      <c r="FA25" s="46">
        <v>0</v>
      </c>
      <c r="FB25" s="46">
        <v>0</v>
      </c>
      <c r="FC25" s="46">
        <v>0</v>
      </c>
      <c r="FD25" s="46">
        <v>0</v>
      </c>
      <c r="FE25" s="46">
        <v>0</v>
      </c>
      <c r="FF25" s="46">
        <v>0</v>
      </c>
      <c r="FG25" s="46">
        <v>0</v>
      </c>
      <c r="FH25" s="46">
        <v>0</v>
      </c>
      <c r="FI25" s="46">
        <v>0</v>
      </c>
      <c r="FJ25" s="46">
        <v>0</v>
      </c>
      <c r="FK25" s="46">
        <v>0</v>
      </c>
      <c r="FL25" s="46">
        <v>0</v>
      </c>
      <c r="FM25" s="46">
        <v>327366</v>
      </c>
      <c r="FN25" s="46">
        <v>35634099</v>
      </c>
      <c r="FO25" s="46">
        <v>13887397</v>
      </c>
      <c r="FP25" s="46">
        <v>0</v>
      </c>
      <c r="FQ25" s="46">
        <v>0</v>
      </c>
      <c r="FR25" s="46">
        <v>0</v>
      </c>
      <c r="FS25" s="46">
        <v>0</v>
      </c>
      <c r="FT25" s="46">
        <v>0</v>
      </c>
      <c r="FU25" s="46">
        <v>0</v>
      </c>
      <c r="FV25" s="46">
        <v>0</v>
      </c>
      <c r="FW25" s="46">
        <v>0</v>
      </c>
      <c r="FX25" s="46">
        <v>0</v>
      </c>
      <c r="FY25" s="46">
        <v>0</v>
      </c>
      <c r="FZ25" s="46">
        <v>0</v>
      </c>
      <c r="GA25" s="46">
        <v>0</v>
      </c>
      <c r="GB25" s="46">
        <v>0</v>
      </c>
      <c r="GC25" s="46">
        <v>0</v>
      </c>
      <c r="GD25" s="46">
        <v>0</v>
      </c>
      <c r="GE25" s="46">
        <v>0</v>
      </c>
      <c r="GF25" s="46">
        <v>0</v>
      </c>
      <c r="GG25" s="46">
        <v>0</v>
      </c>
      <c r="GH25" s="46">
        <v>0</v>
      </c>
      <c r="GI25" s="46">
        <v>0</v>
      </c>
      <c r="GJ25" s="46">
        <v>0</v>
      </c>
      <c r="GK25" s="46">
        <v>0</v>
      </c>
      <c r="GL25" s="46">
        <v>0</v>
      </c>
      <c r="GM25" s="46">
        <v>0</v>
      </c>
      <c r="GN25" s="46">
        <v>-10764</v>
      </c>
      <c r="GO25" s="46">
        <v>-2634481</v>
      </c>
      <c r="GP25" s="46">
        <v>-576562</v>
      </c>
      <c r="GQ25" s="46">
        <v>0</v>
      </c>
      <c r="GR25" s="46">
        <v>0</v>
      </c>
      <c r="GS25" s="46">
        <v>0</v>
      </c>
      <c r="GT25" s="46">
        <v>0</v>
      </c>
      <c r="GU25" s="46">
        <v>0</v>
      </c>
      <c r="GV25" s="46">
        <v>0</v>
      </c>
      <c r="GW25" s="46">
        <v>0</v>
      </c>
      <c r="GX25" s="46">
        <v>0</v>
      </c>
      <c r="GY25" s="46">
        <v>0</v>
      </c>
      <c r="GZ25" s="46">
        <v>0</v>
      </c>
      <c r="HA25" s="46">
        <v>0</v>
      </c>
      <c r="HB25" s="46">
        <v>0</v>
      </c>
      <c r="HC25" s="46">
        <v>0</v>
      </c>
      <c r="HD25" s="46">
        <v>0</v>
      </c>
      <c r="HE25" s="46">
        <v>0</v>
      </c>
      <c r="HF25" s="46">
        <v>-95089</v>
      </c>
      <c r="HG25" s="46">
        <v>-8887676</v>
      </c>
      <c r="HH25" s="46">
        <v>-3913877</v>
      </c>
      <c r="HI25" s="46">
        <v>0</v>
      </c>
      <c r="HJ25" s="46">
        <v>0</v>
      </c>
      <c r="HK25" s="46">
        <v>0</v>
      </c>
      <c r="HL25" s="46">
        <v>0</v>
      </c>
      <c r="HM25" s="46">
        <v>0</v>
      </c>
      <c r="HN25" s="46">
        <v>0</v>
      </c>
      <c r="HO25" s="46">
        <v>0</v>
      </c>
      <c r="HP25" s="46">
        <v>438899</v>
      </c>
      <c r="HQ25" s="46">
        <v>0</v>
      </c>
      <c r="HR25" s="46">
        <v>29812390</v>
      </c>
      <c r="HS25" s="46">
        <v>0</v>
      </c>
      <c r="HT25" s="46">
        <v>0</v>
      </c>
      <c r="HU25" s="46">
        <v>0</v>
      </c>
      <c r="HV25" s="46">
        <v>0</v>
      </c>
      <c r="HW25" s="46">
        <v>0</v>
      </c>
      <c r="HX25" s="46">
        <v>0</v>
      </c>
      <c r="HY25" s="46">
        <v>0</v>
      </c>
      <c r="HZ25" s="46">
        <v>0</v>
      </c>
      <c r="IA25" s="46">
        <v>0</v>
      </c>
      <c r="IB25" s="46">
        <v>0</v>
      </c>
      <c r="IC25" s="46">
        <v>0</v>
      </c>
      <c r="ID25" s="46">
        <v>0</v>
      </c>
      <c r="IE25" s="46">
        <v>0</v>
      </c>
      <c r="IF25" s="46">
        <v>0</v>
      </c>
      <c r="IG25" s="46">
        <v>0</v>
      </c>
      <c r="IH25" s="46">
        <v>0</v>
      </c>
      <c r="II25" s="46">
        <v>0</v>
      </c>
      <c r="IJ25" s="46">
        <v>0</v>
      </c>
      <c r="IK25" s="46">
        <v>0</v>
      </c>
      <c r="IL25" s="46">
        <v>0</v>
      </c>
      <c r="IM25" s="46">
        <v>0</v>
      </c>
      <c r="IN25" s="46">
        <v>0</v>
      </c>
      <c r="IO25" s="46">
        <v>0</v>
      </c>
      <c r="IP25" s="46">
        <v>89659</v>
      </c>
      <c r="IQ25" s="46">
        <v>17541817</v>
      </c>
      <c r="IR25" s="46">
        <v>508598</v>
      </c>
      <c r="IS25" s="46">
        <v>329711</v>
      </c>
      <c r="IT25" s="46">
        <v>32656</v>
      </c>
      <c r="IU25" s="46">
        <v>75</v>
      </c>
      <c r="IV25" s="46">
        <v>0</v>
      </c>
      <c r="IW25" s="46">
        <v>0</v>
      </c>
      <c r="IX25" s="46">
        <v>0</v>
      </c>
      <c r="IY25" s="46">
        <v>0</v>
      </c>
      <c r="IZ25" s="46">
        <v>0</v>
      </c>
      <c r="JA25" s="46">
        <v>0</v>
      </c>
      <c r="JB25" s="46">
        <v>0</v>
      </c>
      <c r="JC25" s="46">
        <v>0</v>
      </c>
      <c r="JD25" s="46">
        <v>0</v>
      </c>
      <c r="JE25" s="46">
        <v>0</v>
      </c>
      <c r="JF25" s="46">
        <v>0</v>
      </c>
      <c r="JG25" s="46">
        <v>0</v>
      </c>
      <c r="JH25" s="46">
        <v>0</v>
      </c>
      <c r="JI25" s="46">
        <v>208571</v>
      </c>
      <c r="JJ25" s="46">
        <v>0</v>
      </c>
      <c r="JK25" s="46">
        <v>4595110</v>
      </c>
      <c r="JL25" s="46">
        <v>0</v>
      </c>
      <c r="JM25" s="46">
        <v>0</v>
      </c>
      <c r="JN25" s="46">
        <v>182064</v>
      </c>
      <c r="JO25" s="46">
        <v>0</v>
      </c>
      <c r="JP25" s="46">
        <v>0</v>
      </c>
      <c r="JQ25" s="46">
        <v>116205</v>
      </c>
      <c r="JR25" s="46">
        <v>10333895</v>
      </c>
      <c r="JS25" s="46">
        <v>0</v>
      </c>
      <c r="JT25" s="46">
        <v>14309</v>
      </c>
      <c r="JU25" s="46">
        <v>0</v>
      </c>
      <c r="JV25" s="46">
        <v>0</v>
      </c>
      <c r="JW25" s="46">
        <v>0</v>
      </c>
      <c r="JX25" s="46">
        <v>0</v>
      </c>
      <c r="JY25" s="46">
        <v>0</v>
      </c>
      <c r="JZ25" s="46">
        <v>0</v>
      </c>
      <c r="KA25" s="46">
        <v>0</v>
      </c>
      <c r="KB25" s="46">
        <v>21236908</v>
      </c>
      <c r="KC25" s="46">
        <v>0</v>
      </c>
      <c r="KD25" s="46">
        <v>0</v>
      </c>
      <c r="KE25" s="46">
        <v>0</v>
      </c>
      <c r="KF25" s="46">
        <v>0</v>
      </c>
      <c r="KG25" s="46">
        <v>0</v>
      </c>
      <c r="KH25" s="46">
        <v>0</v>
      </c>
      <c r="KI25" s="46">
        <v>2173</v>
      </c>
      <c r="KJ25" s="46">
        <v>2917558</v>
      </c>
      <c r="KK25" s="46">
        <v>649289</v>
      </c>
      <c r="KL25" s="46">
        <v>48808</v>
      </c>
      <c r="KM25" s="46">
        <v>613</v>
      </c>
      <c r="KN25" s="46">
        <v>0</v>
      </c>
      <c r="KO25" s="46">
        <v>0</v>
      </c>
      <c r="KP25" s="46">
        <v>0</v>
      </c>
      <c r="KQ25" s="46">
        <v>-52765</v>
      </c>
      <c r="KR25" s="46">
        <v>50493147</v>
      </c>
      <c r="KS25" s="46">
        <v>9234035</v>
      </c>
      <c r="KT25" s="46">
        <v>0</v>
      </c>
      <c r="KU25" s="46">
        <v>222162</v>
      </c>
      <c r="KV25" s="46">
        <v>0</v>
      </c>
      <c r="KW25" s="46">
        <v>0</v>
      </c>
      <c r="KX25" s="46">
        <v>0</v>
      </c>
      <c r="KY25" s="46">
        <v>0</v>
      </c>
      <c r="KZ25" s="46">
        <v>0</v>
      </c>
      <c r="LA25" s="46">
        <v>2532745</v>
      </c>
      <c r="LB25" s="46">
        <v>689278</v>
      </c>
      <c r="LC25" s="46">
        <v>0</v>
      </c>
      <c r="LD25" s="46">
        <v>3307349</v>
      </c>
      <c r="LE25" s="46">
        <v>0</v>
      </c>
      <c r="LF25" s="46">
        <v>0</v>
      </c>
      <c r="LG25" s="46">
        <v>0</v>
      </c>
      <c r="LH25" s="46">
        <v>0</v>
      </c>
      <c r="LI25" s="46">
        <v>0</v>
      </c>
      <c r="LJ25" s="46">
        <v>984074</v>
      </c>
      <c r="LK25" s="46">
        <v>969012</v>
      </c>
      <c r="LL25" s="46">
        <v>0</v>
      </c>
      <c r="LM25" s="46">
        <v>478510</v>
      </c>
      <c r="LN25" s="46">
        <v>0</v>
      </c>
      <c r="LO25" s="46">
        <v>0</v>
      </c>
      <c r="LP25" s="46">
        <v>0</v>
      </c>
      <c r="LQ25" s="46">
        <v>0</v>
      </c>
      <c r="LR25" s="46">
        <v>0</v>
      </c>
      <c r="LS25" s="46">
        <v>0</v>
      </c>
      <c r="LT25" s="46">
        <v>0</v>
      </c>
      <c r="LU25" s="46">
        <v>0</v>
      </c>
      <c r="LV25" s="46">
        <v>0</v>
      </c>
      <c r="LW25" s="46">
        <v>0</v>
      </c>
      <c r="LX25" s="46">
        <v>0</v>
      </c>
      <c r="LY25" s="46">
        <v>0</v>
      </c>
      <c r="LZ25" s="46">
        <v>0</v>
      </c>
      <c r="MA25" s="46">
        <v>0</v>
      </c>
      <c r="MB25" s="46">
        <v>10908958</v>
      </c>
      <c r="MC25" s="46">
        <v>6492251</v>
      </c>
      <c r="MD25" s="46">
        <v>0</v>
      </c>
      <c r="ME25" s="46">
        <v>366155</v>
      </c>
      <c r="MF25" s="46">
        <v>0</v>
      </c>
      <c r="MG25" s="46">
        <v>0</v>
      </c>
      <c r="MH25" s="46">
        <v>77230</v>
      </c>
      <c r="MI25" s="46">
        <v>0</v>
      </c>
      <c r="MJ25" s="46">
        <v>0</v>
      </c>
      <c r="MK25" s="46">
        <v>9079499</v>
      </c>
      <c r="ML25" s="46">
        <v>11601328</v>
      </c>
      <c r="MM25" s="46">
        <v>0</v>
      </c>
      <c r="MN25" s="46">
        <v>2394268</v>
      </c>
      <c r="MO25" s="46">
        <v>44648</v>
      </c>
      <c r="MP25" s="46">
        <v>0</v>
      </c>
      <c r="MQ25" s="46">
        <v>0</v>
      </c>
      <c r="MR25" s="46">
        <v>0</v>
      </c>
      <c r="MS25" s="46">
        <v>0</v>
      </c>
      <c r="MT25" s="46">
        <v>10545672</v>
      </c>
      <c r="MU25" s="46">
        <v>7143702</v>
      </c>
      <c r="MV25" s="46">
        <v>0</v>
      </c>
      <c r="MW25" s="46">
        <v>304969</v>
      </c>
      <c r="MX25" s="46">
        <v>0</v>
      </c>
      <c r="MY25" s="46">
        <v>0</v>
      </c>
      <c r="MZ25" s="46">
        <v>0</v>
      </c>
      <c r="NA25" s="46">
        <v>0</v>
      </c>
      <c r="NB25" s="46">
        <v>0</v>
      </c>
      <c r="NC25" s="46">
        <v>4400656</v>
      </c>
      <c r="ND25" s="46">
        <v>13974758</v>
      </c>
      <c r="NE25" s="46">
        <v>0</v>
      </c>
      <c r="NF25" s="46">
        <v>31337</v>
      </c>
      <c r="NG25" s="46">
        <v>0</v>
      </c>
      <c r="NH25" s="46">
        <v>0</v>
      </c>
      <c r="NI25" s="46">
        <v>1472259</v>
      </c>
      <c r="NJ25" s="46">
        <v>0</v>
      </c>
      <c r="NK25" s="46">
        <v>0</v>
      </c>
      <c r="NL25" s="46">
        <v>755256</v>
      </c>
      <c r="NM25" s="46">
        <v>6120119</v>
      </c>
      <c r="NN25" s="46">
        <v>0</v>
      </c>
      <c r="NO25" s="46">
        <v>9171689</v>
      </c>
      <c r="NP25" s="46">
        <v>0</v>
      </c>
      <c r="NQ25" s="46">
        <v>0</v>
      </c>
      <c r="NR25" s="46">
        <v>0</v>
      </c>
      <c r="NS25" s="46">
        <v>0</v>
      </c>
      <c r="NT25" s="46">
        <v>0</v>
      </c>
      <c r="NU25" s="46">
        <v>0</v>
      </c>
      <c r="NV25" s="46">
        <v>0</v>
      </c>
      <c r="NW25" s="46">
        <v>39340380</v>
      </c>
      <c r="NX25" s="46">
        <v>0</v>
      </c>
      <c r="NY25" s="46">
        <v>0</v>
      </c>
      <c r="NZ25" s="46">
        <v>0</v>
      </c>
      <c r="OA25" s="46">
        <v>0</v>
      </c>
      <c r="OB25" s="46">
        <v>0</v>
      </c>
      <c r="OC25" s="46">
        <v>0</v>
      </c>
      <c r="OD25" s="46">
        <v>1134542</v>
      </c>
      <c r="OE25" s="46">
        <v>1253954</v>
      </c>
      <c r="OF25" s="46">
        <v>544785</v>
      </c>
      <c r="OG25" s="46">
        <v>190523</v>
      </c>
      <c r="OH25" s="46">
        <v>0</v>
      </c>
      <c r="OI25" s="46">
        <v>0</v>
      </c>
      <c r="OJ25" s="46">
        <v>0</v>
      </c>
      <c r="OK25" s="46">
        <v>0</v>
      </c>
      <c r="OL25" s="46">
        <v>0</v>
      </c>
      <c r="OM25" s="46">
        <v>0</v>
      </c>
      <c r="ON25" s="46">
        <v>1382295</v>
      </c>
      <c r="OO25" s="46">
        <v>0</v>
      </c>
      <c r="OP25" s="46">
        <v>0</v>
      </c>
      <c r="OQ25" s="46">
        <v>0</v>
      </c>
      <c r="OR25" s="46">
        <v>0</v>
      </c>
      <c r="OS25" s="46">
        <v>0</v>
      </c>
      <c r="OT25" s="46">
        <v>0</v>
      </c>
      <c r="OU25" s="46">
        <v>2635056</v>
      </c>
      <c r="OV25" s="46">
        <v>0</v>
      </c>
      <c r="OW25" s="46">
        <v>0</v>
      </c>
      <c r="OX25" s="46">
        <v>0</v>
      </c>
      <c r="OY25" s="46">
        <v>0</v>
      </c>
      <c r="OZ25" s="46">
        <v>0</v>
      </c>
      <c r="PA25" s="46">
        <v>0</v>
      </c>
      <c r="PB25" s="46">
        <v>15989312</v>
      </c>
      <c r="PC25" s="46">
        <v>0</v>
      </c>
      <c r="PD25" s="46">
        <v>0</v>
      </c>
      <c r="PE25" s="46">
        <v>9550180</v>
      </c>
      <c r="PF25" s="46">
        <v>-19976503</v>
      </c>
      <c r="PG25" s="46">
        <v>15207838</v>
      </c>
      <c r="PH25" s="46">
        <v>-25074978</v>
      </c>
      <c r="PI25" s="46">
        <v>171223</v>
      </c>
      <c r="PJ25" s="46">
        <v>24008</v>
      </c>
      <c r="PK25" s="46">
        <v>6930229</v>
      </c>
      <c r="PL25" s="46">
        <v>0</v>
      </c>
      <c r="PM25" s="46">
        <v>0</v>
      </c>
      <c r="PN25" s="46">
        <v>0</v>
      </c>
      <c r="PO25" s="46">
        <v>0</v>
      </c>
      <c r="PP25" s="46">
        <v>0</v>
      </c>
      <c r="PQ25" s="46">
        <v>0</v>
      </c>
      <c r="PR25" s="46">
        <v>0</v>
      </c>
      <c r="PS25" s="46">
        <v>0</v>
      </c>
      <c r="PT25" s="46">
        <v>0</v>
      </c>
      <c r="PU25" s="46">
        <v>0</v>
      </c>
      <c r="PV25" s="46">
        <v>0</v>
      </c>
      <c r="PW25" s="46">
        <v>-10018560</v>
      </c>
      <c r="PX25" s="46">
        <v>-102268</v>
      </c>
      <c r="PY25" s="46">
        <v>-7676139</v>
      </c>
      <c r="PZ25" s="46">
        <v>0</v>
      </c>
      <c r="QA25" s="46">
        <v>0</v>
      </c>
      <c r="QB25" s="46">
        <v>0</v>
      </c>
      <c r="QC25" s="46">
        <v>0</v>
      </c>
      <c r="QD25" s="46">
        <v>0</v>
      </c>
      <c r="QE25" s="46">
        <v>0</v>
      </c>
      <c r="QF25" s="46">
        <v>-1678644</v>
      </c>
      <c r="QG25" s="46">
        <v>-2356103</v>
      </c>
      <c r="QH25" s="46">
        <v>-430121</v>
      </c>
      <c r="QI25" s="46">
        <v>402263</v>
      </c>
      <c r="QJ25" s="46">
        <v>347993</v>
      </c>
      <c r="QK25" s="46">
        <v>-2618</v>
      </c>
      <c r="QL25" s="46">
        <v>1315685</v>
      </c>
      <c r="QM25" s="46">
        <v>0</v>
      </c>
      <c r="QN25" s="46">
        <v>0</v>
      </c>
      <c r="QO25" s="46">
        <v>0</v>
      </c>
      <c r="QP25" s="46">
        <v>0</v>
      </c>
      <c r="QQ25" s="46">
        <v>0</v>
      </c>
      <c r="QR25" s="46">
        <v>0</v>
      </c>
      <c r="QS25" s="46">
        <v>0</v>
      </c>
      <c r="QT25" s="46">
        <v>0</v>
      </c>
      <c r="QU25" s="46">
        <v>0</v>
      </c>
      <c r="QV25" s="46">
        <v>0</v>
      </c>
      <c r="QW25" s="46">
        <v>0</v>
      </c>
      <c r="QX25" s="46">
        <v>0</v>
      </c>
      <c r="QY25" s="46">
        <v>0</v>
      </c>
      <c r="QZ25" s="46">
        <v>0</v>
      </c>
      <c r="RA25" s="46">
        <v>0</v>
      </c>
      <c r="RB25" s="46">
        <v>0</v>
      </c>
      <c r="RC25" s="46">
        <v>0</v>
      </c>
      <c r="RD25" s="46">
        <v>0</v>
      </c>
      <c r="RE25" s="46">
        <v>0</v>
      </c>
      <c r="RF25" s="46">
        <v>0</v>
      </c>
      <c r="RG25" s="46">
        <v>0</v>
      </c>
      <c r="RH25" s="46">
        <v>0</v>
      </c>
      <c r="RI25" s="46">
        <v>0</v>
      </c>
      <c r="RJ25" s="46">
        <v>0</v>
      </c>
      <c r="RK25" s="46">
        <v>0</v>
      </c>
      <c r="RL25" s="46">
        <v>0</v>
      </c>
      <c r="RM25" s="46">
        <v>0</v>
      </c>
      <c r="RN25" s="46">
        <v>0</v>
      </c>
      <c r="RO25" s="46">
        <v>-16392514</v>
      </c>
      <c r="RP25" s="46">
        <v>0</v>
      </c>
      <c r="RQ25" s="46">
        <v>0</v>
      </c>
      <c r="RR25" s="46">
        <v>0</v>
      </c>
      <c r="RS25" s="46">
        <v>0</v>
      </c>
      <c r="RT25" s="46">
        <v>0</v>
      </c>
      <c r="RU25" s="46">
        <v>0</v>
      </c>
      <c r="RV25" s="46">
        <v>0</v>
      </c>
      <c r="RW25" s="46">
        <v>0</v>
      </c>
      <c r="RX25" s="46">
        <v>0</v>
      </c>
      <c r="RY25" s="46">
        <v>0</v>
      </c>
      <c r="RZ25" s="46">
        <v>0</v>
      </c>
      <c r="SA25" s="46">
        <v>0</v>
      </c>
      <c r="SB25" s="46">
        <v>0</v>
      </c>
      <c r="SC25" s="46">
        <v>0</v>
      </c>
      <c r="SD25" s="46">
        <v>0</v>
      </c>
      <c r="SE25" s="46">
        <v>0</v>
      </c>
      <c r="SF25" s="46">
        <v>0</v>
      </c>
      <c r="SG25" s="46">
        <v>0</v>
      </c>
      <c r="SH25" s="46">
        <v>0</v>
      </c>
      <c r="SI25" s="46">
        <v>0</v>
      </c>
      <c r="SJ25" s="46">
        <v>0</v>
      </c>
      <c r="SK25" s="46">
        <v>0</v>
      </c>
      <c r="SL25" s="46">
        <v>0</v>
      </c>
      <c r="SM25" s="46">
        <v>0</v>
      </c>
      <c r="SN25" s="46">
        <v>0</v>
      </c>
      <c r="SO25" s="46">
        <v>0</v>
      </c>
      <c r="SP25" s="46">
        <v>118000</v>
      </c>
      <c r="SQ25" s="46">
        <v>1134542</v>
      </c>
      <c r="SR25" s="46">
        <v>1253954</v>
      </c>
      <c r="SS25" s="46">
        <v>544785</v>
      </c>
      <c r="ST25" s="46">
        <v>190523</v>
      </c>
      <c r="SU25" s="46">
        <v>0</v>
      </c>
      <c r="SV25" s="46">
        <v>0</v>
      </c>
      <c r="SW25" s="46">
        <v>-15989312</v>
      </c>
      <c r="SX25" s="46">
        <v>0</v>
      </c>
      <c r="SY25" s="46">
        <v>0</v>
      </c>
      <c r="SZ25" s="46">
        <v>185030</v>
      </c>
      <c r="TA25" s="46">
        <v>152840</v>
      </c>
      <c r="TB25" s="46">
        <v>46075</v>
      </c>
      <c r="TC25" s="46">
        <v>0</v>
      </c>
      <c r="TD25" s="46">
        <v>556288</v>
      </c>
      <c r="TE25" s="46">
        <v>30697</v>
      </c>
      <c r="TF25" s="46">
        <v>35583</v>
      </c>
      <c r="TG25" s="46">
        <v>1572506</v>
      </c>
      <c r="TH25" s="46">
        <v>544785</v>
      </c>
      <c r="TI25" s="46">
        <v>0</v>
      </c>
      <c r="TJ25" s="46">
        <v>733745</v>
      </c>
      <c r="TK25" s="46">
        <v>0</v>
      </c>
      <c r="TL25" s="46">
        <v>67763</v>
      </c>
      <c r="TM25" s="46">
        <v>0</v>
      </c>
      <c r="TN25" s="46">
        <v>0</v>
      </c>
      <c r="TO25" s="46">
        <v>0</v>
      </c>
      <c r="TP25" s="46">
        <v>0</v>
      </c>
      <c r="TQ25" s="46">
        <v>0</v>
      </c>
      <c r="TR25" s="46">
        <v>0</v>
      </c>
      <c r="TS25" s="46">
        <v>0</v>
      </c>
      <c r="TT25" s="46">
        <v>0</v>
      </c>
      <c r="TU25" s="46">
        <v>0</v>
      </c>
      <c r="TV25" s="46">
        <v>0</v>
      </c>
      <c r="TW25" s="46">
        <v>0</v>
      </c>
      <c r="TX25" s="46">
        <v>0</v>
      </c>
      <c r="TY25" s="46">
        <v>0</v>
      </c>
      <c r="TZ25" s="46">
        <v>0</v>
      </c>
      <c r="UA25" s="46">
        <v>0</v>
      </c>
      <c r="UB25" s="46">
        <v>0</v>
      </c>
      <c r="UC25" s="46">
        <v>0</v>
      </c>
      <c r="UD25" s="46">
        <v>0</v>
      </c>
      <c r="UE25" s="46">
        <v>59949344</v>
      </c>
      <c r="UF25" s="46">
        <v>6529372</v>
      </c>
      <c r="UG25" s="46">
        <v>2431596</v>
      </c>
      <c r="UH25" s="46">
        <v>0</v>
      </c>
      <c r="UI25" s="46">
        <v>17844594</v>
      </c>
      <c r="UJ25" s="46">
        <v>23119743</v>
      </c>
      <c r="UK25" s="46">
        <v>17994343</v>
      </c>
      <c r="UL25" s="46">
        <v>19879010</v>
      </c>
      <c r="UM25" s="46">
        <v>16047064</v>
      </c>
      <c r="UN25" s="46">
        <v>39340380</v>
      </c>
      <c r="UO2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3123804</v>
      </c>
      <c r="UP25" s="46">
        <f>SUM(Input[[#This Row],[Oth Exp E&amp;G]],Input[[#This Row],[Oth Exp Desg]],Input[[#This Row],[Oth Exp Aux]],Input[[#This Row],[Oth Exp R Exp]],Input[[#This Row],[Oth Exp Loan]],Input[[#This Row],[Oth Exp Annuity]],Input[[#This Row],[Oth Exp Unexp]],Input[[#This Row],[Oth Exp R of Ind]],Input[[#This Row],[Oth Exp Inv in P]])</f>
        <v>4017351</v>
      </c>
      <c r="UQ25" s="46"/>
      <c r="UR25" s="46"/>
      <c r="US25" s="8" t="s">
        <v>742</v>
      </c>
      <c r="UT25" s="47">
        <v>9798459761</v>
      </c>
      <c r="UU25" s="8" t="s">
        <v>71</v>
      </c>
      <c r="UV25" s="8" t="s">
        <v>743</v>
      </c>
      <c r="UW25" s="47">
        <v>9034686019</v>
      </c>
      <c r="UX25" s="8" t="s">
        <v>744</v>
      </c>
      <c r="UY25" s="51" cm="1">
        <f t="array" ref="UY25">IFERROR(_xlfn.IFS(Input[[#This Row],[Type]]="HRI",SUMIFS('FTSE | FTFE'!$P$8:$P$77,'FTSE | FTFE'!$H$8:$H$77,A25),Input[[#This Row],[Type]]="UNIV",SUMIFS('FTSE | FTFE'!$P$104:$P$139,'FTSE | FTFE'!$H$104:$H$139,A25),OR(Input[[#This Row],[Type]]="TSTC",Input[[#This Row],[Type]]="LSC"),SUMIFS('FTSE | FTFE'!$O$88:$O$96,'FTSE | FTFE'!$H$88:$H$96,A25),Input[[#This Row],[Type]]="AHM",SUMIFS(Hidden!$H$42:$H$45,Hidden!$G$42:$G$45,A25)),"N/A")</f>
        <v>10094</v>
      </c>
      <c r="UZ25" s="51" cm="1">
        <f t="array" ref="UZ25">IFERROR(_xlfn.IFS(Input[[#This Row],[Type]]="HRI",SUMIFS('FTSE | FTFE'!$Q$8:$Q$77,'FTSE | FTFE'!$H$8:$H$77,A25),Input[[#This Row],[Type]]="UNIV",SUMIFS('FTSE | FTFE'!$Q$104:$Q$139,'FTSE | FTFE'!$H$104:$H$139,A25),OR(Input[[#This Row],[Type]]="TSTC",Input[[#This Row],[Type]]="LSC"),SUMIFS('FTSE | FTFE'!$P$88:$P$96,'FTSE | FTFE'!$H$88:$H$96,A25)),"N/A")</f>
        <v>184</v>
      </c>
      <c r="VA2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76267610</v>
      </c>
      <c r="VB2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11459464</v>
      </c>
      <c r="VC25" s="46">
        <f>SUM(Input[[#This Row],[Fed G&amp;C E&amp;G]],Input[[#This Row],[Fed G&amp;C Desg]],Input[[#This Row],[Fed G&amp;C R Exp]],Input[[#This Row],[Fed G&amp;C Loan]],Input[[#This Row],[Fed G&amp;C Annuity]],Input[[#This Row],[Fed G&amp;C Unexp]],Input[[#This Row],[Fed G&amp;C R of Ind]],Input[[#This Row],[Fed G&amp;C Inv in P]])</f>
        <v>30251289</v>
      </c>
      <c r="VD2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36360459</v>
      </c>
      <c r="VE2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26391261</v>
      </c>
      <c r="VF2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24333455</v>
      </c>
      <c r="VG25" s="46">
        <f>SUM(Input[[#This Row],[Oth Inc E&amp;G]],Input[[#This Row],[Oth Exp Desg]],Input[[#This Row],[Oth Exp R Exp]],Input[[#This Row],[Oth Exp Loan]],Input[[#This Row],[Oth Exp Annuity]],Input[[#This Row],[Oth Exp Unexp]],Input[[#This Row],[Oth Exp R of Ind]],Input[[#This Row],[Oth Exp Inv in P]])</f>
        <v>4019524</v>
      </c>
      <c r="VH25" s="46">
        <f>SUM(Input[[#This Row],[Instr E&amp;G]],Input[[#This Row],[Instr Desg]],Input[[#This Row],[Instr R Exp]],Input[[#This Row],[Instr Loan]],Input[[#This Row],[Instr Annuity]],Input[[#This Row],[Instr Unexp]],Input[[#This Row],[Instr R of Ind]],Input[[#This Row],[Instr Inv in P]])</f>
        <v>59949344</v>
      </c>
      <c r="VI25" s="46">
        <f>SUM(Input[[#This Row],[Res E&amp;G]],Input[[#This Row],[Res Desg]],Input[[#This Row],[Res R Exp]],Input[[#This Row],[Res Loan]],Input[[#This Row],[Res Annuity]],Input[[#This Row],[Res Unexp]],Input[[#This Row],[Res R of Ind]],Input[[#This Row],[Res Inv in P]])</f>
        <v>6529372</v>
      </c>
      <c r="VJ25" s="46">
        <f>SUM(Input[[#This Row],[Acad Sup E&amp;G]],Input[[#This Row],[Acad Sup Desg]],Input[[#This Row],[Acad Sup R Exp]],Input[[#This Row],[Acad Sup Loan]],Input[[#This Row],[Acad Sup Annuity]],Input[[#This Row],[Acad Sup Unexp]],Input[[#This Row],[Acad Sup R of Ind]],Input[[#This Row],[Acad Sup Inv in P]])</f>
        <v>17844594</v>
      </c>
      <c r="VK25" s="46">
        <f>SUM(Input[[#This Row],[Stu Svc E&amp;G]],Input[[#This Row],[Stu Svc Desg]],Input[[#This Row],[Stu Svc R Exp]],Input[[#This Row],[Stu Svc Loan]],Input[[#This Row],[Stu Svc Annuity]],Input[[#This Row],[Stu Svc Unexp]],Input[[#This Row],[Stu Svc R of Ind]],Input[[#This Row],[Stu Svc Inv in P]])</f>
        <v>23119743</v>
      </c>
      <c r="VL25" s="46">
        <f>SUM(Input[[#This Row],[Inst. Spt E&amp;G]],Input[[#This Row],[Inst. Spt Desg]],Input[[#This Row],[Inst. Spt R Exp]],Input[[#This Row],[Inst. Spt Loan]],Input[[#This Row],[Inst. Spt Annuity]],Input[[#This Row],[Inst. Spt Unexp]],Input[[#This Row],[Inst. Spt R of Ind]],Input[[#This Row],[Inst. Spt Inv in P]])</f>
        <v>17994343</v>
      </c>
      <c r="VM25" s="46">
        <f>SUM(Input[[#This Row],[M&amp;O Plnt E&amp;G]],Input[[#This Row],[M&amp;O Plnt Desg]],Input[[#This Row],[M&amp;O Plnt R Exp]],Input[[#This Row],[M&amp;O Plnt Loan]],Input[[#This Row],[M&amp;O Plnt Annuity]],Input[[#This Row],[M&amp;O Plnt Unexp]],Input[[#This Row],[M&amp;O Plnt R of Ind]],Input[[#This Row],[M&amp;O Plnt Inv in P]])</f>
        <v>19879010</v>
      </c>
      <c r="VN25" s="46">
        <f>SUM(Input[[#This Row],[Schl &amp; Fell E&amp;G]],Input[[#This Row],[Schl &amp; Fell Desg]],Input[[#This Row],[Schl &amp; Fell R Exp]],Input[[#This Row],[Schl &amp; Fell Loan]],Input[[#This Row],[Schl &amp; Fell Annuity]],Input[[#This Row],[Schl &amp; Fell Unexp]],Input[[#This Row],[Schl &amp; Fell R of Ind]],Input[[#This Row],[Schl &amp; Fell Inv in P]])</f>
        <v>16047064</v>
      </c>
      <c r="VO25" s="46">
        <f>SUM(Input[[#This Row],[Cap Out fund E&amp;G]],Input[[#This Row],[Cap Out fund Desg]],Input[[#This Row],[Cap Out fund R Exp]],Input[[#This Row],[Cap Out fund Loan]],Input[[#This Row],[Cap Out fund Annuity]],Input[[#This Row],[Cap Out fund Unexp]],Input[[#This Row],[Cap Out fund R of Ind]],Input[[#This Row],[Cap Out fund Inv in P]])</f>
        <v>2579019</v>
      </c>
      <c r="VP25" s="46">
        <f>SUM(Input[[#This Row],[Oth Exp E&amp;G]],Input[[#This Row],[Oth Exp Desg]],Input[[#This Row],[Oth Exp R Exp]],Input[[#This Row],[Oth Exp Loan]],Input[[#This Row],[Oth Exp Annuity]],Input[[#This Row],[Oth Exp Unexp]],Input[[#This Row],[Oth Exp R of Ind]],Input[[#This Row],[Oth Exp Inv in P]],Input[[#This Row],[Oth Exp Inv in P]])</f>
        <v>6652407</v>
      </c>
    </row>
    <row r="26" spans="1:588" ht="30" customHeight="1" x14ac:dyDescent="0.3">
      <c r="A26" s="15" t="s">
        <v>13</v>
      </c>
      <c r="B26" s="36" t="s">
        <v>111</v>
      </c>
      <c r="C26" s="36" t="s">
        <v>110</v>
      </c>
      <c r="D26" s="36">
        <v>212</v>
      </c>
      <c r="E26" s="36" t="s">
        <v>132</v>
      </c>
      <c r="F26" s="95" cm="1">
        <f t="array" ref="F26">IFERROR(_xlfn.IFS(Input[[#This Row],[Type]]="HRI",SUMIFS('FTSE | FTFE'!$I$8:$I$77,'FTSE | FTFE'!$H$8:$H$77,A26),Input[[#This Row],[Type]]="UNIV",SUMIFS('FTSE | FTFE'!$I$104:$I$139,'FTSE | FTFE'!$H$104:$H$139,A26),OR(Input[[#This Row],[Type]]="TSTC",Input[[#This Row],[Type]]="LSC"),SUMIFS('FTSE | FTFE'!$I$88:$I$96,'FTSE | FTFE'!$H$88:$H$96,A26)),"N/A")</f>
        <v>29269</v>
      </c>
      <c r="G26" s="46">
        <v>37027326</v>
      </c>
      <c r="H26" s="46">
        <v>0</v>
      </c>
      <c r="I26" s="46">
        <v>0</v>
      </c>
      <c r="J26" s="46">
        <v>0</v>
      </c>
      <c r="K26" s="46">
        <v>0</v>
      </c>
      <c r="L26" s="46">
        <v>0</v>
      </c>
      <c r="M26" s="46">
        <v>0</v>
      </c>
      <c r="N26" s="46">
        <v>0</v>
      </c>
      <c r="O26" s="46">
        <v>0</v>
      </c>
      <c r="P26" s="46">
        <v>2236203</v>
      </c>
      <c r="Q26" s="46">
        <v>17000</v>
      </c>
      <c r="R26" s="46">
        <v>0</v>
      </c>
      <c r="S26" s="46">
        <v>390320</v>
      </c>
      <c r="T26" s="46">
        <v>0</v>
      </c>
      <c r="U26" s="46">
        <v>0</v>
      </c>
      <c r="V26" s="46">
        <v>0</v>
      </c>
      <c r="W26" s="46">
        <v>0</v>
      </c>
      <c r="X26" s="46">
        <v>0</v>
      </c>
      <c r="Y26" s="46">
        <v>2112129</v>
      </c>
      <c r="Z26" s="46">
        <v>0</v>
      </c>
      <c r="AA26" s="46">
        <v>0</v>
      </c>
      <c r="AB26" s="46">
        <v>0</v>
      </c>
      <c r="AC26" s="46">
        <v>0</v>
      </c>
      <c r="AD26" s="46">
        <v>0</v>
      </c>
      <c r="AE26" s="46">
        <v>0</v>
      </c>
      <c r="AF26" s="46">
        <v>0</v>
      </c>
      <c r="AG26" s="46">
        <v>0</v>
      </c>
      <c r="AH26" s="46">
        <v>0</v>
      </c>
      <c r="AI26" s="46">
        <v>0</v>
      </c>
      <c r="AJ26" s="46">
        <v>0</v>
      </c>
      <c r="AK26" s="46">
        <v>0</v>
      </c>
      <c r="AL26" s="46">
        <v>0</v>
      </c>
      <c r="AM26" s="46">
        <v>0</v>
      </c>
      <c r="AN26" s="46">
        <v>0</v>
      </c>
      <c r="AO26" s="46">
        <v>0</v>
      </c>
      <c r="AP26" s="46">
        <v>0</v>
      </c>
      <c r="AQ26" s="46">
        <v>-6097885</v>
      </c>
      <c r="AR26" s="46">
        <v>0</v>
      </c>
      <c r="AS26" s="46">
        <v>0</v>
      </c>
      <c r="AT26" s="46">
        <v>0</v>
      </c>
      <c r="AU26" s="46">
        <v>0</v>
      </c>
      <c r="AV26" s="46">
        <v>0</v>
      </c>
      <c r="AW26" s="46">
        <v>0</v>
      </c>
      <c r="AX26" s="46">
        <v>0</v>
      </c>
      <c r="AY26" s="46">
        <v>0</v>
      </c>
      <c r="AZ26" s="46">
        <v>0</v>
      </c>
      <c r="BA26" s="46">
        <v>0</v>
      </c>
      <c r="BB26" s="46">
        <v>0</v>
      </c>
      <c r="BC26" s="46">
        <v>0</v>
      </c>
      <c r="BD26" s="46">
        <v>0</v>
      </c>
      <c r="BE26" s="46">
        <v>0</v>
      </c>
      <c r="BF26" s="46">
        <v>0</v>
      </c>
      <c r="BG26" s="46">
        <v>0</v>
      </c>
      <c r="BH26" s="46">
        <v>0</v>
      </c>
      <c r="BI26" s="46">
        <v>0</v>
      </c>
      <c r="BJ26" s="46">
        <v>0</v>
      </c>
      <c r="BK26" s="46">
        <v>0</v>
      </c>
      <c r="BL26" s="46">
        <v>0</v>
      </c>
      <c r="BM26" s="46">
        <v>0</v>
      </c>
      <c r="BN26" s="46">
        <v>0</v>
      </c>
      <c r="BO26" s="46">
        <v>0</v>
      </c>
      <c r="BP26" s="46">
        <v>0</v>
      </c>
      <c r="BQ26" s="46">
        <v>0</v>
      </c>
      <c r="BR26" s="46">
        <v>0</v>
      </c>
      <c r="BS26" s="46">
        <v>0</v>
      </c>
      <c r="BT26" s="46">
        <v>0</v>
      </c>
      <c r="BU26" s="46">
        <v>0</v>
      </c>
      <c r="BV26" s="46">
        <v>0</v>
      </c>
      <c r="BW26" s="46">
        <v>0</v>
      </c>
      <c r="BX26" s="46">
        <v>0</v>
      </c>
      <c r="BY26" s="46">
        <v>0</v>
      </c>
      <c r="BZ26" s="46">
        <v>0</v>
      </c>
      <c r="CA26" s="46">
        <v>2973208</v>
      </c>
      <c r="CB26" s="46">
        <v>11352997</v>
      </c>
      <c r="CC26" s="46">
        <v>0</v>
      </c>
      <c r="CD26" s="46">
        <v>0</v>
      </c>
      <c r="CE26" s="46">
        <v>0</v>
      </c>
      <c r="CF26" s="46">
        <v>0</v>
      </c>
      <c r="CG26" s="46">
        <v>0</v>
      </c>
      <c r="CH26" s="46">
        <v>0</v>
      </c>
      <c r="CI26" s="46">
        <v>0</v>
      </c>
      <c r="CJ26" s="46">
        <v>0</v>
      </c>
      <c r="CK26" s="46">
        <v>0</v>
      </c>
      <c r="CL26" s="46">
        <v>0</v>
      </c>
      <c r="CM26" s="46">
        <v>0</v>
      </c>
      <c r="CN26" s="46">
        <v>0</v>
      </c>
      <c r="CO26" s="46">
        <v>0</v>
      </c>
      <c r="CP26" s="46">
        <v>0</v>
      </c>
      <c r="CQ26" s="46">
        <v>0</v>
      </c>
      <c r="CR26" s="46">
        <v>0</v>
      </c>
      <c r="CS26" s="46">
        <v>0</v>
      </c>
      <c r="CT26" s="46">
        <v>0</v>
      </c>
      <c r="CU26" s="46">
        <v>0</v>
      </c>
      <c r="CV26" s="46">
        <v>0</v>
      </c>
      <c r="CW26" s="46">
        <v>0</v>
      </c>
      <c r="CX26" s="46">
        <v>0</v>
      </c>
      <c r="CY26" s="46">
        <v>0</v>
      </c>
      <c r="CZ26" s="46">
        <v>0</v>
      </c>
      <c r="DA26" s="46">
        <v>0</v>
      </c>
      <c r="DB26" s="46">
        <v>-194650</v>
      </c>
      <c r="DC26" s="46">
        <v>-722100</v>
      </c>
      <c r="DD26" s="46">
        <v>0</v>
      </c>
      <c r="DE26" s="46">
        <v>0</v>
      </c>
      <c r="DF26" s="46">
        <v>0</v>
      </c>
      <c r="DG26" s="46">
        <v>0</v>
      </c>
      <c r="DH26" s="46">
        <v>0</v>
      </c>
      <c r="DI26" s="46">
        <v>0</v>
      </c>
      <c r="DJ26" s="46">
        <v>0</v>
      </c>
      <c r="DK26" s="46">
        <v>0</v>
      </c>
      <c r="DL26" s="46">
        <v>0</v>
      </c>
      <c r="DM26" s="46">
        <v>0</v>
      </c>
      <c r="DN26" s="46">
        <v>0</v>
      </c>
      <c r="DO26" s="46">
        <v>0</v>
      </c>
      <c r="DP26" s="46">
        <v>0</v>
      </c>
      <c r="DQ26" s="46">
        <v>0</v>
      </c>
      <c r="DR26" s="46">
        <v>0</v>
      </c>
      <c r="DS26" s="46">
        <v>0</v>
      </c>
      <c r="DT26" s="46">
        <v>-1130329</v>
      </c>
      <c r="DU26" s="46">
        <v>-4337244</v>
      </c>
      <c r="DV26" s="46">
        <v>0</v>
      </c>
      <c r="DW26" s="46">
        <v>0</v>
      </c>
      <c r="DX26" s="46">
        <v>0</v>
      </c>
      <c r="DY26" s="46">
        <v>0</v>
      </c>
      <c r="DZ26" s="46">
        <v>0</v>
      </c>
      <c r="EA26" s="46">
        <v>0</v>
      </c>
      <c r="EB26" s="46">
        <v>0</v>
      </c>
      <c r="EC26" s="46">
        <v>0</v>
      </c>
      <c r="ED26" s="46">
        <v>0</v>
      </c>
      <c r="EE26" s="46">
        <v>0</v>
      </c>
      <c r="EF26" s="46">
        <v>0</v>
      </c>
      <c r="EG26" s="46">
        <v>0</v>
      </c>
      <c r="EH26" s="46">
        <v>0</v>
      </c>
      <c r="EI26" s="46">
        <v>0</v>
      </c>
      <c r="EJ26" s="46">
        <v>0</v>
      </c>
      <c r="EK26" s="46">
        <v>0</v>
      </c>
      <c r="EL26" s="46">
        <v>0</v>
      </c>
      <c r="EM26" s="46">
        <v>0</v>
      </c>
      <c r="EN26" s="46">
        <v>0</v>
      </c>
      <c r="EO26" s="46">
        <v>0</v>
      </c>
      <c r="EP26" s="46">
        <v>0</v>
      </c>
      <c r="EQ26" s="46">
        <v>0</v>
      </c>
      <c r="ER26" s="46">
        <v>0</v>
      </c>
      <c r="ES26" s="46">
        <v>0</v>
      </c>
      <c r="ET26" s="46">
        <v>0</v>
      </c>
      <c r="EU26" s="46">
        <v>0</v>
      </c>
      <c r="EV26" s="46">
        <v>0</v>
      </c>
      <c r="EW26" s="46">
        <v>0</v>
      </c>
      <c r="EX26" s="46">
        <v>0</v>
      </c>
      <c r="EY26" s="46">
        <v>0</v>
      </c>
      <c r="EZ26" s="46">
        <v>0</v>
      </c>
      <c r="FA26" s="46">
        <v>0</v>
      </c>
      <c r="FB26" s="46">
        <v>0</v>
      </c>
      <c r="FC26" s="46">
        <v>0</v>
      </c>
      <c r="FD26" s="46">
        <v>0</v>
      </c>
      <c r="FE26" s="46">
        <v>0</v>
      </c>
      <c r="FF26" s="46">
        <v>0</v>
      </c>
      <c r="FG26" s="46">
        <v>0</v>
      </c>
      <c r="FH26" s="46">
        <v>0</v>
      </c>
      <c r="FI26" s="46">
        <v>0</v>
      </c>
      <c r="FJ26" s="46">
        <v>0</v>
      </c>
      <c r="FK26" s="46">
        <v>0</v>
      </c>
      <c r="FL26" s="46">
        <v>0</v>
      </c>
      <c r="FM26" s="46">
        <v>1152</v>
      </c>
      <c r="FN26" s="46">
        <v>4771195</v>
      </c>
      <c r="FO26" s="46">
        <v>1142960</v>
      </c>
      <c r="FP26" s="46">
        <v>0</v>
      </c>
      <c r="FQ26" s="46">
        <v>0</v>
      </c>
      <c r="FR26" s="46">
        <v>0</v>
      </c>
      <c r="FS26" s="46">
        <v>0</v>
      </c>
      <c r="FT26" s="46">
        <v>0</v>
      </c>
      <c r="FU26" s="46">
        <v>0</v>
      </c>
      <c r="FV26" s="46">
        <v>0</v>
      </c>
      <c r="FW26" s="46">
        <v>0</v>
      </c>
      <c r="FX26" s="46">
        <v>0</v>
      </c>
      <c r="FY26" s="46">
        <v>0</v>
      </c>
      <c r="FZ26" s="46">
        <v>0</v>
      </c>
      <c r="GA26" s="46">
        <v>0</v>
      </c>
      <c r="GB26" s="46">
        <v>0</v>
      </c>
      <c r="GC26" s="46">
        <v>0</v>
      </c>
      <c r="GD26" s="46">
        <v>0</v>
      </c>
      <c r="GE26" s="46">
        <v>0</v>
      </c>
      <c r="GF26" s="46">
        <v>0</v>
      </c>
      <c r="GG26" s="46">
        <v>0</v>
      </c>
      <c r="GH26" s="46">
        <v>0</v>
      </c>
      <c r="GI26" s="46">
        <v>0</v>
      </c>
      <c r="GJ26" s="46">
        <v>0</v>
      </c>
      <c r="GK26" s="46">
        <v>0</v>
      </c>
      <c r="GL26" s="46">
        <v>0</v>
      </c>
      <c r="GM26" s="46">
        <v>0</v>
      </c>
      <c r="GN26" s="46">
        <v>-78</v>
      </c>
      <c r="GO26" s="46">
        <v>-303465</v>
      </c>
      <c r="GP26" s="46">
        <v>-77891</v>
      </c>
      <c r="GQ26" s="46">
        <v>0</v>
      </c>
      <c r="GR26" s="46">
        <v>0</v>
      </c>
      <c r="GS26" s="46">
        <v>0</v>
      </c>
      <c r="GT26" s="46">
        <v>0</v>
      </c>
      <c r="GU26" s="46">
        <v>0</v>
      </c>
      <c r="GV26" s="46">
        <v>0</v>
      </c>
      <c r="GW26" s="46">
        <v>0</v>
      </c>
      <c r="GX26" s="46">
        <v>0</v>
      </c>
      <c r="GY26" s="46">
        <v>0</v>
      </c>
      <c r="GZ26" s="46">
        <v>0</v>
      </c>
      <c r="HA26" s="46">
        <v>0</v>
      </c>
      <c r="HB26" s="46">
        <v>0</v>
      </c>
      <c r="HC26" s="46">
        <v>0</v>
      </c>
      <c r="HD26" s="46">
        <v>0</v>
      </c>
      <c r="HE26" s="46">
        <v>0</v>
      </c>
      <c r="HF26" s="46">
        <v>-435</v>
      </c>
      <c r="HG26" s="46">
        <v>-1822768</v>
      </c>
      <c r="HH26" s="46">
        <v>-431457</v>
      </c>
      <c r="HI26" s="46">
        <v>0</v>
      </c>
      <c r="HJ26" s="46">
        <v>0</v>
      </c>
      <c r="HK26" s="46">
        <v>0</v>
      </c>
      <c r="HL26" s="46">
        <v>0</v>
      </c>
      <c r="HM26" s="46">
        <v>0</v>
      </c>
      <c r="HN26" s="46">
        <v>0</v>
      </c>
      <c r="HO26" s="46">
        <v>-2124</v>
      </c>
      <c r="HP26" s="46">
        <v>21463</v>
      </c>
      <c r="HQ26" s="46">
        <v>0</v>
      </c>
      <c r="HR26" s="46">
        <v>7692478</v>
      </c>
      <c r="HS26" s="46">
        <v>0</v>
      </c>
      <c r="HT26" s="46">
        <v>0</v>
      </c>
      <c r="HU26" s="46">
        <v>0</v>
      </c>
      <c r="HV26" s="46">
        <v>0</v>
      </c>
      <c r="HW26" s="46">
        <v>0</v>
      </c>
      <c r="HX26" s="46">
        <v>0</v>
      </c>
      <c r="HY26" s="46">
        <v>0</v>
      </c>
      <c r="HZ26" s="46">
        <v>0</v>
      </c>
      <c r="IA26" s="46">
        <v>0</v>
      </c>
      <c r="IB26" s="46">
        <v>0</v>
      </c>
      <c r="IC26" s="46">
        <v>0</v>
      </c>
      <c r="ID26" s="46">
        <v>0</v>
      </c>
      <c r="IE26" s="46">
        <v>0</v>
      </c>
      <c r="IF26" s="46">
        <v>0</v>
      </c>
      <c r="IG26" s="46">
        <v>0</v>
      </c>
      <c r="IH26" s="46">
        <v>0</v>
      </c>
      <c r="II26" s="46">
        <v>0</v>
      </c>
      <c r="IJ26" s="46">
        <v>0</v>
      </c>
      <c r="IK26" s="46">
        <v>0</v>
      </c>
      <c r="IL26" s="46">
        <v>0</v>
      </c>
      <c r="IM26" s="46">
        <v>0</v>
      </c>
      <c r="IN26" s="46">
        <v>0</v>
      </c>
      <c r="IO26" s="46">
        <v>0</v>
      </c>
      <c r="IP26" s="46">
        <v>151102</v>
      </c>
      <c r="IQ26" s="46">
        <v>2493250</v>
      </c>
      <c r="IR26" s="46">
        <v>0</v>
      </c>
      <c r="IS26" s="46">
        <v>503803</v>
      </c>
      <c r="IT26" s="46">
        <v>0</v>
      </c>
      <c r="IU26" s="46">
        <v>1940</v>
      </c>
      <c r="IV26" s="46">
        <v>0</v>
      </c>
      <c r="IW26" s="46">
        <v>0</v>
      </c>
      <c r="IX26" s="46">
        <v>0</v>
      </c>
      <c r="IY26" s="46">
        <v>0</v>
      </c>
      <c r="IZ26" s="46">
        <v>0</v>
      </c>
      <c r="JA26" s="46">
        <v>0</v>
      </c>
      <c r="JB26" s="46">
        <v>0</v>
      </c>
      <c r="JC26" s="46">
        <v>0</v>
      </c>
      <c r="JD26" s="46">
        <v>0</v>
      </c>
      <c r="JE26" s="46">
        <v>0</v>
      </c>
      <c r="JF26" s="46">
        <v>0</v>
      </c>
      <c r="JG26" s="46">
        <v>0</v>
      </c>
      <c r="JH26" s="46">
        <v>0</v>
      </c>
      <c r="JI26" s="46">
        <v>48276</v>
      </c>
      <c r="JJ26" s="46">
        <v>75617</v>
      </c>
      <c r="JK26" s="46">
        <v>7922406</v>
      </c>
      <c r="JL26" s="46">
        <v>0</v>
      </c>
      <c r="JM26" s="46">
        <v>0</v>
      </c>
      <c r="JN26" s="46">
        <v>400000</v>
      </c>
      <c r="JO26" s="46">
        <v>0</v>
      </c>
      <c r="JP26" s="46">
        <v>0</v>
      </c>
      <c r="JQ26" s="46">
        <v>0</v>
      </c>
      <c r="JR26" s="46">
        <v>552641</v>
      </c>
      <c r="JS26" s="46">
        <v>0</v>
      </c>
      <c r="JT26" s="46">
        <v>18110</v>
      </c>
      <c r="JU26" s="46">
        <v>0</v>
      </c>
      <c r="JV26" s="46">
        <v>0</v>
      </c>
      <c r="JW26" s="46">
        <v>1500</v>
      </c>
      <c r="JX26" s="46">
        <v>0</v>
      </c>
      <c r="JY26" s="46">
        <v>0</v>
      </c>
      <c r="JZ26" s="46">
        <v>0</v>
      </c>
      <c r="KA26" s="46">
        <v>0</v>
      </c>
      <c r="KB26" s="46">
        <v>1474465</v>
      </c>
      <c r="KC26" s="46">
        <v>0</v>
      </c>
      <c r="KD26" s="46">
        <v>0</v>
      </c>
      <c r="KE26" s="46">
        <v>0</v>
      </c>
      <c r="KF26" s="46">
        <v>0</v>
      </c>
      <c r="KG26" s="46">
        <v>0</v>
      </c>
      <c r="KH26" s="46">
        <v>0</v>
      </c>
      <c r="KI26" s="46">
        <v>193</v>
      </c>
      <c r="KJ26" s="46">
        <v>36998</v>
      </c>
      <c r="KK26" s="46">
        <v>14766</v>
      </c>
      <c r="KL26" s="46">
        <v>0</v>
      </c>
      <c r="KM26" s="46">
        <v>940</v>
      </c>
      <c r="KN26" s="46">
        <v>291102</v>
      </c>
      <c r="KO26" s="46">
        <v>0</v>
      </c>
      <c r="KP26" s="46">
        <v>0</v>
      </c>
      <c r="KQ26" s="46">
        <v>-9394</v>
      </c>
      <c r="KR26" s="46">
        <v>15860469</v>
      </c>
      <c r="KS26" s="46">
        <v>2649579</v>
      </c>
      <c r="KT26" s="46">
        <v>0</v>
      </c>
      <c r="KU26" s="46">
        <v>49762</v>
      </c>
      <c r="KV26" s="46">
        <v>0</v>
      </c>
      <c r="KW26" s="46">
        <v>0</v>
      </c>
      <c r="KX26" s="46">
        <v>0</v>
      </c>
      <c r="KY26" s="46">
        <v>0</v>
      </c>
      <c r="KZ26" s="46">
        <v>0</v>
      </c>
      <c r="LA26" s="46">
        <v>530</v>
      </c>
      <c r="LB26" s="46">
        <v>8798</v>
      </c>
      <c r="LC26" s="46">
        <v>0</v>
      </c>
      <c r="LD26" s="46">
        <v>32973</v>
      </c>
      <c r="LE26" s="46">
        <v>0</v>
      </c>
      <c r="LF26" s="46">
        <v>0</v>
      </c>
      <c r="LG26" s="46">
        <v>0</v>
      </c>
      <c r="LH26" s="46">
        <v>0</v>
      </c>
      <c r="LI26" s="46">
        <v>0</v>
      </c>
      <c r="LJ26" s="46">
        <v>863367</v>
      </c>
      <c r="LK26" s="46">
        <v>15208</v>
      </c>
      <c r="LL26" s="46">
        <v>0</v>
      </c>
      <c r="LM26" s="46">
        <v>43773</v>
      </c>
      <c r="LN26" s="46">
        <v>0</v>
      </c>
      <c r="LO26" s="46">
        <v>0</v>
      </c>
      <c r="LP26" s="46">
        <v>0</v>
      </c>
      <c r="LQ26" s="46">
        <v>0</v>
      </c>
      <c r="LR26" s="46">
        <v>0</v>
      </c>
      <c r="LS26" s="46">
        <v>0</v>
      </c>
      <c r="LT26" s="46">
        <v>0</v>
      </c>
      <c r="LU26" s="46">
        <v>0</v>
      </c>
      <c r="LV26" s="46">
        <v>0</v>
      </c>
      <c r="LW26" s="46">
        <v>0</v>
      </c>
      <c r="LX26" s="46">
        <v>0</v>
      </c>
      <c r="LY26" s="46">
        <v>0</v>
      </c>
      <c r="LZ26" s="46">
        <v>0</v>
      </c>
      <c r="MA26" s="46">
        <v>0</v>
      </c>
      <c r="MB26" s="46">
        <v>3952223</v>
      </c>
      <c r="MC26" s="46">
        <v>983365</v>
      </c>
      <c r="MD26" s="46">
        <v>0</v>
      </c>
      <c r="ME26" s="46">
        <v>309156</v>
      </c>
      <c r="MF26" s="46">
        <v>0</v>
      </c>
      <c r="MG26" s="46">
        <v>0</v>
      </c>
      <c r="MH26" s="46">
        <v>0</v>
      </c>
      <c r="MI26" s="46">
        <v>0</v>
      </c>
      <c r="MJ26" s="46">
        <v>0</v>
      </c>
      <c r="MK26" s="46">
        <v>2890870</v>
      </c>
      <c r="ML26" s="46">
        <v>1705851</v>
      </c>
      <c r="MM26" s="46">
        <v>0</v>
      </c>
      <c r="MN26" s="46">
        <v>608705</v>
      </c>
      <c r="MO26" s="46">
        <v>3480</v>
      </c>
      <c r="MP26" s="46">
        <v>0</v>
      </c>
      <c r="MQ26" s="46">
        <v>0</v>
      </c>
      <c r="MR26" s="46">
        <v>0</v>
      </c>
      <c r="MS26" s="46">
        <v>0</v>
      </c>
      <c r="MT26" s="46">
        <v>5362362</v>
      </c>
      <c r="MU26" s="46">
        <v>4078842</v>
      </c>
      <c r="MV26" s="46">
        <v>0</v>
      </c>
      <c r="MW26" s="46">
        <v>5955</v>
      </c>
      <c r="MX26" s="46">
        <v>0</v>
      </c>
      <c r="MY26" s="46">
        <v>0</v>
      </c>
      <c r="MZ26" s="46">
        <v>0</v>
      </c>
      <c r="NA26" s="46">
        <v>0</v>
      </c>
      <c r="NB26" s="46">
        <v>0</v>
      </c>
      <c r="NC26" s="46">
        <v>723787</v>
      </c>
      <c r="ND26" s="46">
        <v>1792536</v>
      </c>
      <c r="NE26" s="46">
        <v>0</v>
      </c>
      <c r="NF26" s="46">
        <v>0</v>
      </c>
      <c r="NG26" s="46">
        <v>0</v>
      </c>
      <c r="NH26" s="46">
        <v>0</v>
      </c>
      <c r="NI26" s="46">
        <v>74248</v>
      </c>
      <c r="NJ26" s="46">
        <v>0</v>
      </c>
      <c r="NK26" s="46">
        <v>0</v>
      </c>
      <c r="NL26" s="46">
        <v>789345</v>
      </c>
      <c r="NM26" s="46">
        <v>2524225</v>
      </c>
      <c r="NN26" s="46">
        <v>0</v>
      </c>
      <c r="NO26" s="46">
        <v>2921537</v>
      </c>
      <c r="NP26" s="46">
        <v>0</v>
      </c>
      <c r="NQ26" s="46">
        <v>0</v>
      </c>
      <c r="NR26" s="46">
        <v>0</v>
      </c>
      <c r="NS26" s="46">
        <v>0</v>
      </c>
      <c r="NT26" s="46">
        <v>0</v>
      </c>
      <c r="NU26" s="46">
        <v>0</v>
      </c>
      <c r="NV26" s="46">
        <v>0</v>
      </c>
      <c r="NW26" s="46">
        <v>4284172</v>
      </c>
      <c r="NX26" s="46">
        <v>0</v>
      </c>
      <c r="NY26" s="46">
        <v>0</v>
      </c>
      <c r="NZ26" s="46">
        <v>0</v>
      </c>
      <c r="OA26" s="46">
        <v>0</v>
      </c>
      <c r="OB26" s="46">
        <v>0</v>
      </c>
      <c r="OC26" s="46">
        <v>0</v>
      </c>
      <c r="OD26" s="46">
        <v>2589494</v>
      </c>
      <c r="OE26" s="46">
        <v>768650</v>
      </c>
      <c r="OF26" s="46">
        <v>263513</v>
      </c>
      <c r="OG26" s="46">
        <v>-432405</v>
      </c>
      <c r="OH26" s="46">
        <v>0</v>
      </c>
      <c r="OI26" s="46">
        <v>0</v>
      </c>
      <c r="OJ26" s="46">
        <v>0</v>
      </c>
      <c r="OK26" s="46">
        <v>0</v>
      </c>
      <c r="OL26" s="46">
        <v>0</v>
      </c>
      <c r="OM26" s="46">
        <v>69447</v>
      </c>
      <c r="ON26" s="46">
        <v>165975</v>
      </c>
      <c r="OO26" s="46">
        <v>0</v>
      </c>
      <c r="OP26" s="46">
        <v>345533</v>
      </c>
      <c r="OQ26" s="46">
        <v>0</v>
      </c>
      <c r="OR26" s="46">
        <v>0</v>
      </c>
      <c r="OS26" s="46">
        <v>0</v>
      </c>
      <c r="OT26" s="46">
        <v>0</v>
      </c>
      <c r="OU26" s="46">
        <v>0</v>
      </c>
      <c r="OV26" s="46">
        <v>0</v>
      </c>
      <c r="OW26" s="46">
        <v>0</v>
      </c>
      <c r="OX26" s="46">
        <v>0</v>
      </c>
      <c r="OY26" s="46">
        <v>0</v>
      </c>
      <c r="OZ26" s="46">
        <v>0</v>
      </c>
      <c r="PA26" s="46">
        <v>0</v>
      </c>
      <c r="PB26" s="46">
        <v>4643175</v>
      </c>
      <c r="PC26" s="46">
        <v>0</v>
      </c>
      <c r="PD26" s="46">
        <v>0</v>
      </c>
      <c r="PE26" s="46">
        <v>-1170700</v>
      </c>
      <c r="PF26" s="46">
        <v>-410913</v>
      </c>
      <c r="PG26" s="46">
        <v>3396433</v>
      </c>
      <c r="PH26" s="46">
        <v>-7019862</v>
      </c>
      <c r="PI26" s="46">
        <v>39229</v>
      </c>
      <c r="PJ26" s="46">
        <v>234657</v>
      </c>
      <c r="PK26" s="46">
        <v>4257175</v>
      </c>
      <c r="PL26" s="46">
        <v>0</v>
      </c>
      <c r="PM26" s="46">
        <v>0</v>
      </c>
      <c r="PN26" s="46">
        <v>0</v>
      </c>
      <c r="PO26" s="46">
        <v>0</v>
      </c>
      <c r="PP26" s="46">
        <v>0</v>
      </c>
      <c r="PQ26" s="46">
        <v>0</v>
      </c>
      <c r="PR26" s="46">
        <v>0</v>
      </c>
      <c r="PS26" s="46">
        <v>0</v>
      </c>
      <c r="PT26" s="46">
        <v>0</v>
      </c>
      <c r="PU26" s="46">
        <v>0</v>
      </c>
      <c r="PV26" s="46">
        <v>0</v>
      </c>
      <c r="PW26" s="46">
        <v>-11442600</v>
      </c>
      <c r="PX26" s="46">
        <v>0</v>
      </c>
      <c r="PY26" s="46">
        <v>-1093650</v>
      </c>
      <c r="PZ26" s="46">
        <v>0</v>
      </c>
      <c r="QA26" s="46">
        <v>0</v>
      </c>
      <c r="QB26" s="46">
        <v>0</v>
      </c>
      <c r="QC26" s="46">
        <v>0</v>
      </c>
      <c r="QD26" s="46">
        <v>0</v>
      </c>
      <c r="QE26" s="46">
        <v>0</v>
      </c>
      <c r="QF26" s="46">
        <v>0</v>
      </c>
      <c r="QG26" s="46">
        <v>-827834</v>
      </c>
      <c r="QH26" s="46">
        <v>75680</v>
      </c>
      <c r="QI26" s="46">
        <v>1789082</v>
      </c>
      <c r="QJ26" s="46">
        <v>0</v>
      </c>
      <c r="QK26" s="46">
        <v>48524</v>
      </c>
      <c r="QL26" s="46">
        <v>0</v>
      </c>
      <c r="QM26" s="46">
        <v>0</v>
      </c>
      <c r="QN26" s="46">
        <v>0</v>
      </c>
      <c r="QO26" s="46">
        <v>0</v>
      </c>
      <c r="QP26" s="46">
        <v>0</v>
      </c>
      <c r="QQ26" s="46">
        <v>0</v>
      </c>
      <c r="QR26" s="46">
        <v>0</v>
      </c>
      <c r="QS26" s="46">
        <v>0</v>
      </c>
      <c r="QT26" s="46">
        <v>102676</v>
      </c>
      <c r="QU26" s="46">
        <v>0</v>
      </c>
      <c r="QV26" s="46">
        <v>0</v>
      </c>
      <c r="QW26" s="46">
        <v>0</v>
      </c>
      <c r="QX26" s="46">
        <v>0</v>
      </c>
      <c r="QY26" s="46">
        <v>0</v>
      </c>
      <c r="QZ26" s="46">
        <v>0</v>
      </c>
      <c r="RA26" s="46">
        <v>0</v>
      </c>
      <c r="RB26" s="46">
        <v>0</v>
      </c>
      <c r="RC26" s="46">
        <v>0</v>
      </c>
      <c r="RD26" s="46">
        <v>0</v>
      </c>
      <c r="RE26" s="46">
        <v>0</v>
      </c>
      <c r="RF26" s="46">
        <v>0</v>
      </c>
      <c r="RG26" s="46">
        <v>0</v>
      </c>
      <c r="RH26" s="46">
        <v>0</v>
      </c>
      <c r="RI26" s="46">
        <v>0</v>
      </c>
      <c r="RJ26" s="46">
        <v>0</v>
      </c>
      <c r="RK26" s="46">
        <v>0</v>
      </c>
      <c r="RL26" s="46">
        <v>0</v>
      </c>
      <c r="RM26" s="46">
        <v>0</v>
      </c>
      <c r="RN26" s="46">
        <v>0</v>
      </c>
      <c r="RO26" s="46">
        <v>-7900055</v>
      </c>
      <c r="RP26" s="46">
        <v>0</v>
      </c>
      <c r="RQ26" s="46">
        <v>0</v>
      </c>
      <c r="RR26" s="46">
        <v>0</v>
      </c>
      <c r="RS26" s="46">
        <v>0</v>
      </c>
      <c r="RT26" s="46">
        <v>0</v>
      </c>
      <c r="RU26" s="46">
        <v>0</v>
      </c>
      <c r="RV26" s="46">
        <v>0</v>
      </c>
      <c r="RW26" s="46">
        <v>0</v>
      </c>
      <c r="RX26" s="46">
        <v>0</v>
      </c>
      <c r="RY26" s="46">
        <v>0</v>
      </c>
      <c r="RZ26" s="46">
        <v>0</v>
      </c>
      <c r="SA26" s="46">
        <v>0</v>
      </c>
      <c r="SB26" s="46">
        <v>0</v>
      </c>
      <c r="SC26" s="46">
        <v>0</v>
      </c>
      <c r="SD26" s="46">
        <v>0</v>
      </c>
      <c r="SE26" s="46">
        <v>0</v>
      </c>
      <c r="SF26" s="46">
        <v>0</v>
      </c>
      <c r="SG26" s="46">
        <v>0</v>
      </c>
      <c r="SH26" s="46">
        <v>0</v>
      </c>
      <c r="SI26" s="46">
        <v>0</v>
      </c>
      <c r="SJ26" s="46">
        <v>0</v>
      </c>
      <c r="SK26" s="46">
        <v>0</v>
      </c>
      <c r="SL26" s="46">
        <v>0</v>
      </c>
      <c r="SM26" s="46">
        <v>0</v>
      </c>
      <c r="SN26" s="46">
        <v>0</v>
      </c>
      <c r="SO26" s="46">
        <v>0</v>
      </c>
      <c r="SP26" s="46">
        <v>0</v>
      </c>
      <c r="SQ26" s="46">
        <v>2589494</v>
      </c>
      <c r="SR26" s="46">
        <v>768650</v>
      </c>
      <c r="SS26" s="46">
        <v>263513</v>
      </c>
      <c r="ST26" s="46">
        <v>-432405</v>
      </c>
      <c r="SU26" s="46">
        <v>0</v>
      </c>
      <c r="SV26" s="46">
        <v>0</v>
      </c>
      <c r="SW26" s="46">
        <v>-4643175</v>
      </c>
      <c r="SX26" s="46">
        <v>0</v>
      </c>
      <c r="SY26" s="46">
        <v>0</v>
      </c>
      <c r="SZ26" s="46">
        <v>46819</v>
      </c>
      <c r="TA26" s="46">
        <v>75000</v>
      </c>
      <c r="TB26" s="46">
        <v>0</v>
      </c>
      <c r="TC26" s="46">
        <v>0</v>
      </c>
      <c r="TD26" s="46">
        <v>768926</v>
      </c>
      <c r="TE26" s="46">
        <v>-78450</v>
      </c>
      <c r="TF26" s="46">
        <v>2024288</v>
      </c>
      <c r="TG26" s="46">
        <v>89156</v>
      </c>
      <c r="TH26" s="46">
        <v>0</v>
      </c>
      <c r="TI26" s="46">
        <v>263513</v>
      </c>
      <c r="TJ26" s="46">
        <v>0</v>
      </c>
      <c r="TK26" s="46">
        <v>0</v>
      </c>
      <c r="TL26" s="46">
        <v>0</v>
      </c>
      <c r="TM26" s="46">
        <v>0</v>
      </c>
      <c r="TN26" s="46">
        <v>0</v>
      </c>
      <c r="TO26" s="46">
        <v>0</v>
      </c>
      <c r="TP26" s="46">
        <v>0</v>
      </c>
      <c r="TQ26" s="46">
        <v>0</v>
      </c>
      <c r="TR26" s="46">
        <v>0</v>
      </c>
      <c r="TS26" s="46">
        <v>0</v>
      </c>
      <c r="TT26" s="46">
        <v>0</v>
      </c>
      <c r="TU26" s="46">
        <v>0</v>
      </c>
      <c r="TV26" s="46">
        <v>0</v>
      </c>
      <c r="TW26" s="46">
        <v>0</v>
      </c>
      <c r="TX26" s="46">
        <v>0</v>
      </c>
      <c r="TY26" s="46">
        <v>0</v>
      </c>
      <c r="TZ26" s="46">
        <v>0</v>
      </c>
      <c r="UA26" s="46">
        <v>0</v>
      </c>
      <c r="UB26" s="46">
        <v>0</v>
      </c>
      <c r="UC26" s="46">
        <v>0</v>
      </c>
      <c r="UD26" s="46">
        <v>0</v>
      </c>
      <c r="UE26" s="46">
        <v>18559810</v>
      </c>
      <c r="UF26" s="46">
        <v>42301</v>
      </c>
      <c r="UG26" s="46">
        <v>922348</v>
      </c>
      <c r="UH26" s="46">
        <v>0</v>
      </c>
      <c r="UI26" s="46">
        <v>5244744</v>
      </c>
      <c r="UJ26" s="46">
        <v>5208906</v>
      </c>
      <c r="UK26" s="46">
        <v>9447159</v>
      </c>
      <c r="UL26" s="46">
        <v>2590571</v>
      </c>
      <c r="UM26" s="46">
        <v>6235107</v>
      </c>
      <c r="UN26" s="46">
        <v>4284172</v>
      </c>
      <c r="UO2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3189252</v>
      </c>
      <c r="UP26" s="46">
        <f>SUM(Input[[#This Row],[Oth Exp E&amp;G]],Input[[#This Row],[Oth Exp Desg]],Input[[#This Row],[Oth Exp Aux]],Input[[#This Row],[Oth Exp R Exp]],Input[[#This Row],[Oth Exp Loan]],Input[[#This Row],[Oth Exp Annuity]],Input[[#This Row],[Oth Exp Unexp]],Input[[#This Row],[Oth Exp R of Ind]],Input[[#This Row],[Oth Exp Inv in P]])</f>
        <v>580955</v>
      </c>
      <c r="UQ26" s="46"/>
      <c r="UR26" s="46"/>
      <c r="US26" s="8" t="s">
        <v>742</v>
      </c>
      <c r="UT26" s="47">
        <v>9798459761</v>
      </c>
      <c r="UU26" s="8" t="s">
        <v>71</v>
      </c>
      <c r="UV26" s="8" t="s">
        <v>800</v>
      </c>
      <c r="UW26" s="47">
        <v>9032233110</v>
      </c>
      <c r="UX26" s="8" t="s">
        <v>801</v>
      </c>
      <c r="UY26" s="51" cm="1">
        <f t="array" ref="UY26">IFERROR(_xlfn.IFS(Input[[#This Row],[Type]]="HRI",SUMIFS('FTSE | FTFE'!$P$8:$P$77,'FTSE | FTFE'!$H$8:$H$77,A26),Input[[#This Row],[Type]]="UNIV",SUMIFS('FTSE | FTFE'!$P$104:$P$139,'FTSE | FTFE'!$H$104:$H$139,A26),OR(Input[[#This Row],[Type]]="TSTC",Input[[#This Row],[Type]]="LSC"),SUMIFS('FTSE | FTFE'!$O$88:$O$96,'FTSE | FTFE'!$H$88:$H$96,A26),Input[[#This Row],[Type]]="AHM",SUMIFS(Hidden!$H$42:$H$45,Hidden!$G$42:$G$45,A26)),"N/A")</f>
        <v>1699</v>
      </c>
      <c r="UZ26" s="51" cm="1">
        <f t="array" ref="UZ26">IFERROR(_xlfn.IFS(Input[[#This Row],[Type]]="HRI",SUMIFS('FTSE | FTFE'!$Q$8:$Q$77,'FTSE | FTFE'!$H$8:$H$77,A26),Input[[#This Row],[Type]]="UNIV",SUMIFS('FTSE | FTFE'!$Q$104:$Q$139,'FTSE | FTFE'!$H$104:$H$139,A26),OR(Input[[#This Row],[Type]]="TSTC",Input[[#This Row],[Type]]="LSC"),SUMIFS('FTSE | FTFE'!$P$88:$P$96,'FTSE | FTFE'!$H$88:$H$96,A26)),"N/A")</f>
        <v>68</v>
      </c>
      <c r="VA2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39670849</v>
      </c>
      <c r="VB2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2112129</v>
      </c>
      <c r="VC26" s="46">
        <f>SUM(Input[[#This Row],[Fed G&amp;C E&amp;G]],Input[[#This Row],[Fed G&amp;C Desg]],Input[[#This Row],[Fed G&amp;C R Exp]],Input[[#This Row],[Fed G&amp;C Loan]],Input[[#This Row],[Fed G&amp;C Annuity]],Input[[#This Row],[Fed G&amp;C Unexp]],Input[[#This Row],[Fed G&amp;C R of Ind]],Input[[#This Row],[Fed G&amp;C Inv in P]])</f>
        <v>7711817</v>
      </c>
      <c r="VD2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12412867</v>
      </c>
      <c r="VE2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7941882</v>
      </c>
      <c r="VF2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2645601</v>
      </c>
      <c r="VG26" s="46">
        <f>SUM(Input[[#This Row],[Oth Inc E&amp;G]],Input[[#This Row],[Oth Exp Desg]],Input[[#This Row],[Oth Exp R Exp]],Input[[#This Row],[Oth Exp Loan]],Input[[#This Row],[Oth Exp Annuity]],Input[[#This Row],[Oth Exp Unexp]],Input[[#This Row],[Oth Exp R of Ind]],Input[[#This Row],[Oth Exp Inv in P]])</f>
        <v>511701</v>
      </c>
      <c r="VH26" s="46">
        <f>SUM(Input[[#This Row],[Instr E&amp;G]],Input[[#This Row],[Instr Desg]],Input[[#This Row],[Instr R Exp]],Input[[#This Row],[Instr Loan]],Input[[#This Row],[Instr Annuity]],Input[[#This Row],[Instr Unexp]],Input[[#This Row],[Instr R of Ind]],Input[[#This Row],[Instr Inv in P]])</f>
        <v>18559810</v>
      </c>
      <c r="VI26" s="46">
        <f>SUM(Input[[#This Row],[Res E&amp;G]],Input[[#This Row],[Res Desg]],Input[[#This Row],[Res R Exp]],Input[[#This Row],[Res Loan]],Input[[#This Row],[Res Annuity]],Input[[#This Row],[Res Unexp]],Input[[#This Row],[Res R of Ind]],Input[[#This Row],[Res Inv in P]])</f>
        <v>42301</v>
      </c>
      <c r="VJ26" s="46">
        <f>SUM(Input[[#This Row],[Acad Sup E&amp;G]],Input[[#This Row],[Acad Sup Desg]],Input[[#This Row],[Acad Sup R Exp]],Input[[#This Row],[Acad Sup Loan]],Input[[#This Row],[Acad Sup Annuity]],Input[[#This Row],[Acad Sup Unexp]],Input[[#This Row],[Acad Sup R of Ind]],Input[[#This Row],[Acad Sup Inv in P]])</f>
        <v>5244744</v>
      </c>
      <c r="VK26" s="46">
        <f>SUM(Input[[#This Row],[Stu Svc E&amp;G]],Input[[#This Row],[Stu Svc Desg]],Input[[#This Row],[Stu Svc R Exp]],Input[[#This Row],[Stu Svc Loan]],Input[[#This Row],[Stu Svc Annuity]],Input[[#This Row],[Stu Svc Unexp]],Input[[#This Row],[Stu Svc R of Ind]],Input[[#This Row],[Stu Svc Inv in P]])</f>
        <v>5208906</v>
      </c>
      <c r="VL26" s="46">
        <f>SUM(Input[[#This Row],[Inst. Spt E&amp;G]],Input[[#This Row],[Inst. Spt Desg]],Input[[#This Row],[Inst. Spt R Exp]],Input[[#This Row],[Inst. Spt Loan]],Input[[#This Row],[Inst. Spt Annuity]],Input[[#This Row],[Inst. Spt Unexp]],Input[[#This Row],[Inst. Spt R of Ind]],Input[[#This Row],[Inst. Spt Inv in P]])</f>
        <v>9447159</v>
      </c>
      <c r="VM26" s="46">
        <f>SUM(Input[[#This Row],[M&amp;O Plnt E&amp;G]],Input[[#This Row],[M&amp;O Plnt Desg]],Input[[#This Row],[M&amp;O Plnt R Exp]],Input[[#This Row],[M&amp;O Plnt Loan]],Input[[#This Row],[M&amp;O Plnt Annuity]],Input[[#This Row],[M&amp;O Plnt Unexp]],Input[[#This Row],[M&amp;O Plnt R of Ind]],Input[[#This Row],[M&amp;O Plnt Inv in P]])</f>
        <v>2590571</v>
      </c>
      <c r="VN26" s="46">
        <f>SUM(Input[[#This Row],[Schl &amp; Fell E&amp;G]],Input[[#This Row],[Schl &amp; Fell Desg]],Input[[#This Row],[Schl &amp; Fell R Exp]],Input[[#This Row],[Schl &amp; Fell Loan]],Input[[#This Row],[Schl &amp; Fell Annuity]],Input[[#This Row],[Schl &amp; Fell Unexp]],Input[[#This Row],[Schl &amp; Fell R of Ind]],Input[[#This Row],[Schl &amp; Fell Inv in P]])</f>
        <v>6235107</v>
      </c>
      <c r="VO26" s="46">
        <f>SUM(Input[[#This Row],[Cap Out fund E&amp;G]],Input[[#This Row],[Cap Out fund Desg]],Input[[#This Row],[Cap Out fund R Exp]],Input[[#This Row],[Cap Out fund Loan]],Input[[#This Row],[Cap Out fund Annuity]],Input[[#This Row],[Cap Out fund Unexp]],Input[[#This Row],[Cap Out fund R of Ind]],Input[[#This Row],[Cap Out fund Inv in P]])</f>
        <v>2925739</v>
      </c>
      <c r="VP26" s="46">
        <f>SUM(Input[[#This Row],[Oth Exp E&amp;G]],Input[[#This Row],[Oth Exp Desg]],Input[[#This Row],[Oth Exp R Exp]],Input[[#This Row],[Oth Exp Loan]],Input[[#This Row],[Oth Exp Annuity]],Input[[#This Row],[Oth Exp Unexp]],Input[[#This Row],[Oth Exp R of Ind]],Input[[#This Row],[Oth Exp Inv in P]],Input[[#This Row],[Oth Exp Inv in P]])</f>
        <v>580955</v>
      </c>
    </row>
    <row r="27" spans="1:588" ht="30" customHeight="1" x14ac:dyDescent="0.3">
      <c r="A27" s="15" t="s">
        <v>169</v>
      </c>
      <c r="B27" s="36" t="s">
        <v>122</v>
      </c>
      <c r="C27" s="36" t="s">
        <v>120</v>
      </c>
      <c r="D27" s="36">
        <v>300</v>
      </c>
      <c r="E27" s="36" t="s">
        <v>134</v>
      </c>
      <c r="F27" s="95" t="s">
        <v>106</v>
      </c>
      <c r="G27" s="46">
        <v>59611553</v>
      </c>
      <c r="H27" s="46">
        <v>0</v>
      </c>
      <c r="I27" s="46">
        <v>0</v>
      </c>
      <c r="J27" s="46">
        <v>0</v>
      </c>
      <c r="K27" s="46">
        <v>0</v>
      </c>
      <c r="L27" s="46">
        <v>0</v>
      </c>
      <c r="M27" s="46">
        <v>0</v>
      </c>
      <c r="N27" s="46">
        <v>0</v>
      </c>
      <c r="O27" s="46">
        <v>0</v>
      </c>
      <c r="P27" s="46">
        <v>3392</v>
      </c>
      <c r="Q27" s="46">
        <v>0</v>
      </c>
      <c r="R27" s="46">
        <v>0</v>
      </c>
      <c r="S27" s="46">
        <v>0</v>
      </c>
      <c r="T27" s="46">
        <v>0</v>
      </c>
      <c r="U27" s="46">
        <v>0</v>
      </c>
      <c r="V27" s="46">
        <v>0</v>
      </c>
      <c r="W27" s="46">
        <v>0</v>
      </c>
      <c r="X27" s="46">
        <v>0</v>
      </c>
      <c r="Y27" s="46">
        <v>0</v>
      </c>
      <c r="Z27" s="46">
        <v>0</v>
      </c>
      <c r="AA27" s="46">
        <v>0</v>
      </c>
      <c r="AB27" s="46">
        <v>0</v>
      </c>
      <c r="AC27" s="46">
        <v>0</v>
      </c>
      <c r="AD27" s="46">
        <v>0</v>
      </c>
      <c r="AE27" s="46">
        <v>0</v>
      </c>
      <c r="AF27" s="46">
        <v>0</v>
      </c>
      <c r="AG27" s="46">
        <v>0</v>
      </c>
      <c r="AH27" s="46">
        <v>0</v>
      </c>
      <c r="AI27" s="46">
        <v>0</v>
      </c>
      <c r="AJ27" s="46">
        <v>0</v>
      </c>
      <c r="AK27" s="46">
        <v>0</v>
      </c>
      <c r="AL27" s="46">
        <v>0</v>
      </c>
      <c r="AM27" s="46">
        <v>0</v>
      </c>
      <c r="AN27" s="46">
        <v>0</v>
      </c>
      <c r="AO27" s="46">
        <v>0</v>
      </c>
      <c r="AP27" s="46">
        <v>0</v>
      </c>
      <c r="AQ27" s="46">
        <v>0</v>
      </c>
      <c r="AR27" s="46">
        <v>0</v>
      </c>
      <c r="AS27" s="46">
        <v>0</v>
      </c>
      <c r="AT27" s="46">
        <v>0</v>
      </c>
      <c r="AU27" s="46">
        <v>0</v>
      </c>
      <c r="AV27" s="46">
        <v>0</v>
      </c>
      <c r="AW27" s="46">
        <v>0</v>
      </c>
      <c r="AX27" s="46">
        <v>0</v>
      </c>
      <c r="AY27" s="46">
        <v>0</v>
      </c>
      <c r="AZ27" s="46">
        <v>0</v>
      </c>
      <c r="BA27" s="46">
        <v>0</v>
      </c>
      <c r="BB27" s="46">
        <v>0</v>
      </c>
      <c r="BC27" s="46">
        <v>0</v>
      </c>
      <c r="BD27" s="46">
        <v>0</v>
      </c>
      <c r="BE27" s="46">
        <v>0</v>
      </c>
      <c r="BF27" s="46">
        <v>0</v>
      </c>
      <c r="BG27" s="46">
        <v>0</v>
      </c>
      <c r="BH27" s="46">
        <v>0</v>
      </c>
      <c r="BI27" s="46">
        <v>0</v>
      </c>
      <c r="BJ27" s="46">
        <v>0</v>
      </c>
      <c r="BK27" s="46">
        <v>0</v>
      </c>
      <c r="BL27" s="46">
        <v>0</v>
      </c>
      <c r="BM27" s="46">
        <v>0</v>
      </c>
      <c r="BN27" s="46">
        <v>0</v>
      </c>
      <c r="BO27" s="46">
        <v>0</v>
      </c>
      <c r="BP27" s="46">
        <v>0</v>
      </c>
      <c r="BQ27" s="46">
        <v>0</v>
      </c>
      <c r="BR27" s="46">
        <v>0</v>
      </c>
      <c r="BS27" s="46">
        <v>0</v>
      </c>
      <c r="BT27" s="46">
        <v>0</v>
      </c>
      <c r="BU27" s="46">
        <v>0</v>
      </c>
      <c r="BV27" s="46">
        <v>0</v>
      </c>
      <c r="BW27" s="46">
        <v>0</v>
      </c>
      <c r="BX27" s="46">
        <v>0</v>
      </c>
      <c r="BY27" s="46">
        <v>0</v>
      </c>
      <c r="BZ27" s="46">
        <v>0</v>
      </c>
      <c r="CA27" s="46">
        <v>0</v>
      </c>
      <c r="CB27" s="46">
        <v>0</v>
      </c>
      <c r="CC27" s="46">
        <v>0</v>
      </c>
      <c r="CD27" s="46">
        <v>0</v>
      </c>
      <c r="CE27" s="46">
        <v>0</v>
      </c>
      <c r="CF27" s="46">
        <v>0</v>
      </c>
      <c r="CG27" s="46">
        <v>0</v>
      </c>
      <c r="CH27" s="46">
        <v>0</v>
      </c>
      <c r="CI27" s="46">
        <v>0</v>
      </c>
      <c r="CJ27" s="46">
        <v>0</v>
      </c>
      <c r="CK27" s="46">
        <v>0</v>
      </c>
      <c r="CL27" s="46">
        <v>0</v>
      </c>
      <c r="CM27" s="46">
        <v>0</v>
      </c>
      <c r="CN27" s="46">
        <v>0</v>
      </c>
      <c r="CO27" s="46">
        <v>0</v>
      </c>
      <c r="CP27" s="46">
        <v>0</v>
      </c>
      <c r="CQ27" s="46">
        <v>0</v>
      </c>
      <c r="CR27" s="46">
        <v>0</v>
      </c>
      <c r="CS27" s="46">
        <v>0</v>
      </c>
      <c r="CT27" s="46">
        <v>0</v>
      </c>
      <c r="CU27" s="46">
        <v>0</v>
      </c>
      <c r="CV27" s="46">
        <v>0</v>
      </c>
      <c r="CW27" s="46">
        <v>0</v>
      </c>
      <c r="CX27" s="46">
        <v>0</v>
      </c>
      <c r="CY27" s="46">
        <v>0</v>
      </c>
      <c r="CZ27" s="46">
        <v>0</v>
      </c>
      <c r="DA27" s="46">
        <v>0</v>
      </c>
      <c r="DB27" s="46">
        <v>0</v>
      </c>
      <c r="DC27" s="46">
        <v>0</v>
      </c>
      <c r="DD27" s="46">
        <v>0</v>
      </c>
      <c r="DE27" s="46">
        <v>0</v>
      </c>
      <c r="DF27" s="46">
        <v>0</v>
      </c>
      <c r="DG27" s="46">
        <v>0</v>
      </c>
      <c r="DH27" s="46">
        <v>0</v>
      </c>
      <c r="DI27" s="46">
        <v>0</v>
      </c>
      <c r="DJ27" s="46">
        <v>0</v>
      </c>
      <c r="DK27" s="46">
        <v>0</v>
      </c>
      <c r="DL27" s="46">
        <v>0</v>
      </c>
      <c r="DM27" s="46">
        <v>0</v>
      </c>
      <c r="DN27" s="46">
        <v>0</v>
      </c>
      <c r="DO27" s="46">
        <v>0</v>
      </c>
      <c r="DP27" s="46">
        <v>0</v>
      </c>
      <c r="DQ27" s="46">
        <v>0</v>
      </c>
      <c r="DR27" s="46">
        <v>0</v>
      </c>
      <c r="DS27" s="46">
        <v>0</v>
      </c>
      <c r="DT27" s="46">
        <v>0</v>
      </c>
      <c r="DU27" s="46">
        <v>0</v>
      </c>
      <c r="DV27" s="46">
        <v>0</v>
      </c>
      <c r="DW27" s="46">
        <v>0</v>
      </c>
      <c r="DX27" s="46">
        <v>0</v>
      </c>
      <c r="DY27" s="46">
        <v>0</v>
      </c>
      <c r="DZ27" s="46">
        <v>0</v>
      </c>
      <c r="EA27" s="46">
        <v>0</v>
      </c>
      <c r="EB27" s="46">
        <v>0</v>
      </c>
      <c r="EC27" s="46">
        <v>0</v>
      </c>
      <c r="ED27" s="46">
        <v>0</v>
      </c>
      <c r="EE27" s="46">
        <v>0</v>
      </c>
      <c r="EF27" s="46">
        <v>0</v>
      </c>
      <c r="EG27" s="46">
        <v>0</v>
      </c>
      <c r="EH27" s="46">
        <v>0</v>
      </c>
      <c r="EI27" s="46">
        <v>0</v>
      </c>
      <c r="EJ27" s="46">
        <v>0</v>
      </c>
      <c r="EK27" s="46">
        <v>0</v>
      </c>
      <c r="EL27" s="46">
        <v>0</v>
      </c>
      <c r="EM27" s="46">
        <v>0</v>
      </c>
      <c r="EN27" s="46">
        <v>0</v>
      </c>
      <c r="EO27" s="46">
        <v>0</v>
      </c>
      <c r="EP27" s="46">
        <v>0</v>
      </c>
      <c r="EQ27" s="46">
        <v>0</v>
      </c>
      <c r="ER27" s="46">
        <v>0</v>
      </c>
      <c r="ES27" s="46">
        <v>0</v>
      </c>
      <c r="ET27" s="46">
        <v>0</v>
      </c>
      <c r="EU27" s="46">
        <v>0</v>
      </c>
      <c r="EV27" s="46">
        <v>0</v>
      </c>
      <c r="EW27" s="46">
        <v>0</v>
      </c>
      <c r="EX27" s="46">
        <v>0</v>
      </c>
      <c r="EY27" s="46">
        <v>0</v>
      </c>
      <c r="EZ27" s="46">
        <v>0</v>
      </c>
      <c r="FA27" s="46">
        <v>0</v>
      </c>
      <c r="FB27" s="46">
        <v>0</v>
      </c>
      <c r="FC27" s="46">
        <v>0</v>
      </c>
      <c r="FD27" s="46">
        <v>0</v>
      </c>
      <c r="FE27" s="46">
        <v>0</v>
      </c>
      <c r="FF27" s="46">
        <v>0</v>
      </c>
      <c r="FG27" s="46">
        <v>0</v>
      </c>
      <c r="FH27" s="46">
        <v>0</v>
      </c>
      <c r="FI27" s="46">
        <v>0</v>
      </c>
      <c r="FJ27" s="46">
        <v>0</v>
      </c>
      <c r="FK27" s="46">
        <v>0</v>
      </c>
      <c r="FL27" s="46">
        <v>0</v>
      </c>
      <c r="FM27" s="46">
        <v>0</v>
      </c>
      <c r="FN27" s="46">
        <v>0</v>
      </c>
      <c r="FO27" s="46">
        <v>0</v>
      </c>
      <c r="FP27" s="46">
        <v>0</v>
      </c>
      <c r="FQ27" s="46">
        <v>0</v>
      </c>
      <c r="FR27" s="46">
        <v>0</v>
      </c>
      <c r="FS27" s="46">
        <v>0</v>
      </c>
      <c r="FT27" s="46">
        <v>0</v>
      </c>
      <c r="FU27" s="46">
        <v>0</v>
      </c>
      <c r="FV27" s="46">
        <v>0</v>
      </c>
      <c r="FW27" s="46">
        <v>0</v>
      </c>
      <c r="FX27" s="46">
        <v>0</v>
      </c>
      <c r="FY27" s="46">
        <v>0</v>
      </c>
      <c r="FZ27" s="46">
        <v>0</v>
      </c>
      <c r="GA27" s="46">
        <v>0</v>
      </c>
      <c r="GB27" s="46">
        <v>0</v>
      </c>
      <c r="GC27" s="46">
        <v>0</v>
      </c>
      <c r="GD27" s="46">
        <v>0</v>
      </c>
      <c r="GE27" s="46">
        <v>0</v>
      </c>
      <c r="GF27" s="46">
        <v>0</v>
      </c>
      <c r="GG27" s="46">
        <v>0</v>
      </c>
      <c r="GH27" s="46">
        <v>0</v>
      </c>
      <c r="GI27" s="46">
        <v>0</v>
      </c>
      <c r="GJ27" s="46">
        <v>0</v>
      </c>
      <c r="GK27" s="46">
        <v>0</v>
      </c>
      <c r="GL27" s="46">
        <v>0</v>
      </c>
      <c r="GM27" s="46">
        <v>0</v>
      </c>
      <c r="GN27" s="46">
        <v>0</v>
      </c>
      <c r="GO27" s="46">
        <v>0</v>
      </c>
      <c r="GP27" s="46">
        <v>0</v>
      </c>
      <c r="GQ27" s="46">
        <v>0</v>
      </c>
      <c r="GR27" s="46">
        <v>0</v>
      </c>
      <c r="GS27" s="46">
        <v>0</v>
      </c>
      <c r="GT27" s="46">
        <v>0</v>
      </c>
      <c r="GU27" s="46">
        <v>0</v>
      </c>
      <c r="GV27" s="46">
        <v>0</v>
      </c>
      <c r="GW27" s="46">
        <v>0</v>
      </c>
      <c r="GX27" s="46">
        <v>0</v>
      </c>
      <c r="GY27" s="46">
        <v>0</v>
      </c>
      <c r="GZ27" s="46">
        <v>0</v>
      </c>
      <c r="HA27" s="46">
        <v>0</v>
      </c>
      <c r="HB27" s="46">
        <v>0</v>
      </c>
      <c r="HC27" s="46">
        <v>0</v>
      </c>
      <c r="HD27" s="46">
        <v>0</v>
      </c>
      <c r="HE27" s="46">
        <v>0</v>
      </c>
      <c r="HF27" s="46">
        <v>0</v>
      </c>
      <c r="HG27" s="46">
        <v>0</v>
      </c>
      <c r="HH27" s="46">
        <v>0</v>
      </c>
      <c r="HI27" s="46">
        <v>0</v>
      </c>
      <c r="HJ27" s="46">
        <v>0</v>
      </c>
      <c r="HK27" s="46">
        <v>0</v>
      </c>
      <c r="HL27" s="46">
        <v>0</v>
      </c>
      <c r="HM27" s="46">
        <v>0</v>
      </c>
      <c r="HN27" s="46">
        <v>0</v>
      </c>
      <c r="HO27" s="46">
        <v>0</v>
      </c>
      <c r="HP27" s="46">
        <v>0</v>
      </c>
      <c r="HQ27" s="46">
        <v>0</v>
      </c>
      <c r="HR27" s="46">
        <v>0</v>
      </c>
      <c r="HS27" s="46">
        <v>0</v>
      </c>
      <c r="HT27" s="46">
        <v>0</v>
      </c>
      <c r="HU27" s="46">
        <v>0</v>
      </c>
      <c r="HV27" s="46">
        <v>0</v>
      </c>
      <c r="HW27" s="46">
        <v>0</v>
      </c>
      <c r="HX27" s="46">
        <v>0</v>
      </c>
      <c r="HY27" s="46">
        <v>0</v>
      </c>
      <c r="HZ27" s="46">
        <v>0</v>
      </c>
      <c r="IA27" s="46">
        <v>0</v>
      </c>
      <c r="IB27" s="46">
        <v>0</v>
      </c>
      <c r="IC27" s="46">
        <v>0</v>
      </c>
      <c r="ID27" s="46">
        <v>0</v>
      </c>
      <c r="IE27" s="46">
        <v>0</v>
      </c>
      <c r="IF27" s="46">
        <v>0</v>
      </c>
      <c r="IG27" s="46">
        <v>0</v>
      </c>
      <c r="IH27" s="46">
        <v>0</v>
      </c>
      <c r="II27" s="46">
        <v>0</v>
      </c>
      <c r="IJ27" s="46">
        <v>0</v>
      </c>
      <c r="IK27" s="46">
        <v>0</v>
      </c>
      <c r="IL27" s="46">
        <v>0</v>
      </c>
      <c r="IM27" s="46">
        <v>0</v>
      </c>
      <c r="IN27" s="46">
        <v>0</v>
      </c>
      <c r="IO27" s="46">
        <v>0</v>
      </c>
      <c r="IP27" s="46">
        <v>7893</v>
      </c>
      <c r="IQ27" s="46">
        <v>2612962</v>
      </c>
      <c r="IR27" s="46">
        <v>0</v>
      </c>
      <c r="IS27" s="46">
        <v>0.56999999999999995</v>
      </c>
      <c r="IT27" s="46">
        <v>0</v>
      </c>
      <c r="IU27" s="46">
        <v>10772618</v>
      </c>
      <c r="IV27" s="46">
        <v>32051287</v>
      </c>
      <c r="IW27" s="46">
        <v>137024</v>
      </c>
      <c r="IX27" s="46">
        <v>0</v>
      </c>
      <c r="IY27" s="46">
        <v>0</v>
      </c>
      <c r="IZ27" s="46">
        <v>0</v>
      </c>
      <c r="JA27" s="46">
        <v>0</v>
      </c>
      <c r="JB27" s="46">
        <v>0</v>
      </c>
      <c r="JC27" s="46">
        <v>0</v>
      </c>
      <c r="JD27" s="46">
        <v>0</v>
      </c>
      <c r="JE27" s="46">
        <v>0</v>
      </c>
      <c r="JF27" s="46">
        <v>0</v>
      </c>
      <c r="JG27" s="46">
        <v>0</v>
      </c>
      <c r="JH27" s="46">
        <v>0</v>
      </c>
      <c r="JI27" s="46">
        <v>26798</v>
      </c>
      <c r="JJ27" s="46">
        <v>0</v>
      </c>
      <c r="JK27" s="46">
        <v>31567</v>
      </c>
      <c r="JL27" s="46">
        <v>0</v>
      </c>
      <c r="JM27" s="46">
        <v>0</v>
      </c>
      <c r="JN27" s="46">
        <v>0</v>
      </c>
      <c r="JO27" s="46">
        <v>0</v>
      </c>
      <c r="JP27" s="46">
        <v>0</v>
      </c>
      <c r="JQ27" s="46">
        <v>0</v>
      </c>
      <c r="JR27" s="46">
        <v>60187</v>
      </c>
      <c r="JS27" s="46">
        <v>0</v>
      </c>
      <c r="JT27" s="46">
        <v>0</v>
      </c>
      <c r="JU27" s="46">
        <v>0</v>
      </c>
      <c r="JV27" s="46">
        <v>0</v>
      </c>
      <c r="JW27" s="46">
        <v>0</v>
      </c>
      <c r="JX27" s="46">
        <v>0</v>
      </c>
      <c r="JY27" s="46">
        <v>0</v>
      </c>
      <c r="JZ27" s="46">
        <v>0</v>
      </c>
      <c r="KA27" s="46">
        <v>0</v>
      </c>
      <c r="KB27" s="46">
        <v>0</v>
      </c>
      <c r="KC27" s="46">
        <v>0</v>
      </c>
      <c r="KD27" s="46">
        <v>0</v>
      </c>
      <c r="KE27" s="46">
        <v>0</v>
      </c>
      <c r="KF27" s="46">
        <v>0</v>
      </c>
      <c r="KG27" s="46">
        <v>0</v>
      </c>
      <c r="KH27" s="46">
        <v>0</v>
      </c>
      <c r="KI27" s="46">
        <v>0</v>
      </c>
      <c r="KJ27" s="46">
        <v>14574420</v>
      </c>
      <c r="KK27" s="46">
        <v>0</v>
      </c>
      <c r="KL27" s="46">
        <v>3415967</v>
      </c>
      <c r="KM27" s="46">
        <v>0</v>
      </c>
      <c r="KN27" s="46">
        <v>0</v>
      </c>
      <c r="KO27" s="46">
        <v>1182668</v>
      </c>
      <c r="KP27" s="46">
        <v>0</v>
      </c>
      <c r="KQ27" s="46">
        <v>0</v>
      </c>
      <c r="KR27" s="46">
        <v>0</v>
      </c>
      <c r="KS27" s="46">
        <v>0</v>
      </c>
      <c r="KT27" s="46">
        <v>0</v>
      </c>
      <c r="KU27" s="46">
        <v>0</v>
      </c>
      <c r="KV27" s="46">
        <v>0</v>
      </c>
      <c r="KW27" s="46">
        <v>0</v>
      </c>
      <c r="KX27" s="46">
        <v>0</v>
      </c>
      <c r="KY27" s="46">
        <v>0</v>
      </c>
      <c r="KZ27" s="46">
        <v>0</v>
      </c>
      <c r="LA27" s="46">
        <v>0</v>
      </c>
      <c r="LB27" s="46">
        <v>0</v>
      </c>
      <c r="LC27" s="46">
        <v>0</v>
      </c>
      <c r="LD27" s="46">
        <v>0</v>
      </c>
      <c r="LE27" s="46">
        <v>0</v>
      </c>
      <c r="LF27" s="46">
        <v>0</v>
      </c>
      <c r="LG27" s="46">
        <v>0</v>
      </c>
      <c r="LH27" s="46">
        <v>0</v>
      </c>
      <c r="LI27" s="46">
        <v>0</v>
      </c>
      <c r="LJ27" s="46">
        <v>0</v>
      </c>
      <c r="LK27" s="46">
        <v>0</v>
      </c>
      <c r="LL27" s="46">
        <v>0</v>
      </c>
      <c r="LM27" s="46">
        <v>0</v>
      </c>
      <c r="LN27" s="46">
        <v>0</v>
      </c>
      <c r="LO27" s="46">
        <v>0</v>
      </c>
      <c r="LP27" s="46">
        <v>0</v>
      </c>
      <c r="LQ27" s="46">
        <v>0</v>
      </c>
      <c r="LR27" s="46">
        <v>0</v>
      </c>
      <c r="LS27" s="46">
        <v>0</v>
      </c>
      <c r="LT27" s="46">
        <v>0</v>
      </c>
      <c r="LU27" s="46">
        <v>0</v>
      </c>
      <c r="LV27" s="46">
        <v>0</v>
      </c>
      <c r="LW27" s="46">
        <v>0</v>
      </c>
      <c r="LX27" s="46">
        <v>0</v>
      </c>
      <c r="LY27" s="46">
        <v>0</v>
      </c>
      <c r="LZ27" s="46">
        <v>0</v>
      </c>
      <c r="MA27" s="46">
        <v>0</v>
      </c>
      <c r="MB27" s="46">
        <v>1000000</v>
      </c>
      <c r="MC27" s="46">
        <v>488045</v>
      </c>
      <c r="MD27" s="46">
        <v>0</v>
      </c>
      <c r="ME27" s="46">
        <v>0</v>
      </c>
      <c r="MF27" s="46">
        <v>0</v>
      </c>
      <c r="MG27" s="46">
        <v>0</v>
      </c>
      <c r="MH27" s="46">
        <v>0</v>
      </c>
      <c r="MI27" s="46">
        <v>0</v>
      </c>
      <c r="MJ27" s="46">
        <v>0</v>
      </c>
      <c r="MK27" s="46">
        <v>0</v>
      </c>
      <c r="ML27" s="46">
        <v>348486</v>
      </c>
      <c r="MM27" s="46">
        <v>0</v>
      </c>
      <c r="MN27" s="46">
        <v>0</v>
      </c>
      <c r="MO27" s="46">
        <v>0</v>
      </c>
      <c r="MP27" s="46">
        <v>0</v>
      </c>
      <c r="MQ27" s="46">
        <v>0</v>
      </c>
      <c r="MR27" s="46">
        <v>0</v>
      </c>
      <c r="MS27" s="46">
        <v>0</v>
      </c>
      <c r="MT27" s="46">
        <v>1954306</v>
      </c>
      <c r="MU27" s="46">
        <v>12660256</v>
      </c>
      <c r="MV27" s="46">
        <v>0</v>
      </c>
      <c r="MW27" s="46">
        <v>170878</v>
      </c>
      <c r="MX27" s="46">
        <v>0</v>
      </c>
      <c r="MY27" s="46">
        <v>0</v>
      </c>
      <c r="MZ27" s="46">
        <v>0</v>
      </c>
      <c r="NA27" s="46">
        <v>0</v>
      </c>
      <c r="NB27" s="46">
        <v>0</v>
      </c>
      <c r="NC27" s="46">
        <v>0</v>
      </c>
      <c r="ND27" s="46">
        <v>749141</v>
      </c>
      <c r="NE27" s="46">
        <v>0</v>
      </c>
      <c r="NF27" s="46">
        <v>0</v>
      </c>
      <c r="NG27" s="46">
        <v>0</v>
      </c>
      <c r="NH27" s="46">
        <v>0</v>
      </c>
      <c r="NI27" s="46">
        <v>0</v>
      </c>
      <c r="NJ27" s="46">
        <v>0</v>
      </c>
      <c r="NK27" s="46">
        <v>0</v>
      </c>
      <c r="NL27" s="46">
        <v>0</v>
      </c>
      <c r="NM27" s="46">
        <v>0</v>
      </c>
      <c r="NN27" s="46">
        <v>0</v>
      </c>
      <c r="NO27" s="46">
        <v>0</v>
      </c>
      <c r="NP27" s="46">
        <v>0</v>
      </c>
      <c r="NQ27" s="46">
        <v>0</v>
      </c>
      <c r="NR27" s="46">
        <v>0</v>
      </c>
      <c r="NS27" s="46">
        <v>0</v>
      </c>
      <c r="NT27" s="46">
        <v>0</v>
      </c>
      <c r="NU27" s="46">
        <v>0</v>
      </c>
      <c r="NV27" s="46">
        <v>0</v>
      </c>
      <c r="NW27" s="46">
        <v>0</v>
      </c>
      <c r="NX27" s="46">
        <v>0</v>
      </c>
      <c r="NY27" s="46">
        <v>0</v>
      </c>
      <c r="NZ27" s="46">
        <v>0</v>
      </c>
      <c r="OA27" s="46">
        <v>0</v>
      </c>
      <c r="OB27" s="46">
        <v>0</v>
      </c>
      <c r="OC27" s="46">
        <v>0</v>
      </c>
      <c r="OD27" s="46">
        <v>0</v>
      </c>
      <c r="OE27" s="46">
        <v>0</v>
      </c>
      <c r="OF27" s="46">
        <v>0</v>
      </c>
      <c r="OG27" s="46">
        <v>0</v>
      </c>
      <c r="OH27" s="46">
        <v>0</v>
      </c>
      <c r="OI27" s="46">
        <v>0</v>
      </c>
      <c r="OJ27" s="46">
        <v>0</v>
      </c>
      <c r="OK27" s="46">
        <v>0</v>
      </c>
      <c r="OL27" s="46">
        <v>0</v>
      </c>
      <c r="OM27" s="46">
        <v>1624</v>
      </c>
      <c r="ON27" s="46">
        <v>0</v>
      </c>
      <c r="OO27" s="46">
        <v>0</v>
      </c>
      <c r="OP27" s="46">
        <v>0</v>
      </c>
      <c r="OQ27" s="46">
        <v>0</v>
      </c>
      <c r="OR27" s="46">
        <v>5848365</v>
      </c>
      <c r="OS27" s="46">
        <v>0</v>
      </c>
      <c r="OT27" s="46">
        <v>0</v>
      </c>
      <c r="OU27" s="46">
        <v>0</v>
      </c>
      <c r="OV27" s="46">
        <v>0</v>
      </c>
      <c r="OW27" s="46">
        <v>0</v>
      </c>
      <c r="OX27" s="46">
        <v>0</v>
      </c>
      <c r="OY27" s="46">
        <v>0</v>
      </c>
      <c r="OZ27" s="46">
        <v>0</v>
      </c>
      <c r="PA27" s="46">
        <v>0</v>
      </c>
      <c r="PB27" s="46">
        <v>-652250</v>
      </c>
      <c r="PC27" s="46">
        <v>0</v>
      </c>
      <c r="PD27" s="46">
        <v>0</v>
      </c>
      <c r="PE27" s="46">
        <v>-57347411</v>
      </c>
      <c r="PF27" s="46">
        <v>1252842</v>
      </c>
      <c r="PG27" s="46">
        <v>0</v>
      </c>
      <c r="PH27" s="46">
        <v>-3313886</v>
      </c>
      <c r="PI27" s="46">
        <v>0</v>
      </c>
      <c r="PJ27" s="46">
        <v>-1111042</v>
      </c>
      <c r="PK27" s="46">
        <v>-75</v>
      </c>
      <c r="PL27" s="46">
        <v>8850175</v>
      </c>
      <c r="PM27" s="46">
        <v>-23696</v>
      </c>
      <c r="PN27" s="46">
        <v>0</v>
      </c>
      <c r="PO27" s="46">
        <v>0</v>
      </c>
      <c r="PP27" s="46">
        <v>0</v>
      </c>
      <c r="PQ27" s="46">
        <v>0</v>
      </c>
      <c r="PR27" s="46">
        <v>0</v>
      </c>
      <c r="PS27" s="46">
        <v>0</v>
      </c>
      <c r="PT27" s="46">
        <v>0</v>
      </c>
      <c r="PU27" s="46">
        <v>0</v>
      </c>
      <c r="PV27" s="46">
        <v>0</v>
      </c>
      <c r="PW27" s="46">
        <v>0</v>
      </c>
      <c r="PX27" s="46">
        <v>0</v>
      </c>
      <c r="PY27" s="46">
        <v>0</v>
      </c>
      <c r="PZ27" s="46">
        <v>0</v>
      </c>
      <c r="QA27" s="46">
        <v>0</v>
      </c>
      <c r="QB27" s="46">
        <v>0</v>
      </c>
      <c r="QC27" s="46">
        <v>0</v>
      </c>
      <c r="QD27" s="46">
        <v>-8840746</v>
      </c>
      <c r="QE27" s="46">
        <v>4543285</v>
      </c>
      <c r="QF27" s="46">
        <v>0</v>
      </c>
      <c r="QG27" s="46">
        <v>47037</v>
      </c>
      <c r="QH27" s="46">
        <v>0</v>
      </c>
      <c r="QI27" s="46">
        <v>0</v>
      </c>
      <c r="QJ27" s="46">
        <v>0</v>
      </c>
      <c r="QK27" s="46">
        <v>1550185</v>
      </c>
      <c r="QL27" s="46">
        <v>-5973689</v>
      </c>
      <c r="QM27" s="46">
        <v>0</v>
      </c>
      <c r="QN27" s="46">
        <v>0</v>
      </c>
      <c r="QO27" s="46">
        <v>0</v>
      </c>
      <c r="QP27" s="46">
        <v>0</v>
      </c>
      <c r="QQ27" s="46">
        <v>0</v>
      </c>
      <c r="QR27" s="46">
        <v>0</v>
      </c>
      <c r="QS27" s="46">
        <v>0</v>
      </c>
      <c r="QT27" s="46">
        <v>0</v>
      </c>
      <c r="QU27" s="46">
        <v>0</v>
      </c>
      <c r="QV27" s="46">
        <v>0</v>
      </c>
      <c r="QW27" s="46">
        <v>0</v>
      </c>
      <c r="QX27" s="46">
        <v>0</v>
      </c>
      <c r="QY27" s="46">
        <v>0</v>
      </c>
      <c r="QZ27" s="46">
        <v>0</v>
      </c>
      <c r="RA27" s="46">
        <v>0</v>
      </c>
      <c r="RB27" s="46">
        <v>0</v>
      </c>
      <c r="RC27" s="46">
        <v>0</v>
      </c>
      <c r="RD27" s="46">
        <v>0</v>
      </c>
      <c r="RE27" s="46">
        <v>0</v>
      </c>
      <c r="RF27" s="46">
        <v>0</v>
      </c>
      <c r="RG27" s="46">
        <v>0</v>
      </c>
      <c r="RH27" s="46">
        <v>0</v>
      </c>
      <c r="RI27" s="46">
        <v>0</v>
      </c>
      <c r="RJ27" s="46">
        <v>0</v>
      </c>
      <c r="RK27" s="46">
        <v>0</v>
      </c>
      <c r="RL27" s="46">
        <v>0</v>
      </c>
      <c r="RM27" s="46">
        <v>0</v>
      </c>
      <c r="RN27" s="46">
        <v>0</v>
      </c>
      <c r="RO27" s="46">
        <v>-2626348</v>
      </c>
      <c r="RP27" s="46">
        <v>0</v>
      </c>
      <c r="RQ27" s="46">
        <v>0</v>
      </c>
      <c r="RR27" s="46">
        <v>0</v>
      </c>
      <c r="RS27" s="46">
        <v>0</v>
      </c>
      <c r="RT27" s="46">
        <v>0</v>
      </c>
      <c r="RU27" s="46">
        <v>0</v>
      </c>
      <c r="RV27" s="46">
        <v>0</v>
      </c>
      <c r="RW27" s="46">
        <v>0</v>
      </c>
      <c r="RX27" s="46">
        <v>0</v>
      </c>
      <c r="RY27" s="46">
        <v>0</v>
      </c>
      <c r="RZ27" s="46">
        <v>0</v>
      </c>
      <c r="SA27" s="46">
        <v>0</v>
      </c>
      <c r="SB27" s="46">
        <v>0</v>
      </c>
      <c r="SC27" s="46">
        <v>0</v>
      </c>
      <c r="SD27" s="46">
        <v>0</v>
      </c>
      <c r="SE27" s="46">
        <v>0</v>
      </c>
      <c r="SF27" s="46">
        <v>0</v>
      </c>
      <c r="SG27" s="46">
        <v>0</v>
      </c>
      <c r="SH27" s="46">
        <v>0</v>
      </c>
      <c r="SI27" s="46">
        <v>0</v>
      </c>
      <c r="SJ27" s="46">
        <v>0</v>
      </c>
      <c r="SK27" s="46">
        <v>0</v>
      </c>
      <c r="SL27" s="46">
        <v>0</v>
      </c>
      <c r="SM27" s="46">
        <v>0</v>
      </c>
      <c r="SN27" s="46">
        <v>0</v>
      </c>
      <c r="SO27" s="46">
        <v>0</v>
      </c>
      <c r="SP27" s="46">
        <v>0</v>
      </c>
      <c r="SQ27" s="46">
        <v>0</v>
      </c>
      <c r="SR27" s="46">
        <v>0</v>
      </c>
      <c r="SS27" s="46">
        <v>0</v>
      </c>
      <c r="ST27" s="46">
        <v>0</v>
      </c>
      <c r="SU27" s="46">
        <v>0</v>
      </c>
      <c r="SV27" s="46">
        <v>0</v>
      </c>
      <c r="SW27" s="46">
        <v>0</v>
      </c>
      <c r="SX27" s="46">
        <v>0</v>
      </c>
      <c r="SY27" s="46">
        <v>0</v>
      </c>
      <c r="SZ27" s="46">
        <v>0</v>
      </c>
      <c r="TA27" s="46">
        <v>0</v>
      </c>
      <c r="TB27" s="46">
        <v>0</v>
      </c>
      <c r="TC27" s="46">
        <v>0</v>
      </c>
      <c r="TD27" s="46">
        <v>0</v>
      </c>
      <c r="TE27" s="46">
        <v>0</v>
      </c>
      <c r="TF27" s="46">
        <v>0</v>
      </c>
      <c r="TG27" s="46">
        <v>0</v>
      </c>
      <c r="TH27" s="46">
        <v>0</v>
      </c>
      <c r="TI27" s="46">
        <v>0</v>
      </c>
      <c r="TJ27" s="46">
        <v>0</v>
      </c>
      <c r="TK27" s="46">
        <v>0</v>
      </c>
      <c r="TL27" s="46">
        <v>0</v>
      </c>
      <c r="TM27" s="46">
        <v>0</v>
      </c>
      <c r="TN27" s="46">
        <v>0</v>
      </c>
      <c r="TO27" s="46">
        <v>0</v>
      </c>
      <c r="TP27" s="46">
        <v>0</v>
      </c>
      <c r="TQ27" s="46">
        <v>0</v>
      </c>
      <c r="TR27" s="46">
        <v>0</v>
      </c>
      <c r="TS27" s="46">
        <v>0</v>
      </c>
      <c r="TT27" s="46">
        <v>0</v>
      </c>
      <c r="TU27" s="46">
        <v>0</v>
      </c>
      <c r="TV27" s="46">
        <v>0</v>
      </c>
      <c r="TW27" s="46">
        <v>0</v>
      </c>
      <c r="TX27" s="46">
        <v>0</v>
      </c>
      <c r="TY27" s="46">
        <v>0</v>
      </c>
      <c r="TZ27" s="46">
        <v>0</v>
      </c>
      <c r="UA27" s="46">
        <v>0</v>
      </c>
      <c r="UB27" s="46">
        <v>0</v>
      </c>
      <c r="UC27" s="46">
        <v>0</v>
      </c>
      <c r="UD27" s="46">
        <v>0</v>
      </c>
      <c r="UE27" s="46">
        <v>0</v>
      </c>
      <c r="UF27" s="46">
        <v>0</v>
      </c>
      <c r="UG27" s="46">
        <v>0</v>
      </c>
      <c r="UH27" s="46">
        <v>0</v>
      </c>
      <c r="UI27" s="46">
        <v>1488045</v>
      </c>
      <c r="UJ27" s="46">
        <v>348486</v>
      </c>
      <c r="UK27" s="46">
        <v>14785441</v>
      </c>
      <c r="UL27" s="46">
        <v>749141</v>
      </c>
      <c r="UM27" s="46">
        <v>0</v>
      </c>
      <c r="UN27" s="46">
        <v>0</v>
      </c>
      <c r="UO27" s="46" t="s">
        <v>106</v>
      </c>
      <c r="UP27" s="46" t="s">
        <v>106</v>
      </c>
      <c r="UQ27" s="46"/>
      <c r="UR27" s="46"/>
      <c r="US27" s="8" t="s">
        <v>865</v>
      </c>
      <c r="UT27" s="47">
        <v>7137438188</v>
      </c>
      <c r="UU27" s="8" t="s">
        <v>74</v>
      </c>
      <c r="UV27" s="8" t="s">
        <v>866</v>
      </c>
      <c r="UW27" s="47" t="s">
        <v>1253</v>
      </c>
      <c r="UX27" s="8" t="s">
        <v>867</v>
      </c>
      <c r="UY27" s="51" t="str" cm="1">
        <f t="array" ref="UY27">IFERROR(_xlfn.IFS(Input[[#This Row],[Type]]="HRI",SUMIFS('FTSE | FTFE'!$P$8:$P$77,'FTSE | FTFE'!$H$8:$H$77,A27),Input[[#This Row],[Type]]="UNIV",SUMIFS('FTSE | FTFE'!$P$104:$P$139,'FTSE | FTFE'!$H$104:$H$139,A27),OR(Input[[#This Row],[Type]]="TSTC",Input[[#This Row],[Type]]="LSC"),SUMIFS('FTSE | FTFE'!$O$88:$O$96,'FTSE | FTFE'!$H$88:$H$96,A27),Input[[#This Row],[Type]]="AHM",SUMIFS(Hidden!$H$42:$H$45,Hidden!$G$42:$G$45,A27)),"N/A")</f>
        <v>N/A</v>
      </c>
      <c r="UZ27" s="51" t="str" cm="1">
        <f t="array" ref="UZ27">IFERROR(_xlfn.IFS(Input[[#This Row],[Type]]="HRI",SUMIFS('FTSE | FTFE'!$Q$8:$Q$77,'FTSE | FTFE'!$H$8:$H$77,A27),Input[[#This Row],[Type]]="UNIV",SUMIFS('FTSE | FTFE'!$Q$104:$Q$139,'FTSE | FTFE'!$H$104:$H$139,A27),OR(Input[[#This Row],[Type]]="TSTC",Input[[#This Row],[Type]]="LSC"),SUMIFS('FTSE | FTFE'!$P$88:$P$96,'FTSE | FTFE'!$H$88:$H$96,A27)),"N/A")</f>
        <v>N/A</v>
      </c>
      <c r="VA2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59614945</v>
      </c>
      <c r="VB2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27" s="46">
        <f>SUM(Input[[#This Row],[Fed G&amp;C E&amp;G]],Input[[#This Row],[Fed G&amp;C Desg]],Input[[#This Row],[Fed G&amp;C R Exp]],Input[[#This Row],[Fed G&amp;C Loan]],Input[[#This Row],[Fed G&amp;C Annuity]],Input[[#This Row],[Fed G&amp;C Unexp]],Input[[#This Row],[Fed G&amp;C R of Ind]],Input[[#This Row],[Fed G&amp;C Inv in P]])</f>
        <v>0</v>
      </c>
      <c r="VD2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64873391.57</v>
      </c>
      <c r="VE2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2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27" s="46">
        <f>SUM(Input[[#This Row],[Oth Inc E&amp;G]],Input[[#This Row],[Oth Exp Desg]],Input[[#This Row],[Oth Exp R Exp]],Input[[#This Row],[Oth Exp Loan]],Input[[#This Row],[Oth Exp Annuity]],Input[[#This Row],[Oth Exp Unexp]],Input[[#This Row],[Oth Exp R of Ind]],Input[[#This Row],[Oth Exp Inv in P]])</f>
        <v>5848365</v>
      </c>
      <c r="VH27" s="46">
        <f>SUM(Input[[#This Row],[Instr E&amp;G]],Input[[#This Row],[Instr Desg]],Input[[#This Row],[Instr R Exp]],Input[[#This Row],[Instr Loan]],Input[[#This Row],[Instr Annuity]],Input[[#This Row],[Instr Unexp]],Input[[#This Row],[Instr R of Ind]],Input[[#This Row],[Instr Inv in P]])</f>
        <v>0</v>
      </c>
      <c r="VI27" s="46">
        <f>SUM(Input[[#This Row],[Res E&amp;G]],Input[[#This Row],[Res Desg]],Input[[#This Row],[Res R Exp]],Input[[#This Row],[Res Loan]],Input[[#This Row],[Res Annuity]],Input[[#This Row],[Res Unexp]],Input[[#This Row],[Res R of Ind]],Input[[#This Row],[Res Inv in P]])</f>
        <v>0</v>
      </c>
      <c r="VJ27" s="46">
        <f>SUM(Input[[#This Row],[Acad Sup E&amp;G]],Input[[#This Row],[Acad Sup Desg]],Input[[#This Row],[Acad Sup R Exp]],Input[[#This Row],[Acad Sup Loan]],Input[[#This Row],[Acad Sup Annuity]],Input[[#This Row],[Acad Sup Unexp]],Input[[#This Row],[Acad Sup R of Ind]],Input[[#This Row],[Acad Sup Inv in P]])</f>
        <v>1488045</v>
      </c>
      <c r="VK27" s="46">
        <f>SUM(Input[[#This Row],[Stu Svc E&amp;G]],Input[[#This Row],[Stu Svc Desg]],Input[[#This Row],[Stu Svc R Exp]],Input[[#This Row],[Stu Svc Loan]],Input[[#This Row],[Stu Svc Annuity]],Input[[#This Row],[Stu Svc Unexp]],Input[[#This Row],[Stu Svc R of Ind]],Input[[#This Row],[Stu Svc Inv in P]])</f>
        <v>348486</v>
      </c>
      <c r="VL27" s="46">
        <f>SUM(Input[[#This Row],[Inst. Spt E&amp;G]],Input[[#This Row],[Inst. Spt Desg]],Input[[#This Row],[Inst. Spt R Exp]],Input[[#This Row],[Inst. Spt Loan]],Input[[#This Row],[Inst. Spt Annuity]],Input[[#This Row],[Inst. Spt Unexp]],Input[[#This Row],[Inst. Spt R of Ind]],Input[[#This Row],[Inst. Spt Inv in P]])</f>
        <v>14785440</v>
      </c>
      <c r="VM27" s="46">
        <f>SUM(Input[[#This Row],[M&amp;O Plnt E&amp;G]],Input[[#This Row],[M&amp;O Plnt Desg]],Input[[#This Row],[M&amp;O Plnt R Exp]],Input[[#This Row],[M&amp;O Plnt Loan]],Input[[#This Row],[M&amp;O Plnt Annuity]],Input[[#This Row],[M&amp;O Plnt Unexp]],Input[[#This Row],[M&amp;O Plnt R of Ind]],Input[[#This Row],[M&amp;O Plnt Inv in P]])</f>
        <v>749141</v>
      </c>
      <c r="VN27"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27" s="46">
        <f>SUM(Input[[#This Row],[Cap Out fund E&amp;G]],Input[[#This Row],[Cap Out fund Desg]],Input[[#This Row],[Cap Out fund R Exp]],Input[[#This Row],[Cap Out fund Loan]],Input[[#This Row],[Cap Out fund Annuity]],Input[[#This Row],[Cap Out fund Unexp]],Input[[#This Row],[Cap Out fund R of Ind]],Input[[#This Row],[Cap Out fund Inv in P]])</f>
        <v>0</v>
      </c>
      <c r="VP27" s="46">
        <f>SUM(Input[[#This Row],[Oth Exp E&amp;G]],Input[[#This Row],[Oth Exp Desg]],Input[[#This Row],[Oth Exp R Exp]],Input[[#This Row],[Oth Exp Loan]],Input[[#This Row],[Oth Exp Annuity]],Input[[#This Row],[Oth Exp Unexp]],Input[[#This Row],[Oth Exp R of Ind]],Input[[#This Row],[Oth Exp Inv in P]],Input[[#This Row],[Oth Exp Inv in P]])</f>
        <v>5849989</v>
      </c>
    </row>
    <row r="28" spans="1:588" ht="30" customHeight="1" x14ac:dyDescent="0.3">
      <c r="A28" s="15" t="s">
        <v>73</v>
      </c>
      <c r="B28" s="36" t="s">
        <v>122</v>
      </c>
      <c r="C28" s="36" t="s">
        <v>115</v>
      </c>
      <c r="D28" s="36">
        <v>301</v>
      </c>
      <c r="E28" s="36" t="s">
        <v>134</v>
      </c>
      <c r="F28" s="95" t="s">
        <v>106</v>
      </c>
      <c r="G28" s="46">
        <v>253311675</v>
      </c>
      <c r="H28" s="46">
        <v>0</v>
      </c>
      <c r="I28" s="46">
        <v>0</v>
      </c>
      <c r="J28" s="46">
        <v>0</v>
      </c>
      <c r="K28" s="46">
        <v>0</v>
      </c>
      <c r="L28" s="46">
        <v>0</v>
      </c>
      <c r="M28" s="46">
        <v>0</v>
      </c>
      <c r="N28" s="46">
        <v>0</v>
      </c>
      <c r="O28" s="46">
        <v>0</v>
      </c>
      <c r="P28" s="46">
        <v>318512</v>
      </c>
      <c r="Q28" s="46">
        <v>17755941</v>
      </c>
      <c r="R28" s="46">
        <v>0</v>
      </c>
      <c r="S28" s="46">
        <v>216746610</v>
      </c>
      <c r="T28" s="46">
        <v>0</v>
      </c>
      <c r="U28" s="46">
        <v>0</v>
      </c>
      <c r="V28" s="46">
        <v>0</v>
      </c>
      <c r="W28" s="46">
        <v>0</v>
      </c>
      <c r="X28" s="46">
        <v>0</v>
      </c>
      <c r="Y28" s="46">
        <v>56158685</v>
      </c>
      <c r="Z28" s="46">
        <v>0</v>
      </c>
      <c r="AA28" s="46">
        <v>0</v>
      </c>
      <c r="AB28" s="46">
        <v>0</v>
      </c>
      <c r="AC28" s="46">
        <v>0</v>
      </c>
      <c r="AD28" s="46">
        <v>0</v>
      </c>
      <c r="AE28" s="46">
        <v>0</v>
      </c>
      <c r="AF28" s="46">
        <v>0</v>
      </c>
      <c r="AG28" s="46">
        <v>0</v>
      </c>
      <c r="AH28" s="46">
        <v>0</v>
      </c>
      <c r="AI28" s="46">
        <v>0</v>
      </c>
      <c r="AJ28" s="46">
        <v>0</v>
      </c>
      <c r="AK28" s="46">
        <v>0</v>
      </c>
      <c r="AL28" s="46">
        <v>0</v>
      </c>
      <c r="AM28" s="46">
        <v>0</v>
      </c>
      <c r="AN28" s="46">
        <v>0</v>
      </c>
      <c r="AO28" s="46">
        <v>0</v>
      </c>
      <c r="AP28" s="46">
        <v>0</v>
      </c>
      <c r="AQ28" s="46">
        <v>-27409190</v>
      </c>
      <c r="AR28" s="46">
        <v>-7264031</v>
      </c>
      <c r="AS28" s="46">
        <v>0</v>
      </c>
      <c r="AT28" s="46">
        <v>0</v>
      </c>
      <c r="AU28" s="46">
        <v>0</v>
      </c>
      <c r="AV28" s="46">
        <v>0</v>
      </c>
      <c r="AW28" s="46">
        <v>0</v>
      </c>
      <c r="AX28" s="46">
        <v>0</v>
      </c>
      <c r="AY28" s="46">
        <v>0</v>
      </c>
      <c r="AZ28" s="46">
        <v>0</v>
      </c>
      <c r="BA28" s="46">
        <v>0</v>
      </c>
      <c r="BB28" s="46">
        <v>0</v>
      </c>
      <c r="BC28" s="46">
        <v>0</v>
      </c>
      <c r="BD28" s="46">
        <v>0</v>
      </c>
      <c r="BE28" s="46">
        <v>0</v>
      </c>
      <c r="BF28" s="46">
        <v>0</v>
      </c>
      <c r="BG28" s="46">
        <v>0</v>
      </c>
      <c r="BH28" s="46">
        <v>0</v>
      </c>
      <c r="BI28" s="46">
        <v>0</v>
      </c>
      <c r="BJ28" s="46">
        <v>0</v>
      </c>
      <c r="BK28" s="46">
        <v>0</v>
      </c>
      <c r="BL28" s="46">
        <v>0</v>
      </c>
      <c r="BM28" s="46">
        <v>0</v>
      </c>
      <c r="BN28" s="46">
        <v>0</v>
      </c>
      <c r="BO28" s="46">
        <v>0</v>
      </c>
      <c r="BP28" s="46">
        <v>0</v>
      </c>
      <c r="BQ28" s="46">
        <v>0</v>
      </c>
      <c r="BR28" s="46">
        <v>0</v>
      </c>
      <c r="BS28" s="46">
        <v>0</v>
      </c>
      <c r="BT28" s="46">
        <v>0</v>
      </c>
      <c r="BU28" s="46">
        <v>0</v>
      </c>
      <c r="BV28" s="46">
        <v>0</v>
      </c>
      <c r="BW28" s="46">
        <v>0</v>
      </c>
      <c r="BX28" s="46">
        <v>0</v>
      </c>
      <c r="BY28" s="46">
        <v>0</v>
      </c>
      <c r="BZ28" s="46">
        <v>0</v>
      </c>
      <c r="CA28" s="46">
        <v>96197965</v>
      </c>
      <c r="CB28" s="46">
        <v>355215995</v>
      </c>
      <c r="CC28" s="46">
        <v>0</v>
      </c>
      <c r="CD28" s="46">
        <v>0</v>
      </c>
      <c r="CE28" s="46">
        <v>0</v>
      </c>
      <c r="CF28" s="46">
        <v>0</v>
      </c>
      <c r="CG28" s="46">
        <v>0</v>
      </c>
      <c r="CH28" s="46">
        <v>0</v>
      </c>
      <c r="CI28" s="46">
        <v>0</v>
      </c>
      <c r="CJ28" s="46">
        <v>0</v>
      </c>
      <c r="CK28" s="46">
        <v>0</v>
      </c>
      <c r="CL28" s="46">
        <v>0</v>
      </c>
      <c r="CM28" s="46">
        <v>0</v>
      </c>
      <c r="CN28" s="46">
        <v>0</v>
      </c>
      <c r="CO28" s="46">
        <v>0</v>
      </c>
      <c r="CP28" s="46">
        <v>0</v>
      </c>
      <c r="CQ28" s="46">
        <v>0</v>
      </c>
      <c r="CR28" s="46">
        <v>0</v>
      </c>
      <c r="CS28" s="46">
        <v>0</v>
      </c>
      <c r="CT28" s="46">
        <v>0</v>
      </c>
      <c r="CU28" s="46">
        <v>0</v>
      </c>
      <c r="CV28" s="46">
        <v>0</v>
      </c>
      <c r="CW28" s="46">
        <v>0</v>
      </c>
      <c r="CX28" s="46">
        <v>0</v>
      </c>
      <c r="CY28" s="46">
        <v>0</v>
      </c>
      <c r="CZ28" s="46">
        <v>0</v>
      </c>
      <c r="DA28" s="46">
        <v>0</v>
      </c>
      <c r="DB28" s="46">
        <v>-2269402</v>
      </c>
      <c r="DC28" s="46">
        <v>-9376762</v>
      </c>
      <c r="DD28" s="46">
        <v>0</v>
      </c>
      <c r="DE28" s="46">
        <v>0</v>
      </c>
      <c r="DF28" s="46">
        <v>0</v>
      </c>
      <c r="DG28" s="46">
        <v>0</v>
      </c>
      <c r="DH28" s="46">
        <v>0</v>
      </c>
      <c r="DI28" s="46">
        <v>0</v>
      </c>
      <c r="DJ28" s="46">
        <v>0</v>
      </c>
      <c r="DK28" s="46">
        <v>0</v>
      </c>
      <c r="DL28" s="46">
        <v>0</v>
      </c>
      <c r="DM28" s="46">
        <v>0</v>
      </c>
      <c r="DN28" s="46">
        <v>0</v>
      </c>
      <c r="DO28" s="46">
        <v>0</v>
      </c>
      <c r="DP28" s="46">
        <v>0</v>
      </c>
      <c r="DQ28" s="46">
        <v>0</v>
      </c>
      <c r="DR28" s="46">
        <v>0</v>
      </c>
      <c r="DS28" s="46">
        <v>0</v>
      </c>
      <c r="DT28" s="46">
        <v>-13822927</v>
      </c>
      <c r="DU28" s="46">
        <v>7433574</v>
      </c>
      <c r="DV28" s="46">
        <v>0</v>
      </c>
      <c r="DW28" s="46">
        <v>0</v>
      </c>
      <c r="DX28" s="46">
        <v>0</v>
      </c>
      <c r="DY28" s="46">
        <v>0</v>
      </c>
      <c r="DZ28" s="46">
        <v>0</v>
      </c>
      <c r="EA28" s="46">
        <v>0</v>
      </c>
      <c r="EB28" s="46">
        <v>0</v>
      </c>
      <c r="EC28" s="46">
        <v>-16</v>
      </c>
      <c r="ED28" s="46">
        <v>-32107</v>
      </c>
      <c r="EE28" s="46">
        <v>-14448</v>
      </c>
      <c r="EF28" s="46">
        <v>0</v>
      </c>
      <c r="EG28" s="46">
        <v>0</v>
      </c>
      <c r="EH28" s="46">
        <v>0</v>
      </c>
      <c r="EI28" s="46">
        <v>0</v>
      </c>
      <c r="EJ28" s="46">
        <v>0</v>
      </c>
      <c r="EK28" s="46">
        <v>0</v>
      </c>
      <c r="EL28" s="46">
        <v>0</v>
      </c>
      <c r="EM28" s="46">
        <v>0</v>
      </c>
      <c r="EN28" s="46">
        <v>0</v>
      </c>
      <c r="EO28" s="46">
        <v>0</v>
      </c>
      <c r="EP28" s="46">
        <v>0</v>
      </c>
      <c r="EQ28" s="46">
        <v>0</v>
      </c>
      <c r="ER28" s="46">
        <v>0</v>
      </c>
      <c r="ES28" s="46">
        <v>0</v>
      </c>
      <c r="ET28" s="46">
        <v>0</v>
      </c>
      <c r="EU28" s="46">
        <v>0</v>
      </c>
      <c r="EV28" s="46">
        <v>0</v>
      </c>
      <c r="EW28" s="46">
        <v>0</v>
      </c>
      <c r="EX28" s="46">
        <v>0</v>
      </c>
      <c r="EY28" s="46">
        <v>0</v>
      </c>
      <c r="EZ28" s="46">
        <v>0</v>
      </c>
      <c r="FA28" s="46">
        <v>0</v>
      </c>
      <c r="FB28" s="46">
        <v>0</v>
      </c>
      <c r="FC28" s="46">
        <v>0</v>
      </c>
      <c r="FD28" s="46">
        <v>0</v>
      </c>
      <c r="FE28" s="46">
        <v>0</v>
      </c>
      <c r="FF28" s="46">
        <v>0</v>
      </c>
      <c r="FG28" s="46">
        <v>0</v>
      </c>
      <c r="FH28" s="46">
        <v>0</v>
      </c>
      <c r="FI28" s="46">
        <v>0</v>
      </c>
      <c r="FJ28" s="46">
        <v>0</v>
      </c>
      <c r="FK28" s="46">
        <v>0</v>
      </c>
      <c r="FL28" s="46">
        <v>0</v>
      </c>
      <c r="FM28" s="46">
        <v>463597</v>
      </c>
      <c r="FN28" s="46">
        <v>113545323</v>
      </c>
      <c r="FO28" s="46">
        <v>47979672</v>
      </c>
      <c r="FP28" s="46">
        <v>0</v>
      </c>
      <c r="FQ28" s="46">
        <v>0</v>
      </c>
      <c r="FR28" s="46">
        <v>0</v>
      </c>
      <c r="FS28" s="46">
        <v>0</v>
      </c>
      <c r="FT28" s="46">
        <v>0</v>
      </c>
      <c r="FU28" s="46">
        <v>0</v>
      </c>
      <c r="FV28" s="46">
        <v>0</v>
      </c>
      <c r="FW28" s="46">
        <v>0</v>
      </c>
      <c r="FX28" s="46">
        <v>0</v>
      </c>
      <c r="FY28" s="46">
        <v>0</v>
      </c>
      <c r="FZ28" s="46">
        <v>0</v>
      </c>
      <c r="GA28" s="46">
        <v>0</v>
      </c>
      <c r="GB28" s="46">
        <v>0</v>
      </c>
      <c r="GC28" s="46">
        <v>0</v>
      </c>
      <c r="GD28" s="46">
        <v>0</v>
      </c>
      <c r="GE28" s="46">
        <v>0</v>
      </c>
      <c r="GF28" s="46">
        <v>0</v>
      </c>
      <c r="GG28" s="46">
        <v>0</v>
      </c>
      <c r="GH28" s="46">
        <v>0</v>
      </c>
      <c r="GI28" s="46">
        <v>0</v>
      </c>
      <c r="GJ28" s="46">
        <v>0</v>
      </c>
      <c r="GK28" s="46">
        <v>0</v>
      </c>
      <c r="GL28" s="46">
        <v>0</v>
      </c>
      <c r="GM28" s="46">
        <v>0</v>
      </c>
      <c r="GN28" s="46">
        <v>-2601</v>
      </c>
      <c r="GO28" s="46">
        <v>-2589589</v>
      </c>
      <c r="GP28" s="46">
        <v>-660122</v>
      </c>
      <c r="GQ28" s="46">
        <v>0</v>
      </c>
      <c r="GR28" s="46">
        <v>0</v>
      </c>
      <c r="GS28" s="46">
        <v>0</v>
      </c>
      <c r="GT28" s="46">
        <v>0</v>
      </c>
      <c r="GU28" s="46">
        <v>0</v>
      </c>
      <c r="GV28" s="46">
        <v>0</v>
      </c>
      <c r="GW28" s="46">
        <v>0</v>
      </c>
      <c r="GX28" s="46">
        <v>0</v>
      </c>
      <c r="GY28" s="46">
        <v>0</v>
      </c>
      <c r="GZ28" s="46">
        <v>0</v>
      </c>
      <c r="HA28" s="46">
        <v>0</v>
      </c>
      <c r="HB28" s="46">
        <v>0</v>
      </c>
      <c r="HC28" s="46">
        <v>0</v>
      </c>
      <c r="HD28" s="46">
        <v>0</v>
      </c>
      <c r="HE28" s="46">
        <v>0</v>
      </c>
      <c r="HF28" s="46">
        <v>-66670</v>
      </c>
      <c r="HG28" s="46">
        <v>2376099</v>
      </c>
      <c r="HH28" s="46">
        <v>-59691076</v>
      </c>
      <c r="HI28" s="46">
        <v>0</v>
      </c>
      <c r="HJ28" s="46">
        <v>0</v>
      </c>
      <c r="HK28" s="46">
        <v>0</v>
      </c>
      <c r="HL28" s="46">
        <v>0</v>
      </c>
      <c r="HM28" s="46">
        <v>0</v>
      </c>
      <c r="HN28" s="46">
        <v>0</v>
      </c>
      <c r="HO28" s="46">
        <v>0</v>
      </c>
      <c r="HP28" s="46">
        <v>27264</v>
      </c>
      <c r="HQ28" s="46">
        <v>0</v>
      </c>
      <c r="HR28" s="46">
        <v>245698653</v>
      </c>
      <c r="HS28" s="46">
        <v>0</v>
      </c>
      <c r="HT28" s="46">
        <v>0</v>
      </c>
      <c r="HU28" s="46">
        <v>0</v>
      </c>
      <c r="HV28" s="46">
        <v>0</v>
      </c>
      <c r="HW28" s="46">
        <v>0</v>
      </c>
      <c r="HX28" s="46">
        <v>0</v>
      </c>
      <c r="HY28" s="46">
        <v>0</v>
      </c>
      <c r="HZ28" s="46">
        <v>0</v>
      </c>
      <c r="IA28" s="46">
        <v>0</v>
      </c>
      <c r="IB28" s="46">
        <v>0</v>
      </c>
      <c r="IC28" s="46">
        <v>0</v>
      </c>
      <c r="ID28" s="46">
        <v>0</v>
      </c>
      <c r="IE28" s="46">
        <v>0</v>
      </c>
      <c r="IF28" s="46">
        <v>0</v>
      </c>
      <c r="IG28" s="46">
        <v>0</v>
      </c>
      <c r="IH28" s="46">
        <v>0</v>
      </c>
      <c r="II28" s="46">
        <v>0</v>
      </c>
      <c r="IJ28" s="46">
        <v>0</v>
      </c>
      <c r="IK28" s="46">
        <v>0</v>
      </c>
      <c r="IL28" s="46">
        <v>0</v>
      </c>
      <c r="IM28" s="46">
        <v>0</v>
      </c>
      <c r="IN28" s="46">
        <v>0</v>
      </c>
      <c r="IO28" s="46">
        <v>0</v>
      </c>
      <c r="IP28" s="46">
        <v>10931524</v>
      </c>
      <c r="IQ28" s="46">
        <v>39646964</v>
      </c>
      <c r="IR28" s="46">
        <v>1337143</v>
      </c>
      <c r="IS28" s="46">
        <v>6611</v>
      </c>
      <c r="IT28" s="46">
        <v>5742</v>
      </c>
      <c r="IU28" s="46">
        <v>62264422</v>
      </c>
      <c r="IV28" s="46">
        <v>4472851</v>
      </c>
      <c r="IW28" s="46">
        <v>368726</v>
      </c>
      <c r="IX28" s="46">
        <v>0</v>
      </c>
      <c r="IY28" s="46">
        <v>0</v>
      </c>
      <c r="IZ28" s="46">
        <v>19816742</v>
      </c>
      <c r="JA28" s="46">
        <v>0</v>
      </c>
      <c r="JB28" s="46">
        <v>1447919</v>
      </c>
      <c r="JC28" s="46">
        <v>0</v>
      </c>
      <c r="JD28" s="46">
        <v>0</v>
      </c>
      <c r="JE28" s="46">
        <v>0</v>
      </c>
      <c r="JF28" s="46">
        <v>0</v>
      </c>
      <c r="JG28" s="46">
        <v>0</v>
      </c>
      <c r="JH28" s="46">
        <v>0</v>
      </c>
      <c r="JI28" s="46">
        <v>1388273</v>
      </c>
      <c r="JJ28" s="46">
        <v>105</v>
      </c>
      <c r="JK28" s="46">
        <v>28545120</v>
      </c>
      <c r="JL28" s="46">
        <v>0</v>
      </c>
      <c r="JM28" s="46">
        <v>22009500</v>
      </c>
      <c r="JN28" s="46">
        <v>0</v>
      </c>
      <c r="JO28" s="46">
        <v>0</v>
      </c>
      <c r="JP28" s="46">
        <v>0</v>
      </c>
      <c r="JQ28" s="46">
        <v>34681</v>
      </c>
      <c r="JR28" s="46">
        <v>38291914</v>
      </c>
      <c r="JS28" s="46">
        <v>0</v>
      </c>
      <c r="JT28" s="46">
        <v>1000</v>
      </c>
      <c r="JU28" s="46">
        <v>0</v>
      </c>
      <c r="JV28" s="46">
        <v>0</v>
      </c>
      <c r="JW28" s="46">
        <v>0</v>
      </c>
      <c r="JX28" s="46">
        <v>0</v>
      </c>
      <c r="JY28" s="46">
        <v>0</v>
      </c>
      <c r="JZ28" s="46">
        <v>0</v>
      </c>
      <c r="KA28" s="46">
        <v>0</v>
      </c>
      <c r="KB28" s="46">
        <v>145482662</v>
      </c>
      <c r="KC28" s="46">
        <v>0</v>
      </c>
      <c r="KD28" s="46">
        <v>0</v>
      </c>
      <c r="KE28" s="46">
        <v>0</v>
      </c>
      <c r="KF28" s="46">
        <v>0</v>
      </c>
      <c r="KG28" s="46">
        <v>0</v>
      </c>
      <c r="KH28" s="46">
        <v>0</v>
      </c>
      <c r="KI28" s="46">
        <v>0</v>
      </c>
      <c r="KJ28" s="46">
        <v>53374471</v>
      </c>
      <c r="KK28" s="46">
        <v>8947</v>
      </c>
      <c r="KL28" s="46">
        <v>29578823</v>
      </c>
      <c r="KM28" s="46">
        <v>8025</v>
      </c>
      <c r="KN28" s="46">
        <v>0</v>
      </c>
      <c r="KO28" s="46">
        <v>86617</v>
      </c>
      <c r="KP28" s="46">
        <v>0</v>
      </c>
      <c r="KQ28" s="46">
        <v>0</v>
      </c>
      <c r="KR28" s="46">
        <v>186313286</v>
      </c>
      <c r="KS28" s="46">
        <v>116672710</v>
      </c>
      <c r="KT28" s="46">
        <v>0</v>
      </c>
      <c r="KU28" s="46">
        <v>8865928</v>
      </c>
      <c r="KV28" s="46">
        <v>0</v>
      </c>
      <c r="KW28" s="46">
        <v>0</v>
      </c>
      <c r="KX28" s="46">
        <v>0</v>
      </c>
      <c r="KY28" s="46">
        <v>0</v>
      </c>
      <c r="KZ28" s="46">
        <v>0</v>
      </c>
      <c r="LA28" s="46">
        <v>18561024</v>
      </c>
      <c r="LB28" s="46">
        <v>26061174</v>
      </c>
      <c r="LC28" s="46">
        <v>0</v>
      </c>
      <c r="LD28" s="46">
        <v>156345843</v>
      </c>
      <c r="LE28" s="46">
        <v>0</v>
      </c>
      <c r="LF28" s="46">
        <v>0</v>
      </c>
      <c r="LG28" s="46">
        <v>0</v>
      </c>
      <c r="LH28" s="46">
        <v>0</v>
      </c>
      <c r="LI28" s="46">
        <v>0</v>
      </c>
      <c r="LJ28" s="46">
        <v>3728298</v>
      </c>
      <c r="LK28" s="46">
        <v>16968071</v>
      </c>
      <c r="LL28" s="46">
        <v>0</v>
      </c>
      <c r="LM28" s="46">
        <v>27617899</v>
      </c>
      <c r="LN28" s="46">
        <v>0</v>
      </c>
      <c r="LO28" s="46">
        <v>0</v>
      </c>
      <c r="LP28" s="46">
        <v>0</v>
      </c>
      <c r="LQ28" s="46">
        <v>0</v>
      </c>
      <c r="LR28" s="46">
        <v>0</v>
      </c>
      <c r="LS28" s="46">
        <v>0</v>
      </c>
      <c r="LT28" s="46">
        <v>0</v>
      </c>
      <c r="LU28" s="46">
        <v>0</v>
      </c>
      <c r="LV28" s="46">
        <v>0</v>
      </c>
      <c r="LW28" s="46">
        <v>0</v>
      </c>
      <c r="LX28" s="46">
        <v>0</v>
      </c>
      <c r="LY28" s="46">
        <v>0</v>
      </c>
      <c r="LZ28" s="46">
        <v>0</v>
      </c>
      <c r="MA28" s="46">
        <v>0</v>
      </c>
      <c r="MB28" s="46">
        <v>70783200</v>
      </c>
      <c r="MC28" s="46">
        <v>121803974</v>
      </c>
      <c r="MD28" s="46">
        <v>0</v>
      </c>
      <c r="ME28" s="46">
        <v>22375899</v>
      </c>
      <c r="MF28" s="46">
        <v>0</v>
      </c>
      <c r="MG28" s="46">
        <v>0</v>
      </c>
      <c r="MH28" s="46">
        <v>0</v>
      </c>
      <c r="MI28" s="46">
        <v>0</v>
      </c>
      <c r="MJ28" s="46">
        <v>0</v>
      </c>
      <c r="MK28" s="46">
        <v>9799922</v>
      </c>
      <c r="ML28" s="46">
        <v>23510148</v>
      </c>
      <c r="MM28" s="46">
        <v>0</v>
      </c>
      <c r="MN28" s="46">
        <v>3055096</v>
      </c>
      <c r="MO28" s="46">
        <v>0</v>
      </c>
      <c r="MP28" s="46">
        <v>0</v>
      </c>
      <c r="MQ28" s="46">
        <v>0</v>
      </c>
      <c r="MR28" s="46">
        <v>0</v>
      </c>
      <c r="MS28" s="46">
        <v>0</v>
      </c>
      <c r="MT28" s="46">
        <v>43643974</v>
      </c>
      <c r="MU28" s="46">
        <v>44695993</v>
      </c>
      <c r="MV28" s="46">
        <v>0</v>
      </c>
      <c r="MW28" s="46">
        <v>2407147</v>
      </c>
      <c r="MX28" s="46">
        <v>0</v>
      </c>
      <c r="MY28" s="46">
        <v>0</v>
      </c>
      <c r="MZ28" s="46">
        <v>0</v>
      </c>
      <c r="NA28" s="46">
        <v>0</v>
      </c>
      <c r="NB28" s="46">
        <v>0</v>
      </c>
      <c r="NC28" s="46">
        <v>47203786</v>
      </c>
      <c r="ND28" s="46">
        <v>38957923</v>
      </c>
      <c r="NE28" s="46">
        <v>0</v>
      </c>
      <c r="NF28" s="46">
        <v>1515705</v>
      </c>
      <c r="NG28" s="46">
        <v>0</v>
      </c>
      <c r="NH28" s="46">
        <v>0</v>
      </c>
      <c r="NI28" s="46">
        <v>0</v>
      </c>
      <c r="NJ28" s="46">
        <v>0</v>
      </c>
      <c r="NK28" s="46">
        <v>0</v>
      </c>
      <c r="NL28" s="46">
        <v>2852493</v>
      </c>
      <c r="NM28" s="46">
        <v>59833995</v>
      </c>
      <c r="NN28" s="46">
        <v>29778</v>
      </c>
      <c r="NO28" s="46">
        <v>128544514</v>
      </c>
      <c r="NP28" s="46">
        <v>0</v>
      </c>
      <c r="NQ28" s="46">
        <v>0</v>
      </c>
      <c r="NR28" s="46">
        <v>0</v>
      </c>
      <c r="NS28" s="46">
        <v>0</v>
      </c>
      <c r="NT28" s="46">
        <v>0</v>
      </c>
      <c r="NU28" s="46">
        <v>0</v>
      </c>
      <c r="NV28" s="46">
        <v>0</v>
      </c>
      <c r="NW28" s="46">
        <v>165882667</v>
      </c>
      <c r="NX28" s="46">
        <v>249313</v>
      </c>
      <c r="NY28" s="46">
        <v>0</v>
      </c>
      <c r="NZ28" s="46">
        <v>0</v>
      </c>
      <c r="OA28" s="46">
        <v>0</v>
      </c>
      <c r="OB28" s="46">
        <v>0</v>
      </c>
      <c r="OC28" s="46">
        <v>0</v>
      </c>
      <c r="OD28" s="46">
        <v>9653103</v>
      </c>
      <c r="OE28" s="46">
        <v>4005808</v>
      </c>
      <c r="OF28" s="46">
        <v>628239</v>
      </c>
      <c r="OG28" s="46">
        <v>4499937</v>
      </c>
      <c r="OH28" s="46">
        <v>0</v>
      </c>
      <c r="OI28" s="46">
        <v>0</v>
      </c>
      <c r="OJ28" s="46">
        <v>0</v>
      </c>
      <c r="OK28" s="46">
        <v>0</v>
      </c>
      <c r="OL28" s="46">
        <v>0</v>
      </c>
      <c r="OM28" s="46">
        <v>392761</v>
      </c>
      <c r="ON28" s="46">
        <v>0</v>
      </c>
      <c r="OO28" s="46">
        <v>464776</v>
      </c>
      <c r="OP28" s="46">
        <v>3000</v>
      </c>
      <c r="OQ28" s="46">
        <v>209811</v>
      </c>
      <c r="OR28" s="46">
        <v>33606771</v>
      </c>
      <c r="OS28" s="46">
        <v>53182974</v>
      </c>
      <c r="OT28" s="46">
        <v>0</v>
      </c>
      <c r="OU28" s="46">
        <v>0</v>
      </c>
      <c r="OV28" s="46">
        <v>0</v>
      </c>
      <c r="OW28" s="46">
        <v>0</v>
      </c>
      <c r="OX28" s="46">
        <v>0</v>
      </c>
      <c r="OY28" s="46">
        <v>0</v>
      </c>
      <c r="OZ28" s="46">
        <v>0</v>
      </c>
      <c r="PA28" s="46">
        <v>0</v>
      </c>
      <c r="PB28" s="46">
        <v>-217253702</v>
      </c>
      <c r="PC28" s="46">
        <v>0</v>
      </c>
      <c r="PD28" s="46">
        <v>0</v>
      </c>
      <c r="PE28" s="46">
        <v>-44690288</v>
      </c>
      <c r="PF28" s="46">
        <v>-113752349</v>
      </c>
      <c r="PG28" s="46">
        <v>-11445822</v>
      </c>
      <c r="PH28" s="46">
        <v>-69303503</v>
      </c>
      <c r="PI28" s="46">
        <v>0</v>
      </c>
      <c r="PJ28" s="46">
        <v>-1578022</v>
      </c>
      <c r="PK28" s="46">
        <v>134273774</v>
      </c>
      <c r="PL28" s="46">
        <v>114873054</v>
      </c>
      <c r="PM28" s="46">
        <v>112722169</v>
      </c>
      <c r="PN28" s="46">
        <v>0</v>
      </c>
      <c r="PO28" s="46">
        <v>0</v>
      </c>
      <c r="PP28" s="46">
        <v>0</v>
      </c>
      <c r="PQ28" s="46">
        <v>0</v>
      </c>
      <c r="PR28" s="46">
        <v>0</v>
      </c>
      <c r="PS28" s="46">
        <v>0</v>
      </c>
      <c r="PT28" s="46">
        <v>252690000</v>
      </c>
      <c r="PU28" s="46">
        <v>0</v>
      </c>
      <c r="PV28" s="46">
        <v>0</v>
      </c>
      <c r="PW28" s="46">
        <v>0</v>
      </c>
      <c r="PX28" s="46">
        <v>0</v>
      </c>
      <c r="PY28" s="46">
        <v>0</v>
      </c>
      <c r="PZ28" s="46">
        <v>0</v>
      </c>
      <c r="QA28" s="46">
        <v>0</v>
      </c>
      <c r="QB28" s="46">
        <v>0</v>
      </c>
      <c r="QC28" s="46">
        <v>0</v>
      </c>
      <c r="QD28" s="46">
        <v>-112205580</v>
      </c>
      <c r="QE28" s="46">
        <v>0</v>
      </c>
      <c r="QF28" s="46">
        <v>0</v>
      </c>
      <c r="QG28" s="46">
        <v>4415163</v>
      </c>
      <c r="QH28" s="46">
        <v>0</v>
      </c>
      <c r="QI28" s="46">
        <v>0</v>
      </c>
      <c r="QJ28" s="46">
        <v>0</v>
      </c>
      <c r="QK28" s="46">
        <v>20749293</v>
      </c>
      <c r="QL28" s="46">
        <v>-246929</v>
      </c>
      <c r="QM28" s="46">
        <v>0</v>
      </c>
      <c r="QN28" s="46">
        <v>0</v>
      </c>
      <c r="QO28" s="46">
        <v>0</v>
      </c>
      <c r="QP28" s="46">
        <v>0</v>
      </c>
      <c r="QQ28" s="46">
        <v>0</v>
      </c>
      <c r="QR28" s="46">
        <v>0</v>
      </c>
      <c r="QS28" s="46">
        <v>0</v>
      </c>
      <c r="QT28" s="46">
        <v>13800121</v>
      </c>
      <c r="QU28" s="46">
        <v>0</v>
      </c>
      <c r="QV28" s="46">
        <v>0</v>
      </c>
      <c r="QW28" s="46">
        <v>0</v>
      </c>
      <c r="QX28" s="46">
        <v>0</v>
      </c>
      <c r="QY28" s="46">
        <v>0</v>
      </c>
      <c r="QZ28" s="46">
        <v>0</v>
      </c>
      <c r="RA28" s="46">
        <v>0</v>
      </c>
      <c r="RB28" s="46">
        <v>0</v>
      </c>
      <c r="RC28" s="46">
        <v>0</v>
      </c>
      <c r="RD28" s="46">
        <v>-252690000</v>
      </c>
      <c r="RE28" s="46">
        <v>0</v>
      </c>
      <c r="RF28" s="46">
        <v>0</v>
      </c>
      <c r="RG28" s="46">
        <v>0</v>
      </c>
      <c r="RH28" s="46">
        <v>0</v>
      </c>
      <c r="RI28" s="46">
        <v>0</v>
      </c>
      <c r="RJ28" s="46">
        <v>0</v>
      </c>
      <c r="RK28" s="46">
        <v>0</v>
      </c>
      <c r="RL28" s="46">
        <v>0</v>
      </c>
      <c r="RM28" s="46">
        <v>0</v>
      </c>
      <c r="RN28" s="46">
        <v>0</v>
      </c>
      <c r="RO28" s="46">
        <v>-115988244</v>
      </c>
      <c r="RP28" s="46">
        <v>0</v>
      </c>
      <c r="RQ28" s="46">
        <v>0</v>
      </c>
      <c r="RR28" s="46">
        <v>0</v>
      </c>
      <c r="RS28" s="46">
        <v>0</v>
      </c>
      <c r="RT28" s="46">
        <v>0</v>
      </c>
      <c r="RU28" s="46">
        <v>0</v>
      </c>
      <c r="RV28" s="46">
        <v>0</v>
      </c>
      <c r="RW28" s="46">
        <v>0</v>
      </c>
      <c r="RX28" s="46">
        <v>0</v>
      </c>
      <c r="RY28" s="46">
        <v>0</v>
      </c>
      <c r="RZ28" s="46">
        <v>0</v>
      </c>
      <c r="SA28" s="46">
        <v>0</v>
      </c>
      <c r="SB28" s="46">
        <v>0</v>
      </c>
      <c r="SC28" s="46">
        <v>0</v>
      </c>
      <c r="SD28" s="46">
        <v>0</v>
      </c>
      <c r="SE28" s="46">
        <v>0</v>
      </c>
      <c r="SF28" s="46">
        <v>0</v>
      </c>
      <c r="SG28" s="46">
        <v>0</v>
      </c>
      <c r="SH28" s="46">
        <v>0</v>
      </c>
      <c r="SI28" s="46">
        <v>0</v>
      </c>
      <c r="SJ28" s="46">
        <v>0</v>
      </c>
      <c r="SK28" s="46">
        <v>0</v>
      </c>
      <c r="SL28" s="46">
        <v>0</v>
      </c>
      <c r="SM28" s="46">
        <v>0</v>
      </c>
      <c r="SN28" s="46">
        <v>0</v>
      </c>
      <c r="SO28" s="46">
        <v>0</v>
      </c>
      <c r="SP28" s="46">
        <v>126881</v>
      </c>
      <c r="SQ28" s="46">
        <v>9653102</v>
      </c>
      <c r="SR28" s="46">
        <v>4005808</v>
      </c>
      <c r="SS28" s="46">
        <v>628239</v>
      </c>
      <c r="ST28" s="46">
        <v>4499937</v>
      </c>
      <c r="SU28" s="46">
        <v>0</v>
      </c>
      <c r="SV28" s="46">
        <v>0</v>
      </c>
      <c r="SW28" s="46">
        <v>217253702</v>
      </c>
      <c r="SX28" s="46">
        <v>0</v>
      </c>
      <c r="SY28" s="46">
        <v>0</v>
      </c>
      <c r="SZ28" s="46">
        <v>653646</v>
      </c>
      <c r="TA28" s="46">
        <v>14052296</v>
      </c>
      <c r="TB28" s="46">
        <v>77838</v>
      </c>
      <c r="TC28" s="46">
        <v>0</v>
      </c>
      <c r="TD28" s="46">
        <v>2207875</v>
      </c>
      <c r="TE28" s="46">
        <v>290335</v>
      </c>
      <c r="TF28" s="46">
        <v>834752</v>
      </c>
      <c r="TG28" s="46">
        <v>42106</v>
      </c>
      <c r="TH28" s="46">
        <v>0</v>
      </c>
      <c r="TI28" s="46">
        <v>628239</v>
      </c>
      <c r="TJ28" s="46">
        <v>1188490</v>
      </c>
      <c r="TK28" s="46">
        <v>2683</v>
      </c>
      <c r="TL28" s="46">
        <v>3762515</v>
      </c>
      <c r="TM28" s="46">
        <v>682777</v>
      </c>
      <c r="TN28" s="46">
        <v>0</v>
      </c>
      <c r="TO28" s="46">
        <v>0</v>
      </c>
      <c r="TP28" s="46">
        <v>0</v>
      </c>
      <c r="TQ28" s="46">
        <v>0</v>
      </c>
      <c r="TR28" s="46">
        <v>0</v>
      </c>
      <c r="TS28" s="46">
        <v>0</v>
      </c>
      <c r="TT28" s="46">
        <v>0</v>
      </c>
      <c r="TU28" s="46">
        <v>9776</v>
      </c>
      <c r="TV28" s="46">
        <v>0</v>
      </c>
      <c r="TW28" s="46">
        <v>0</v>
      </c>
      <c r="TX28" s="46">
        <v>0</v>
      </c>
      <c r="TY28" s="46">
        <v>0</v>
      </c>
      <c r="TZ28" s="46">
        <v>0</v>
      </c>
      <c r="UA28" s="46">
        <v>0</v>
      </c>
      <c r="UB28" s="46">
        <v>0</v>
      </c>
      <c r="UC28" s="46">
        <v>0</v>
      </c>
      <c r="UD28" s="46">
        <v>0</v>
      </c>
      <c r="UE28" s="46">
        <v>311851924</v>
      </c>
      <c r="UF28" s="46">
        <v>200968041</v>
      </c>
      <c r="UG28" s="46">
        <v>48314268</v>
      </c>
      <c r="UH28" s="46">
        <v>0</v>
      </c>
      <c r="UI28" s="46">
        <v>214963073</v>
      </c>
      <c r="UJ28" s="46">
        <v>36365166</v>
      </c>
      <c r="UK28" s="46">
        <v>90747114</v>
      </c>
      <c r="UL28" s="46">
        <v>87677414</v>
      </c>
      <c r="UM28" s="46">
        <v>191260780</v>
      </c>
      <c r="UN28" s="46">
        <v>166131980</v>
      </c>
      <c r="UO2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18787087</v>
      </c>
      <c r="UP28" s="46">
        <f>SUM(Input[[#This Row],[Oth Exp E&amp;G]],Input[[#This Row],[Oth Exp Desg]],Input[[#This Row],[Oth Exp Aux]],Input[[#This Row],[Oth Exp R Exp]],Input[[#This Row],[Oth Exp Loan]],Input[[#This Row],[Oth Exp Annuity]],Input[[#This Row],[Oth Exp Unexp]],Input[[#This Row],[Oth Exp R of Ind]],Input[[#This Row],[Oth Exp Inv in P]])</f>
        <v>87860093</v>
      </c>
      <c r="UQ28" s="46"/>
      <c r="UR28" s="46"/>
      <c r="US28" s="8" t="s">
        <v>865</v>
      </c>
      <c r="UT28" s="47">
        <v>7137438188</v>
      </c>
      <c r="UU28" s="8" t="s">
        <v>74</v>
      </c>
      <c r="UV28" s="8" t="s">
        <v>866</v>
      </c>
      <c r="UW28" s="47">
        <v>7137431533</v>
      </c>
      <c r="UX28" s="8" t="s">
        <v>867</v>
      </c>
      <c r="UY28" s="51" cm="1">
        <f t="array" ref="UY28">IFERROR(_xlfn.IFS(Input[[#This Row],[Type]]="HRI",SUMIFS('FTSE | FTFE'!$P$8:$P$77,'FTSE | FTFE'!$H$8:$H$77,A28),Input[[#This Row],[Type]]="UNIV",SUMIFS('FTSE | FTFE'!$P$104:$P$139,'FTSE | FTFE'!$H$104:$H$139,A28),OR(Input[[#This Row],[Type]]="TSTC",Input[[#This Row],[Type]]="LSC"),SUMIFS('FTSE | FTFE'!$O$88:$O$96,'FTSE | FTFE'!$H$88:$H$96,A28),Input[[#This Row],[Type]]="AHM",SUMIFS(Hidden!$H$42:$H$45,Hidden!$G$42:$G$45,A28)),"N/A")</f>
        <v>40901</v>
      </c>
      <c r="UZ28" s="51" t="str" cm="1">
        <f t="array" ref="UZ28">IFERROR(_xlfn.IFS(Input[[#This Row],[Type]]="HRI",SUMIFS('FTSE | FTFE'!$Q$8:$Q$77,'FTSE | FTFE'!$H$8:$H$77,A28),Input[[#This Row],[Type]]="UNIV",SUMIFS('FTSE | FTFE'!$Q$104:$Q$139,'FTSE | FTFE'!$H$104:$H$139,A28),OR(Input[[#This Row],[Type]]="TSTC",Input[[#This Row],[Type]]="LSC"),SUMIFS('FTSE | FTFE'!$P$88:$P$96,'FTSE | FTFE'!$H$88:$H$96,A28)),"N/A")</f>
        <v>N/A</v>
      </c>
      <c r="VA2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488132738</v>
      </c>
      <c r="VB2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56158685</v>
      </c>
      <c r="VC28" s="46">
        <f>SUM(Input[[#This Row],[Fed G&amp;C E&amp;G]],Input[[#This Row],[Fed G&amp;C Desg]],Input[[#This Row],[Fed G&amp;C R Exp]],Input[[#This Row],[Fed G&amp;C Loan]],Input[[#This Row],[Fed G&amp;C Annuity]],Input[[#This Row],[Fed G&amp;C Unexp]],Input[[#This Row],[Fed G&amp;C R of Ind]],Input[[#This Row],[Fed G&amp;C Inv in P]])</f>
        <v>245725917</v>
      </c>
      <c r="VD2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312279925</v>
      </c>
      <c r="VE2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433378443</v>
      </c>
      <c r="VF2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113726159</v>
      </c>
      <c r="VG28" s="46">
        <f>SUM(Input[[#This Row],[Oth Inc E&amp;G]],Input[[#This Row],[Oth Exp Desg]],Input[[#This Row],[Oth Exp R Exp]],Input[[#This Row],[Oth Exp Loan]],Input[[#This Row],[Oth Exp Annuity]],Input[[#This Row],[Oth Exp Unexp]],Input[[#This Row],[Oth Exp R of Ind]],Input[[#This Row],[Oth Exp Inv in P]])</f>
        <v>87002556</v>
      </c>
      <c r="VH28" s="46">
        <f>SUM(Input[[#This Row],[Instr E&amp;G]],Input[[#This Row],[Instr Desg]],Input[[#This Row],[Instr R Exp]],Input[[#This Row],[Instr Loan]],Input[[#This Row],[Instr Annuity]],Input[[#This Row],[Instr Unexp]],Input[[#This Row],[Instr R of Ind]],Input[[#This Row],[Instr Inv in P]])</f>
        <v>311851924</v>
      </c>
      <c r="VI28" s="46">
        <f>SUM(Input[[#This Row],[Res E&amp;G]],Input[[#This Row],[Res Desg]],Input[[#This Row],[Res R Exp]],Input[[#This Row],[Res Loan]],Input[[#This Row],[Res Annuity]],Input[[#This Row],[Res Unexp]],Input[[#This Row],[Res R of Ind]],Input[[#This Row],[Res Inv in P]])</f>
        <v>200968041</v>
      </c>
      <c r="VJ28" s="46">
        <f>SUM(Input[[#This Row],[Acad Sup E&amp;G]],Input[[#This Row],[Acad Sup Desg]],Input[[#This Row],[Acad Sup R Exp]],Input[[#This Row],[Acad Sup Loan]],Input[[#This Row],[Acad Sup Annuity]],Input[[#This Row],[Acad Sup Unexp]],Input[[#This Row],[Acad Sup R of Ind]],Input[[#This Row],[Acad Sup Inv in P]])</f>
        <v>214963073</v>
      </c>
      <c r="VK28" s="46">
        <f>SUM(Input[[#This Row],[Stu Svc E&amp;G]],Input[[#This Row],[Stu Svc Desg]],Input[[#This Row],[Stu Svc R Exp]],Input[[#This Row],[Stu Svc Loan]],Input[[#This Row],[Stu Svc Annuity]],Input[[#This Row],[Stu Svc Unexp]],Input[[#This Row],[Stu Svc R of Ind]],Input[[#This Row],[Stu Svc Inv in P]])</f>
        <v>36365166</v>
      </c>
      <c r="VL28" s="46">
        <f>SUM(Input[[#This Row],[Inst. Spt E&amp;G]],Input[[#This Row],[Inst. Spt Desg]],Input[[#This Row],[Inst. Spt R Exp]],Input[[#This Row],[Inst. Spt Loan]],Input[[#This Row],[Inst. Spt Annuity]],Input[[#This Row],[Inst. Spt Unexp]],Input[[#This Row],[Inst. Spt R of Ind]],Input[[#This Row],[Inst. Spt Inv in P]])</f>
        <v>90747114</v>
      </c>
      <c r="VM28" s="46">
        <f>SUM(Input[[#This Row],[M&amp;O Plnt E&amp;G]],Input[[#This Row],[M&amp;O Plnt Desg]],Input[[#This Row],[M&amp;O Plnt R Exp]],Input[[#This Row],[M&amp;O Plnt Loan]],Input[[#This Row],[M&amp;O Plnt Annuity]],Input[[#This Row],[M&amp;O Plnt Unexp]],Input[[#This Row],[M&amp;O Plnt R of Ind]],Input[[#This Row],[M&amp;O Plnt Inv in P]])</f>
        <v>87677414</v>
      </c>
      <c r="VN28" s="46">
        <f>SUM(Input[[#This Row],[Schl &amp; Fell E&amp;G]],Input[[#This Row],[Schl &amp; Fell Desg]],Input[[#This Row],[Schl &amp; Fell R Exp]],Input[[#This Row],[Schl &amp; Fell Loan]],Input[[#This Row],[Schl &amp; Fell Annuity]],Input[[#This Row],[Schl &amp; Fell Unexp]],Input[[#This Row],[Schl &amp; Fell R of Ind]],Input[[#This Row],[Schl &amp; Fell Inv in P]])</f>
        <v>191231002</v>
      </c>
      <c r="VO28" s="46">
        <f>SUM(Input[[#This Row],[Cap Out fund E&amp;G]],Input[[#This Row],[Cap Out fund Desg]],Input[[#This Row],[Cap Out fund R Exp]],Input[[#This Row],[Cap Out fund Loan]],Input[[#This Row],[Cap Out fund Annuity]],Input[[#This Row],[Cap Out fund Unexp]],Input[[#This Row],[Cap Out fund R of Ind]],Input[[#This Row],[Cap Out fund Inv in P]])</f>
        <v>18158848</v>
      </c>
      <c r="VP28" s="46">
        <f>SUM(Input[[#This Row],[Oth Exp E&amp;G]],Input[[#This Row],[Oth Exp Desg]],Input[[#This Row],[Oth Exp R Exp]],Input[[#This Row],[Oth Exp Loan]],Input[[#This Row],[Oth Exp Annuity]],Input[[#This Row],[Oth Exp Unexp]],Input[[#This Row],[Oth Exp R of Ind]],Input[[#This Row],[Oth Exp Inv in P]],Input[[#This Row],[Oth Exp Inv in P]])</f>
        <v>87395317</v>
      </c>
    </row>
    <row r="29" spans="1:588" ht="30" customHeight="1" x14ac:dyDescent="0.3">
      <c r="A29" s="15" t="s">
        <v>16</v>
      </c>
      <c r="B29" s="36" t="s">
        <v>106</v>
      </c>
      <c r="C29" s="36" t="s">
        <v>110</v>
      </c>
      <c r="D29" s="36">
        <v>302</v>
      </c>
      <c r="E29" s="36" t="s">
        <v>134</v>
      </c>
      <c r="F29" s="95" cm="1">
        <f t="array" ref="F29">IFERROR(_xlfn.IFS(Input[[#This Row],[Type]]="HRI",SUMIFS('FTSE | FTFE'!$I$8:$I$77,'FTSE | FTFE'!$H$8:$H$77,A29),Input[[#This Row],[Type]]="UNIV",SUMIFS('FTSE | FTFE'!$I$104:$I$139,'FTSE | FTFE'!$H$104:$H$139,A29),OR(Input[[#This Row],[Type]]="TSTC",Input[[#This Row],[Type]]="LSC"),SUMIFS('FTSE | FTFE'!$I$88:$I$96,'FTSE | FTFE'!$H$88:$H$96,A29)),"N/A")</f>
        <v>3652</v>
      </c>
      <c r="G29" s="46">
        <v>233274995</v>
      </c>
      <c r="H29" s="46">
        <v>0</v>
      </c>
      <c r="I29" s="46">
        <v>0</v>
      </c>
      <c r="J29" s="46">
        <v>0</v>
      </c>
      <c r="K29" s="46">
        <v>0</v>
      </c>
      <c r="L29" s="46">
        <v>0</v>
      </c>
      <c r="M29" s="46">
        <v>0</v>
      </c>
      <c r="N29" s="46">
        <v>0</v>
      </c>
      <c r="O29" s="46">
        <v>0</v>
      </c>
      <c r="P29" s="46">
        <v>318512</v>
      </c>
      <c r="Q29" s="46">
        <v>17755941</v>
      </c>
      <c r="R29" s="46">
        <v>0</v>
      </c>
      <c r="S29" s="46">
        <v>216733808</v>
      </c>
      <c r="T29" s="46">
        <v>0</v>
      </c>
      <c r="U29" s="46">
        <v>0</v>
      </c>
      <c r="V29" s="46">
        <v>0</v>
      </c>
      <c r="W29" s="46">
        <v>0</v>
      </c>
      <c r="X29" s="46">
        <v>0</v>
      </c>
      <c r="Y29" s="46">
        <v>56158685</v>
      </c>
      <c r="Z29" s="46">
        <v>0</v>
      </c>
      <c r="AA29" s="46">
        <v>0</v>
      </c>
      <c r="AB29" s="46">
        <v>0</v>
      </c>
      <c r="AC29" s="46">
        <v>0</v>
      </c>
      <c r="AD29" s="46">
        <v>0</v>
      </c>
      <c r="AE29" s="46">
        <v>0</v>
      </c>
      <c r="AF29" s="46">
        <v>0</v>
      </c>
      <c r="AG29" s="46">
        <v>0</v>
      </c>
      <c r="AH29" s="46">
        <v>0</v>
      </c>
      <c r="AI29" s="46">
        <v>0</v>
      </c>
      <c r="AJ29" s="46">
        <v>0</v>
      </c>
      <c r="AK29" s="46">
        <v>0</v>
      </c>
      <c r="AL29" s="46">
        <v>0</v>
      </c>
      <c r="AM29" s="46">
        <v>0</v>
      </c>
      <c r="AN29" s="46">
        <v>0</v>
      </c>
      <c r="AO29" s="46">
        <v>0</v>
      </c>
      <c r="AP29" s="46">
        <v>0</v>
      </c>
      <c r="AQ29" s="46">
        <v>-27409190</v>
      </c>
      <c r="AR29" s="46">
        <v>-7264031</v>
      </c>
      <c r="AS29" s="46">
        <v>0</v>
      </c>
      <c r="AT29" s="46">
        <v>0</v>
      </c>
      <c r="AU29" s="46">
        <v>0</v>
      </c>
      <c r="AV29" s="46">
        <v>0</v>
      </c>
      <c r="AW29" s="46">
        <v>0</v>
      </c>
      <c r="AX29" s="46">
        <v>0</v>
      </c>
      <c r="AY29" s="46">
        <v>0</v>
      </c>
      <c r="AZ29" s="46">
        <v>0</v>
      </c>
      <c r="BA29" s="46">
        <v>0</v>
      </c>
      <c r="BB29" s="46">
        <v>0</v>
      </c>
      <c r="BC29" s="46">
        <v>0</v>
      </c>
      <c r="BD29" s="46">
        <v>0</v>
      </c>
      <c r="BE29" s="46">
        <v>0</v>
      </c>
      <c r="BF29" s="46">
        <v>0</v>
      </c>
      <c r="BG29" s="46">
        <v>0</v>
      </c>
      <c r="BH29" s="46">
        <v>0</v>
      </c>
      <c r="BI29" s="46">
        <v>0</v>
      </c>
      <c r="BJ29" s="46">
        <v>0</v>
      </c>
      <c r="BK29" s="46">
        <v>0</v>
      </c>
      <c r="BL29" s="46">
        <v>0</v>
      </c>
      <c r="BM29" s="46">
        <v>0</v>
      </c>
      <c r="BN29" s="46">
        <v>0</v>
      </c>
      <c r="BO29" s="46">
        <v>0</v>
      </c>
      <c r="BP29" s="46">
        <v>0</v>
      </c>
      <c r="BQ29" s="46">
        <v>0</v>
      </c>
      <c r="BR29" s="46">
        <v>0</v>
      </c>
      <c r="BS29" s="46">
        <v>0</v>
      </c>
      <c r="BT29" s="46">
        <v>0</v>
      </c>
      <c r="BU29" s="46">
        <v>0</v>
      </c>
      <c r="BV29" s="46">
        <v>0</v>
      </c>
      <c r="BW29" s="46">
        <v>0</v>
      </c>
      <c r="BX29" s="46">
        <v>0</v>
      </c>
      <c r="BY29" s="46">
        <v>0</v>
      </c>
      <c r="BZ29" s="46">
        <v>0</v>
      </c>
      <c r="CA29" s="46">
        <v>93534764</v>
      </c>
      <c r="CB29" s="46">
        <v>354040830</v>
      </c>
      <c r="CC29" s="46">
        <v>0</v>
      </c>
      <c r="CD29" s="46">
        <v>0</v>
      </c>
      <c r="CE29" s="46">
        <v>0</v>
      </c>
      <c r="CF29" s="46">
        <v>0</v>
      </c>
      <c r="CG29" s="46">
        <v>0</v>
      </c>
      <c r="CH29" s="46">
        <v>0</v>
      </c>
      <c r="CI29" s="46">
        <v>0</v>
      </c>
      <c r="CJ29" s="46">
        <v>0</v>
      </c>
      <c r="CK29" s="46">
        <v>0</v>
      </c>
      <c r="CL29" s="46">
        <v>0</v>
      </c>
      <c r="CM29" s="46">
        <v>0</v>
      </c>
      <c r="CN29" s="46">
        <v>0</v>
      </c>
      <c r="CO29" s="46">
        <v>0</v>
      </c>
      <c r="CP29" s="46">
        <v>0</v>
      </c>
      <c r="CQ29" s="46">
        <v>0</v>
      </c>
      <c r="CR29" s="46">
        <v>0</v>
      </c>
      <c r="CS29" s="46">
        <v>0</v>
      </c>
      <c r="CT29" s="46">
        <v>0</v>
      </c>
      <c r="CU29" s="46">
        <v>0</v>
      </c>
      <c r="CV29" s="46">
        <v>0</v>
      </c>
      <c r="CW29" s="46">
        <v>0</v>
      </c>
      <c r="CX29" s="46">
        <v>0</v>
      </c>
      <c r="CY29" s="46">
        <v>0</v>
      </c>
      <c r="CZ29" s="46">
        <v>0</v>
      </c>
      <c r="DA29" s="46">
        <v>0</v>
      </c>
      <c r="DB29" s="46">
        <v>-2256302</v>
      </c>
      <c r="DC29" s="46">
        <v>-9370362</v>
      </c>
      <c r="DD29" s="46">
        <v>0</v>
      </c>
      <c r="DE29" s="46">
        <v>0</v>
      </c>
      <c r="DF29" s="46">
        <v>0</v>
      </c>
      <c r="DG29" s="46">
        <v>0</v>
      </c>
      <c r="DH29" s="46">
        <v>0</v>
      </c>
      <c r="DI29" s="46">
        <v>0</v>
      </c>
      <c r="DJ29" s="46">
        <v>0</v>
      </c>
      <c r="DK29" s="46">
        <v>0</v>
      </c>
      <c r="DL29" s="46">
        <v>0</v>
      </c>
      <c r="DM29" s="46">
        <v>0</v>
      </c>
      <c r="DN29" s="46">
        <v>0</v>
      </c>
      <c r="DO29" s="46">
        <v>0</v>
      </c>
      <c r="DP29" s="46">
        <v>0</v>
      </c>
      <c r="DQ29" s="46">
        <v>0</v>
      </c>
      <c r="DR29" s="46">
        <v>0</v>
      </c>
      <c r="DS29" s="46">
        <v>0</v>
      </c>
      <c r="DT29" s="46">
        <v>-13836027</v>
      </c>
      <c r="DU29" s="46">
        <v>7451662</v>
      </c>
      <c r="DV29" s="46">
        <v>0</v>
      </c>
      <c r="DW29" s="46">
        <v>0</v>
      </c>
      <c r="DX29" s="46">
        <v>0</v>
      </c>
      <c r="DY29" s="46">
        <v>0</v>
      </c>
      <c r="DZ29" s="46">
        <v>0</v>
      </c>
      <c r="EA29" s="46">
        <v>0</v>
      </c>
      <c r="EB29" s="46">
        <v>0</v>
      </c>
      <c r="EC29" s="46">
        <v>-16</v>
      </c>
      <c r="ED29" s="46">
        <v>-32107</v>
      </c>
      <c r="EE29" s="46">
        <v>-14448</v>
      </c>
      <c r="EF29" s="46">
        <v>0</v>
      </c>
      <c r="EG29" s="46">
        <v>0</v>
      </c>
      <c r="EH29" s="46">
        <v>0</v>
      </c>
      <c r="EI29" s="46">
        <v>0</v>
      </c>
      <c r="EJ29" s="46">
        <v>0</v>
      </c>
      <c r="EK29" s="46">
        <v>0</v>
      </c>
      <c r="EL29" s="46">
        <v>0</v>
      </c>
      <c r="EM29" s="46">
        <v>0</v>
      </c>
      <c r="EN29" s="46">
        <v>0</v>
      </c>
      <c r="EO29" s="46">
        <v>0</v>
      </c>
      <c r="EP29" s="46">
        <v>0</v>
      </c>
      <c r="EQ29" s="46">
        <v>0</v>
      </c>
      <c r="ER29" s="46">
        <v>0</v>
      </c>
      <c r="ES29" s="46">
        <v>0</v>
      </c>
      <c r="ET29" s="46">
        <v>0</v>
      </c>
      <c r="EU29" s="46">
        <v>0</v>
      </c>
      <c r="EV29" s="46">
        <v>0</v>
      </c>
      <c r="EW29" s="46">
        <v>0</v>
      </c>
      <c r="EX29" s="46">
        <v>0</v>
      </c>
      <c r="EY29" s="46">
        <v>0</v>
      </c>
      <c r="EZ29" s="46">
        <v>0</v>
      </c>
      <c r="FA29" s="46">
        <v>0</v>
      </c>
      <c r="FB29" s="46">
        <v>0</v>
      </c>
      <c r="FC29" s="46">
        <v>0</v>
      </c>
      <c r="FD29" s="46">
        <v>0</v>
      </c>
      <c r="FE29" s="46">
        <v>0</v>
      </c>
      <c r="FF29" s="46">
        <v>0</v>
      </c>
      <c r="FG29" s="46">
        <v>0</v>
      </c>
      <c r="FH29" s="46">
        <v>0</v>
      </c>
      <c r="FI29" s="46">
        <v>0</v>
      </c>
      <c r="FJ29" s="46">
        <v>0</v>
      </c>
      <c r="FK29" s="46">
        <v>0</v>
      </c>
      <c r="FL29" s="46">
        <v>0</v>
      </c>
      <c r="FM29" s="46">
        <v>463597</v>
      </c>
      <c r="FN29" s="46">
        <v>112536585</v>
      </c>
      <c r="FO29" s="46">
        <v>47979672</v>
      </c>
      <c r="FP29" s="46">
        <v>0</v>
      </c>
      <c r="FQ29" s="46">
        <v>0</v>
      </c>
      <c r="FR29" s="46">
        <v>0</v>
      </c>
      <c r="FS29" s="46">
        <v>0</v>
      </c>
      <c r="FT29" s="46">
        <v>0</v>
      </c>
      <c r="FU29" s="46">
        <v>0</v>
      </c>
      <c r="FV29" s="46">
        <v>0</v>
      </c>
      <c r="FW29" s="46">
        <v>0</v>
      </c>
      <c r="FX29" s="46">
        <v>0</v>
      </c>
      <c r="FY29" s="46">
        <v>0</v>
      </c>
      <c r="FZ29" s="46">
        <v>0</v>
      </c>
      <c r="GA29" s="46">
        <v>0</v>
      </c>
      <c r="GB29" s="46">
        <v>0</v>
      </c>
      <c r="GC29" s="46">
        <v>0</v>
      </c>
      <c r="GD29" s="46">
        <v>0</v>
      </c>
      <c r="GE29" s="46">
        <v>0</v>
      </c>
      <c r="GF29" s="46">
        <v>0</v>
      </c>
      <c r="GG29" s="46">
        <v>0</v>
      </c>
      <c r="GH29" s="46">
        <v>0</v>
      </c>
      <c r="GI29" s="46">
        <v>0</v>
      </c>
      <c r="GJ29" s="46">
        <v>0</v>
      </c>
      <c r="GK29" s="46">
        <v>0</v>
      </c>
      <c r="GL29" s="46">
        <v>0</v>
      </c>
      <c r="GM29" s="46">
        <v>0</v>
      </c>
      <c r="GN29" s="46">
        <v>-2601</v>
      </c>
      <c r="GO29" s="46">
        <v>-2585935</v>
      </c>
      <c r="GP29" s="46">
        <v>-660122</v>
      </c>
      <c r="GQ29" s="46">
        <v>0</v>
      </c>
      <c r="GR29" s="46">
        <v>0</v>
      </c>
      <c r="GS29" s="46">
        <v>0</v>
      </c>
      <c r="GT29" s="46">
        <v>0</v>
      </c>
      <c r="GU29" s="46">
        <v>0</v>
      </c>
      <c r="GV29" s="46">
        <v>0</v>
      </c>
      <c r="GW29" s="46">
        <v>0</v>
      </c>
      <c r="GX29" s="46">
        <v>0</v>
      </c>
      <c r="GY29" s="46">
        <v>0</v>
      </c>
      <c r="GZ29" s="46">
        <v>0</v>
      </c>
      <c r="HA29" s="46">
        <v>0</v>
      </c>
      <c r="HB29" s="46">
        <v>0</v>
      </c>
      <c r="HC29" s="46">
        <v>0</v>
      </c>
      <c r="HD29" s="46">
        <v>0</v>
      </c>
      <c r="HE29" s="46">
        <v>0</v>
      </c>
      <c r="HF29" s="46">
        <v>-66670</v>
      </c>
      <c r="HG29" s="46">
        <v>2377956</v>
      </c>
      <c r="HH29" s="46">
        <v>-59691076</v>
      </c>
      <c r="HI29" s="46">
        <v>0</v>
      </c>
      <c r="HJ29" s="46">
        <v>0</v>
      </c>
      <c r="HK29" s="46">
        <v>0</v>
      </c>
      <c r="HL29" s="46">
        <v>0</v>
      </c>
      <c r="HM29" s="46">
        <v>0</v>
      </c>
      <c r="HN29" s="46">
        <v>0</v>
      </c>
      <c r="HO29" s="46">
        <v>0</v>
      </c>
      <c r="HP29" s="46">
        <v>27264</v>
      </c>
      <c r="HQ29" s="46">
        <v>0</v>
      </c>
      <c r="HR29" s="46">
        <v>244964639</v>
      </c>
      <c r="HS29" s="46">
        <v>0</v>
      </c>
      <c r="HT29" s="46">
        <v>0</v>
      </c>
      <c r="HU29" s="46">
        <v>0</v>
      </c>
      <c r="HV29" s="46">
        <v>0</v>
      </c>
      <c r="HW29" s="46">
        <v>0</v>
      </c>
      <c r="HX29" s="46">
        <v>0</v>
      </c>
      <c r="HY29" s="46">
        <v>0</v>
      </c>
      <c r="HZ29" s="46">
        <v>0</v>
      </c>
      <c r="IA29" s="46">
        <v>0</v>
      </c>
      <c r="IB29" s="46">
        <v>0</v>
      </c>
      <c r="IC29" s="46">
        <v>0</v>
      </c>
      <c r="ID29" s="46">
        <v>0</v>
      </c>
      <c r="IE29" s="46">
        <v>0</v>
      </c>
      <c r="IF29" s="46">
        <v>0</v>
      </c>
      <c r="IG29" s="46">
        <v>0</v>
      </c>
      <c r="IH29" s="46">
        <v>0</v>
      </c>
      <c r="II29" s="46">
        <v>0</v>
      </c>
      <c r="IJ29" s="46">
        <v>0</v>
      </c>
      <c r="IK29" s="46">
        <v>0</v>
      </c>
      <c r="IL29" s="46">
        <v>0</v>
      </c>
      <c r="IM29" s="46">
        <v>0</v>
      </c>
      <c r="IN29" s="46">
        <v>0</v>
      </c>
      <c r="IO29" s="46">
        <v>0</v>
      </c>
      <c r="IP29" s="46">
        <v>9648507</v>
      </c>
      <c r="IQ29" s="46">
        <v>39646964</v>
      </c>
      <c r="IR29" s="46">
        <v>1337143</v>
      </c>
      <c r="IS29" s="46">
        <v>66101</v>
      </c>
      <c r="IT29" s="46">
        <v>5742</v>
      </c>
      <c r="IU29" s="46">
        <v>62264422</v>
      </c>
      <c r="IV29" s="46">
        <v>4472851</v>
      </c>
      <c r="IW29" s="46">
        <v>368726</v>
      </c>
      <c r="IX29" s="46">
        <v>0</v>
      </c>
      <c r="IY29" s="46">
        <v>0</v>
      </c>
      <c r="IZ29" s="46">
        <v>19816742</v>
      </c>
      <c r="JA29" s="46">
        <v>0</v>
      </c>
      <c r="JB29" s="46">
        <v>932568</v>
      </c>
      <c r="JC29" s="46">
        <v>0</v>
      </c>
      <c r="JD29" s="46">
        <v>0</v>
      </c>
      <c r="JE29" s="46">
        <v>0</v>
      </c>
      <c r="JF29" s="46">
        <v>0</v>
      </c>
      <c r="JG29" s="46">
        <v>0</v>
      </c>
      <c r="JH29" s="46">
        <v>0</v>
      </c>
      <c r="JI29" s="46">
        <v>1388273</v>
      </c>
      <c r="JJ29" s="46">
        <v>105</v>
      </c>
      <c r="JK29" s="46">
        <v>27208334</v>
      </c>
      <c r="JL29" s="46">
        <v>0</v>
      </c>
      <c r="JM29" s="46">
        <v>22009500</v>
      </c>
      <c r="JN29" s="46">
        <v>0</v>
      </c>
      <c r="JO29" s="46">
        <v>0</v>
      </c>
      <c r="JP29" s="46">
        <v>0</v>
      </c>
      <c r="JQ29" s="46">
        <v>34681</v>
      </c>
      <c r="JR29" s="46">
        <v>37448270</v>
      </c>
      <c r="JS29" s="46">
        <v>0</v>
      </c>
      <c r="JT29" s="46">
        <v>1000</v>
      </c>
      <c r="JU29" s="46">
        <v>0</v>
      </c>
      <c r="JV29" s="46">
        <v>0</v>
      </c>
      <c r="JW29" s="46">
        <v>0</v>
      </c>
      <c r="JX29" s="46">
        <v>0</v>
      </c>
      <c r="JY29" s="46">
        <v>0</v>
      </c>
      <c r="JZ29" s="46">
        <v>0</v>
      </c>
      <c r="KA29" s="46">
        <v>0</v>
      </c>
      <c r="KB29" s="46">
        <v>145482662</v>
      </c>
      <c r="KC29" s="46">
        <v>0</v>
      </c>
      <c r="KD29" s="46">
        <v>0</v>
      </c>
      <c r="KE29" s="46">
        <v>0</v>
      </c>
      <c r="KF29" s="46">
        <v>0</v>
      </c>
      <c r="KG29" s="46">
        <v>0</v>
      </c>
      <c r="KH29" s="46">
        <v>0</v>
      </c>
      <c r="KI29" s="46">
        <v>0</v>
      </c>
      <c r="KJ29" s="46">
        <v>38259604</v>
      </c>
      <c r="KK29" s="46">
        <v>8947</v>
      </c>
      <c r="KL29" s="46">
        <v>28388845</v>
      </c>
      <c r="KM29" s="46">
        <v>8025</v>
      </c>
      <c r="KN29" s="46">
        <v>0</v>
      </c>
      <c r="KO29" s="46">
        <v>86617</v>
      </c>
      <c r="KP29" s="46">
        <v>0</v>
      </c>
      <c r="KQ29" s="46">
        <v>0</v>
      </c>
      <c r="KR29" s="46">
        <v>175506558</v>
      </c>
      <c r="KS29" s="46">
        <v>116656370</v>
      </c>
      <c r="KT29" s="46">
        <v>0</v>
      </c>
      <c r="KU29" s="46">
        <v>8754061</v>
      </c>
      <c r="KV29" s="46">
        <v>0</v>
      </c>
      <c r="KW29" s="46">
        <v>0</v>
      </c>
      <c r="KX29" s="46">
        <v>0</v>
      </c>
      <c r="KY29" s="46">
        <v>0</v>
      </c>
      <c r="KZ29" s="46">
        <v>0</v>
      </c>
      <c r="LA29" s="46">
        <v>18354566</v>
      </c>
      <c r="LB29" s="46">
        <v>25992199</v>
      </c>
      <c r="LC29" s="46">
        <v>0</v>
      </c>
      <c r="LD29" s="46">
        <v>154193686</v>
      </c>
      <c r="LE29" s="46">
        <v>0</v>
      </c>
      <c r="LF29" s="46">
        <v>0</v>
      </c>
      <c r="LG29" s="46">
        <v>0</v>
      </c>
      <c r="LH29" s="46">
        <v>0</v>
      </c>
      <c r="LI29" s="46">
        <v>0</v>
      </c>
      <c r="LJ29" s="46">
        <v>3728298</v>
      </c>
      <c r="LK29" s="46">
        <v>4825242</v>
      </c>
      <c r="LL29" s="46">
        <v>0</v>
      </c>
      <c r="LM29" s="46">
        <v>27497613</v>
      </c>
      <c r="LN29" s="46">
        <v>0</v>
      </c>
      <c r="LO29" s="46">
        <v>0</v>
      </c>
      <c r="LP29" s="46">
        <v>0</v>
      </c>
      <c r="LQ29" s="46">
        <v>0</v>
      </c>
      <c r="LR29" s="46">
        <v>0</v>
      </c>
      <c r="LS29" s="46">
        <v>0</v>
      </c>
      <c r="LT29" s="46">
        <v>0</v>
      </c>
      <c r="LU29" s="46">
        <v>0</v>
      </c>
      <c r="LV29" s="46">
        <v>0</v>
      </c>
      <c r="LW29" s="46">
        <v>0</v>
      </c>
      <c r="LX29" s="46">
        <v>0</v>
      </c>
      <c r="LY29" s="46">
        <v>0</v>
      </c>
      <c r="LZ29" s="46">
        <v>0</v>
      </c>
      <c r="MA29" s="46">
        <v>0</v>
      </c>
      <c r="MB29" s="46">
        <v>59317866</v>
      </c>
      <c r="MC29" s="46">
        <v>117989044</v>
      </c>
      <c r="MD29" s="46">
        <v>0</v>
      </c>
      <c r="ME29" s="46">
        <v>21372290</v>
      </c>
      <c r="MF29" s="46">
        <v>0</v>
      </c>
      <c r="MG29" s="46">
        <v>0</v>
      </c>
      <c r="MH29" s="46">
        <v>0</v>
      </c>
      <c r="MI29" s="46">
        <v>0</v>
      </c>
      <c r="MJ29" s="46">
        <v>0</v>
      </c>
      <c r="MK29" s="46">
        <v>9799922</v>
      </c>
      <c r="ML29" s="46">
        <v>23510148</v>
      </c>
      <c r="MM29" s="46">
        <v>0</v>
      </c>
      <c r="MN29" s="46">
        <v>3055096</v>
      </c>
      <c r="MO29" s="46">
        <v>0</v>
      </c>
      <c r="MP29" s="46">
        <v>0</v>
      </c>
      <c r="MQ29" s="46">
        <v>0</v>
      </c>
      <c r="MR29" s="46">
        <v>0</v>
      </c>
      <c r="MS29" s="46">
        <v>0</v>
      </c>
      <c r="MT29" s="46">
        <v>43620722</v>
      </c>
      <c r="MU29" s="46">
        <v>44681519</v>
      </c>
      <c r="MV29" s="46">
        <v>0</v>
      </c>
      <c r="MW29" s="46">
        <v>2407147</v>
      </c>
      <c r="MX29" s="46">
        <v>0</v>
      </c>
      <c r="MY29" s="46">
        <v>0</v>
      </c>
      <c r="MZ29" s="46">
        <v>0</v>
      </c>
      <c r="NA29" s="46">
        <v>0</v>
      </c>
      <c r="NB29" s="46">
        <v>0</v>
      </c>
      <c r="NC29" s="46">
        <v>45769162</v>
      </c>
      <c r="ND29" s="46">
        <v>38344427</v>
      </c>
      <c r="NE29" s="46">
        <v>0</v>
      </c>
      <c r="NF29" s="46">
        <v>1515705</v>
      </c>
      <c r="NG29" s="46">
        <v>0</v>
      </c>
      <c r="NH29" s="46">
        <v>0</v>
      </c>
      <c r="NI29" s="46">
        <v>0</v>
      </c>
      <c r="NJ29" s="46">
        <v>0</v>
      </c>
      <c r="NK29" s="46">
        <v>0</v>
      </c>
      <c r="NL29" s="46">
        <v>2839393</v>
      </c>
      <c r="NM29" s="46">
        <v>59831308</v>
      </c>
      <c r="NN29" s="46">
        <v>29778</v>
      </c>
      <c r="NO29" s="46">
        <v>127955222</v>
      </c>
      <c r="NP29" s="46">
        <v>0</v>
      </c>
      <c r="NQ29" s="46">
        <v>0</v>
      </c>
      <c r="NR29" s="46">
        <v>0</v>
      </c>
      <c r="NS29" s="46">
        <v>0</v>
      </c>
      <c r="NT29" s="46">
        <v>0</v>
      </c>
      <c r="NU29" s="46">
        <v>0</v>
      </c>
      <c r="NV29" s="46">
        <v>0</v>
      </c>
      <c r="NW29" s="46">
        <v>165882667</v>
      </c>
      <c r="NX29" s="46">
        <v>249313</v>
      </c>
      <c r="NY29" s="46">
        <v>0</v>
      </c>
      <c r="NZ29" s="46">
        <v>0</v>
      </c>
      <c r="OA29" s="46">
        <v>0</v>
      </c>
      <c r="OB29" s="46">
        <v>0</v>
      </c>
      <c r="OC29" s="46">
        <v>0</v>
      </c>
      <c r="OD29" s="46">
        <v>9653102</v>
      </c>
      <c r="OE29" s="46">
        <v>4005808</v>
      </c>
      <c r="OF29" s="46">
        <v>628239</v>
      </c>
      <c r="OG29" s="46">
        <v>4499937</v>
      </c>
      <c r="OH29" s="46">
        <v>0</v>
      </c>
      <c r="OI29" s="46">
        <v>0</v>
      </c>
      <c r="OJ29" s="46">
        <v>0</v>
      </c>
      <c r="OK29" s="46">
        <v>0</v>
      </c>
      <c r="OL29" s="46">
        <v>0</v>
      </c>
      <c r="OM29" s="46">
        <v>392761</v>
      </c>
      <c r="ON29" s="46">
        <v>0</v>
      </c>
      <c r="OO29" s="46">
        <v>464776</v>
      </c>
      <c r="OP29" s="46">
        <v>3000</v>
      </c>
      <c r="OQ29" s="46">
        <v>209812</v>
      </c>
      <c r="OR29" s="46">
        <v>33606771</v>
      </c>
      <c r="OS29" s="46">
        <v>53182974</v>
      </c>
      <c r="OT29" s="46">
        <v>0</v>
      </c>
      <c r="OU29" s="46">
        <v>0</v>
      </c>
      <c r="OV29" s="46">
        <v>0</v>
      </c>
      <c r="OW29" s="46">
        <v>0</v>
      </c>
      <c r="OX29" s="46">
        <v>0</v>
      </c>
      <c r="OY29" s="46">
        <v>0</v>
      </c>
      <c r="OZ29" s="46">
        <v>0</v>
      </c>
      <c r="PA29" s="46">
        <v>0</v>
      </c>
      <c r="PB29" s="46">
        <v>-217253702</v>
      </c>
      <c r="PC29" s="46">
        <v>0</v>
      </c>
      <c r="PD29" s="46">
        <v>0</v>
      </c>
      <c r="PE29" s="46">
        <v>-44120603</v>
      </c>
      <c r="PF29" s="46">
        <v>-113980711</v>
      </c>
      <c r="PG29" s="46">
        <v>-11445822</v>
      </c>
      <c r="PH29" s="46">
        <v>-69363828</v>
      </c>
      <c r="PI29" s="46">
        <v>0</v>
      </c>
      <c r="PJ29" s="46">
        <v>-1578022</v>
      </c>
      <c r="PK29" s="46">
        <v>134273774</v>
      </c>
      <c r="PL29" s="46">
        <v>114873054</v>
      </c>
      <c r="PM29" s="46">
        <v>112722169</v>
      </c>
      <c r="PN29" s="46">
        <v>0</v>
      </c>
      <c r="PO29" s="46">
        <v>0</v>
      </c>
      <c r="PP29" s="46">
        <v>0</v>
      </c>
      <c r="PQ29" s="46">
        <v>0</v>
      </c>
      <c r="PR29" s="46">
        <v>0</v>
      </c>
      <c r="PS29" s="46">
        <v>0</v>
      </c>
      <c r="PT29" s="46">
        <v>252690000</v>
      </c>
      <c r="PU29" s="46">
        <v>0</v>
      </c>
      <c r="PV29" s="46">
        <v>0</v>
      </c>
      <c r="PW29" s="46">
        <v>0</v>
      </c>
      <c r="PX29" s="46">
        <v>0</v>
      </c>
      <c r="PY29" s="46">
        <v>0</v>
      </c>
      <c r="PZ29" s="46">
        <v>0</v>
      </c>
      <c r="QA29" s="46">
        <v>0</v>
      </c>
      <c r="QB29" s="46">
        <v>0</v>
      </c>
      <c r="QC29" s="46">
        <v>0</v>
      </c>
      <c r="QD29" s="46">
        <v>-112205580</v>
      </c>
      <c r="QE29" s="46">
        <v>0</v>
      </c>
      <c r="QF29" s="46">
        <v>0</v>
      </c>
      <c r="QG29" s="46">
        <v>4415163</v>
      </c>
      <c r="QH29" s="46">
        <v>0</v>
      </c>
      <c r="QI29" s="46">
        <v>0</v>
      </c>
      <c r="QJ29" s="46">
        <v>0</v>
      </c>
      <c r="QK29" s="46">
        <v>20749293</v>
      </c>
      <c r="QL29" s="46">
        <v>-246929</v>
      </c>
      <c r="QM29" s="46">
        <v>0</v>
      </c>
      <c r="QN29" s="46">
        <v>0</v>
      </c>
      <c r="QO29" s="46">
        <v>0</v>
      </c>
      <c r="QP29" s="46">
        <v>0</v>
      </c>
      <c r="QQ29" s="46">
        <v>0</v>
      </c>
      <c r="QR29" s="46">
        <v>0</v>
      </c>
      <c r="QS29" s="46">
        <v>0</v>
      </c>
      <c r="QT29" s="46">
        <v>13800122</v>
      </c>
      <c r="QU29" s="46">
        <v>0</v>
      </c>
      <c r="QV29" s="46">
        <v>0</v>
      </c>
      <c r="QW29" s="46">
        <v>0</v>
      </c>
      <c r="QX29" s="46">
        <v>0</v>
      </c>
      <c r="QY29" s="46">
        <v>0</v>
      </c>
      <c r="QZ29" s="46">
        <v>0</v>
      </c>
      <c r="RA29" s="46">
        <v>0</v>
      </c>
      <c r="RB29" s="46">
        <v>0</v>
      </c>
      <c r="RC29" s="46">
        <v>0</v>
      </c>
      <c r="RD29" s="46">
        <v>-252690000</v>
      </c>
      <c r="RE29" s="46">
        <v>0</v>
      </c>
      <c r="RF29" s="46">
        <v>0</v>
      </c>
      <c r="RG29" s="46">
        <v>0</v>
      </c>
      <c r="RH29" s="46">
        <v>0</v>
      </c>
      <c r="RI29" s="46">
        <v>0</v>
      </c>
      <c r="RJ29" s="46">
        <v>0</v>
      </c>
      <c r="RK29" s="46">
        <v>0</v>
      </c>
      <c r="RL29" s="46">
        <v>0</v>
      </c>
      <c r="RM29" s="46">
        <v>0</v>
      </c>
      <c r="RN29" s="46">
        <v>0</v>
      </c>
      <c r="RO29" s="46">
        <v>-115988245</v>
      </c>
      <c r="RP29" s="46">
        <v>0</v>
      </c>
      <c r="RQ29" s="46">
        <v>0</v>
      </c>
      <c r="RR29" s="46">
        <v>0</v>
      </c>
      <c r="RS29" s="46">
        <v>0</v>
      </c>
      <c r="RT29" s="46">
        <v>0</v>
      </c>
      <c r="RU29" s="46">
        <v>0</v>
      </c>
      <c r="RV29" s="46">
        <v>0</v>
      </c>
      <c r="RW29" s="46">
        <v>0</v>
      </c>
      <c r="RX29" s="46">
        <v>0</v>
      </c>
      <c r="RY29" s="46">
        <v>0</v>
      </c>
      <c r="RZ29" s="46">
        <v>0</v>
      </c>
      <c r="SA29" s="46">
        <v>0</v>
      </c>
      <c r="SB29" s="46">
        <v>0</v>
      </c>
      <c r="SC29" s="46">
        <v>0</v>
      </c>
      <c r="SD29" s="46">
        <v>0</v>
      </c>
      <c r="SE29" s="46">
        <v>0</v>
      </c>
      <c r="SF29" s="46">
        <v>0</v>
      </c>
      <c r="SG29" s="46">
        <v>0</v>
      </c>
      <c r="SH29" s="46">
        <v>0</v>
      </c>
      <c r="SI29" s="46">
        <v>0</v>
      </c>
      <c r="SJ29" s="46">
        <v>0</v>
      </c>
      <c r="SK29" s="46">
        <v>0</v>
      </c>
      <c r="SL29" s="46">
        <v>0</v>
      </c>
      <c r="SM29" s="46">
        <v>0</v>
      </c>
      <c r="SN29" s="46">
        <v>0</v>
      </c>
      <c r="SO29" s="46">
        <v>0</v>
      </c>
      <c r="SP29" s="46">
        <v>126881</v>
      </c>
      <c r="SQ29" s="46">
        <v>9653102</v>
      </c>
      <c r="SR29" s="46">
        <v>4005808</v>
      </c>
      <c r="SS29" s="46">
        <v>628239</v>
      </c>
      <c r="ST29" s="46">
        <v>4499937</v>
      </c>
      <c r="SU29" s="46">
        <v>0</v>
      </c>
      <c r="SV29" s="46">
        <v>0</v>
      </c>
      <c r="SW29" s="46">
        <v>217253702</v>
      </c>
      <c r="SX29" s="46">
        <v>0</v>
      </c>
      <c r="SY29" s="46">
        <v>0</v>
      </c>
      <c r="SZ29" s="46">
        <v>653646</v>
      </c>
      <c r="TA29" s="46">
        <v>14052296</v>
      </c>
      <c r="TB29" s="46">
        <v>77838</v>
      </c>
      <c r="TC29" s="46">
        <v>0</v>
      </c>
      <c r="TD29" s="46">
        <v>2207875</v>
      </c>
      <c r="TE29" s="46">
        <v>290335</v>
      </c>
      <c r="TF29" s="46">
        <v>834751</v>
      </c>
      <c r="TG29" s="46">
        <v>42106</v>
      </c>
      <c r="TH29" s="46">
        <v>0</v>
      </c>
      <c r="TI29" s="46">
        <v>628239</v>
      </c>
      <c r="TJ29" s="46">
        <v>1188490</v>
      </c>
      <c r="TK29" s="46">
        <v>2683</v>
      </c>
      <c r="TL29" s="46">
        <v>3641110</v>
      </c>
      <c r="TM29" s="46">
        <v>682777</v>
      </c>
      <c r="TN29" s="46">
        <v>0</v>
      </c>
      <c r="TO29" s="46">
        <v>0</v>
      </c>
      <c r="TP29" s="46">
        <v>0</v>
      </c>
      <c r="TQ29" s="46">
        <v>0</v>
      </c>
      <c r="TR29" s="46">
        <v>0</v>
      </c>
      <c r="TS29" s="46">
        <v>0</v>
      </c>
      <c r="TT29" s="46">
        <v>0</v>
      </c>
      <c r="TU29" s="46">
        <v>9776</v>
      </c>
      <c r="TV29" s="46">
        <v>0</v>
      </c>
      <c r="TW29" s="46">
        <v>0</v>
      </c>
      <c r="TX29" s="46">
        <v>0</v>
      </c>
      <c r="TY29" s="46">
        <v>0</v>
      </c>
      <c r="TZ29" s="46">
        <v>0</v>
      </c>
      <c r="UA29" s="46">
        <v>0</v>
      </c>
      <c r="UB29" s="46">
        <v>0</v>
      </c>
      <c r="UC29" s="46">
        <v>0</v>
      </c>
      <c r="UD29" s="46">
        <v>0</v>
      </c>
      <c r="UE29" s="46">
        <v>300916989</v>
      </c>
      <c r="UF29" s="46">
        <v>198540451</v>
      </c>
      <c r="UG29" s="46">
        <v>36051153</v>
      </c>
      <c r="UH29" s="46">
        <v>0</v>
      </c>
      <c r="UI29" s="46">
        <v>198679200</v>
      </c>
      <c r="UJ29" s="46">
        <v>36365166</v>
      </c>
      <c r="UK29" s="46">
        <v>90709388</v>
      </c>
      <c r="UL29" s="46">
        <v>85629294</v>
      </c>
      <c r="UM29" s="46">
        <v>190655701</v>
      </c>
      <c r="UN29" s="46">
        <v>166131980</v>
      </c>
      <c r="UO2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18787086</v>
      </c>
      <c r="UP29" s="46">
        <f>SUM(Input[[#This Row],[Oth Exp E&amp;G]],Input[[#This Row],[Oth Exp Desg]],Input[[#This Row],[Oth Exp Aux]],Input[[#This Row],[Oth Exp R Exp]],Input[[#This Row],[Oth Exp Loan]],Input[[#This Row],[Oth Exp Annuity]],Input[[#This Row],[Oth Exp Unexp]],Input[[#This Row],[Oth Exp R of Ind]],Input[[#This Row],[Oth Exp Inv in P]])</f>
        <v>87860094</v>
      </c>
      <c r="UQ29" s="46"/>
      <c r="UR29" s="46"/>
      <c r="US29" s="8" t="s">
        <v>865</v>
      </c>
      <c r="UT29" s="47">
        <v>7137438188</v>
      </c>
      <c r="UU29" s="8" t="s">
        <v>74</v>
      </c>
      <c r="UV29" s="8" t="s">
        <v>866</v>
      </c>
      <c r="UW29" s="47">
        <v>7137431533</v>
      </c>
      <c r="UX29" s="8" t="s">
        <v>867</v>
      </c>
      <c r="UY29" s="51" cm="1">
        <f t="array" ref="UY29">IFERROR(_xlfn.IFS(Input[[#This Row],[Type]]="HRI",SUMIFS('FTSE | FTFE'!$P$8:$P$77,'FTSE | FTFE'!$H$8:$H$77,A29),Input[[#This Row],[Type]]="UNIV",SUMIFS('FTSE | FTFE'!$P$104:$P$139,'FTSE | FTFE'!$H$104:$H$139,A29),OR(Input[[#This Row],[Type]]="TSTC",Input[[#This Row],[Type]]="LSC"),SUMIFS('FTSE | FTFE'!$O$88:$O$96,'FTSE | FTFE'!$H$88:$H$96,A29),Input[[#This Row],[Type]]="AHM",SUMIFS(Hidden!$H$42:$H$45,Hidden!$G$42:$G$45,A29)),"N/A")</f>
        <v>40598</v>
      </c>
      <c r="UZ29" s="51" cm="1">
        <f t="array" ref="UZ29">IFERROR(_xlfn.IFS(Input[[#This Row],[Type]]="HRI",SUMIFS('FTSE | FTFE'!$Q$8:$Q$77,'FTSE | FTFE'!$H$8:$H$77,A29),Input[[#This Row],[Type]]="UNIV",SUMIFS('FTSE | FTFE'!$Q$104:$Q$139,'FTSE | FTFE'!$H$104:$H$139,A29),OR(Input[[#This Row],[Type]]="TSTC",Input[[#This Row],[Type]]="LSC"),SUMIFS('FTSE | FTFE'!$P$88:$P$96,'FTSE | FTFE'!$H$88:$H$96,A29)),"N/A")</f>
        <v>956</v>
      </c>
      <c r="VA2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468083256</v>
      </c>
      <c r="VB2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56158685</v>
      </c>
      <c r="VC29" s="46">
        <f>SUM(Input[[#This Row],[Fed G&amp;C E&amp;G]],Input[[#This Row],[Fed G&amp;C Desg]],Input[[#This Row],[Fed G&amp;C R Exp]],Input[[#This Row],[Fed G&amp;C Loan]],Input[[#This Row],[Fed G&amp;C Annuity]],Input[[#This Row],[Fed G&amp;C Unexp]],Input[[#This Row],[Fed G&amp;C R of Ind]],Input[[#This Row],[Fed G&amp;C Inv in P]])</f>
        <v>244991903</v>
      </c>
      <c r="VD2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292055772</v>
      </c>
      <c r="VE2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429564565</v>
      </c>
      <c r="VF2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112722932</v>
      </c>
      <c r="VG29" s="46">
        <f>SUM(Input[[#This Row],[Oth Inc E&amp;G]],Input[[#This Row],[Oth Exp Desg]],Input[[#This Row],[Oth Exp R Exp]],Input[[#This Row],[Oth Exp Loan]],Input[[#This Row],[Oth Exp Annuity]],Input[[#This Row],[Oth Exp Unexp]],Input[[#This Row],[Oth Exp R of Ind]],Input[[#This Row],[Oth Exp Inv in P]])</f>
        <v>87002557</v>
      </c>
      <c r="VH29" s="46">
        <f>SUM(Input[[#This Row],[Instr E&amp;G]],Input[[#This Row],[Instr Desg]],Input[[#This Row],[Instr R Exp]],Input[[#This Row],[Instr Loan]],Input[[#This Row],[Instr Annuity]],Input[[#This Row],[Instr Unexp]],Input[[#This Row],[Instr R of Ind]],Input[[#This Row],[Instr Inv in P]])</f>
        <v>300916989</v>
      </c>
      <c r="VI29" s="46">
        <f>SUM(Input[[#This Row],[Res E&amp;G]],Input[[#This Row],[Res Desg]],Input[[#This Row],[Res R Exp]],Input[[#This Row],[Res Loan]],Input[[#This Row],[Res Annuity]],Input[[#This Row],[Res Unexp]],Input[[#This Row],[Res R of Ind]],Input[[#This Row],[Res Inv in P]])</f>
        <v>198540451</v>
      </c>
      <c r="VJ29" s="46">
        <f>SUM(Input[[#This Row],[Acad Sup E&amp;G]],Input[[#This Row],[Acad Sup Desg]],Input[[#This Row],[Acad Sup R Exp]],Input[[#This Row],[Acad Sup Loan]],Input[[#This Row],[Acad Sup Annuity]],Input[[#This Row],[Acad Sup Unexp]],Input[[#This Row],[Acad Sup R of Ind]],Input[[#This Row],[Acad Sup Inv in P]])</f>
        <v>198679200</v>
      </c>
      <c r="VK29" s="46">
        <f>SUM(Input[[#This Row],[Stu Svc E&amp;G]],Input[[#This Row],[Stu Svc Desg]],Input[[#This Row],[Stu Svc R Exp]],Input[[#This Row],[Stu Svc Loan]],Input[[#This Row],[Stu Svc Annuity]],Input[[#This Row],[Stu Svc Unexp]],Input[[#This Row],[Stu Svc R of Ind]],Input[[#This Row],[Stu Svc Inv in P]])</f>
        <v>36365166</v>
      </c>
      <c r="VL29" s="46">
        <f>SUM(Input[[#This Row],[Inst. Spt E&amp;G]],Input[[#This Row],[Inst. Spt Desg]],Input[[#This Row],[Inst. Spt R Exp]],Input[[#This Row],[Inst. Spt Loan]],Input[[#This Row],[Inst. Spt Annuity]],Input[[#This Row],[Inst. Spt Unexp]],Input[[#This Row],[Inst. Spt R of Ind]],Input[[#This Row],[Inst. Spt Inv in P]])</f>
        <v>90709388</v>
      </c>
      <c r="VM29" s="46">
        <f>SUM(Input[[#This Row],[M&amp;O Plnt E&amp;G]],Input[[#This Row],[M&amp;O Plnt Desg]],Input[[#This Row],[M&amp;O Plnt R Exp]],Input[[#This Row],[M&amp;O Plnt Loan]],Input[[#This Row],[M&amp;O Plnt Annuity]],Input[[#This Row],[M&amp;O Plnt Unexp]],Input[[#This Row],[M&amp;O Plnt R of Ind]],Input[[#This Row],[M&amp;O Plnt Inv in P]])</f>
        <v>85629294</v>
      </c>
      <c r="VN29" s="46">
        <f>SUM(Input[[#This Row],[Schl &amp; Fell E&amp;G]],Input[[#This Row],[Schl &amp; Fell Desg]],Input[[#This Row],[Schl &amp; Fell R Exp]],Input[[#This Row],[Schl &amp; Fell Loan]],Input[[#This Row],[Schl &amp; Fell Annuity]],Input[[#This Row],[Schl &amp; Fell Unexp]],Input[[#This Row],[Schl &amp; Fell R of Ind]],Input[[#This Row],[Schl &amp; Fell Inv in P]])</f>
        <v>190625923</v>
      </c>
      <c r="VO29" s="46">
        <f>SUM(Input[[#This Row],[Cap Out fund E&amp;G]],Input[[#This Row],[Cap Out fund Desg]],Input[[#This Row],[Cap Out fund R Exp]],Input[[#This Row],[Cap Out fund Loan]],Input[[#This Row],[Cap Out fund Annuity]],Input[[#This Row],[Cap Out fund Unexp]],Input[[#This Row],[Cap Out fund R of Ind]],Input[[#This Row],[Cap Out fund Inv in P]])</f>
        <v>18158847</v>
      </c>
      <c r="VP29" s="46">
        <f>SUM(Input[[#This Row],[Oth Exp E&amp;G]],Input[[#This Row],[Oth Exp Desg]],Input[[#This Row],[Oth Exp R Exp]],Input[[#This Row],[Oth Exp Loan]],Input[[#This Row],[Oth Exp Annuity]],Input[[#This Row],[Oth Exp Unexp]],Input[[#This Row],[Oth Exp R of Ind]],Input[[#This Row],[Oth Exp Inv in P]],Input[[#This Row],[Oth Exp Inv in P]])</f>
        <v>87395318</v>
      </c>
    </row>
    <row r="30" spans="1:588" ht="30" customHeight="1" x14ac:dyDescent="0.3">
      <c r="A30" s="15" t="s">
        <v>17</v>
      </c>
      <c r="B30" s="36" t="s">
        <v>122</v>
      </c>
      <c r="C30" s="36" t="s">
        <v>110</v>
      </c>
      <c r="D30" s="36">
        <v>305</v>
      </c>
      <c r="E30" s="36" t="s">
        <v>132</v>
      </c>
      <c r="F30" s="95" cm="1">
        <f t="array" ref="F30">IFERROR(_xlfn.IFS(Input[[#This Row],[Type]]="HRI",SUMIFS('FTSE | FTFE'!$I$8:$I$77,'FTSE | FTFE'!$H$8:$H$77,A30),Input[[#This Row],[Type]]="UNIV",SUMIFS('FTSE | FTFE'!$I$104:$I$139,'FTSE | FTFE'!$H$104:$H$139,A30),OR(Input[[#This Row],[Type]]="TSTC",Input[[#This Row],[Type]]="LSC"),SUMIFS('FTSE | FTFE'!$I$88:$I$96,'FTSE | FTFE'!$H$88:$H$96,A30)),"N/A")</f>
        <v>11711</v>
      </c>
      <c r="G30" s="46">
        <v>42019823</v>
      </c>
      <c r="H30" s="46">
        <v>0</v>
      </c>
      <c r="I30" s="46">
        <v>0</v>
      </c>
      <c r="J30" s="46">
        <v>0</v>
      </c>
      <c r="K30" s="46">
        <v>0</v>
      </c>
      <c r="L30" s="46">
        <v>0</v>
      </c>
      <c r="M30" s="46">
        <v>0</v>
      </c>
      <c r="N30" s="46">
        <v>0</v>
      </c>
      <c r="O30" s="46">
        <v>0</v>
      </c>
      <c r="P30" s="46">
        <v>700496</v>
      </c>
      <c r="Q30" s="46">
        <v>0</v>
      </c>
      <c r="R30" s="46">
        <v>0</v>
      </c>
      <c r="S30" s="46">
        <v>8636071</v>
      </c>
      <c r="T30" s="46">
        <v>0</v>
      </c>
      <c r="U30" s="46">
        <v>0</v>
      </c>
      <c r="V30" s="46">
        <v>0</v>
      </c>
      <c r="W30" s="46">
        <v>0</v>
      </c>
      <c r="X30" s="46">
        <v>0</v>
      </c>
      <c r="Y30" s="46">
        <v>7959137</v>
      </c>
      <c r="Z30" s="46">
        <v>0</v>
      </c>
      <c r="AA30" s="46">
        <v>0</v>
      </c>
      <c r="AB30" s="46">
        <v>0</v>
      </c>
      <c r="AC30" s="46">
        <v>0</v>
      </c>
      <c r="AD30" s="46">
        <v>0</v>
      </c>
      <c r="AE30" s="46">
        <v>0</v>
      </c>
      <c r="AF30" s="46">
        <v>0</v>
      </c>
      <c r="AG30" s="46">
        <v>0</v>
      </c>
      <c r="AH30" s="46">
        <v>0</v>
      </c>
      <c r="AI30" s="46">
        <v>0</v>
      </c>
      <c r="AJ30" s="46">
        <v>0</v>
      </c>
      <c r="AK30" s="46">
        <v>0</v>
      </c>
      <c r="AL30" s="46">
        <v>0</v>
      </c>
      <c r="AM30" s="46">
        <v>0</v>
      </c>
      <c r="AN30" s="46">
        <v>0</v>
      </c>
      <c r="AO30" s="46">
        <v>0</v>
      </c>
      <c r="AP30" s="46">
        <v>0</v>
      </c>
      <c r="AQ30" s="46">
        <v>-1490782</v>
      </c>
      <c r="AR30" s="46">
        <v>-482514</v>
      </c>
      <c r="AS30" s="46">
        <v>0</v>
      </c>
      <c r="AT30" s="46">
        <v>0</v>
      </c>
      <c r="AU30" s="46">
        <v>0</v>
      </c>
      <c r="AV30" s="46">
        <v>0</v>
      </c>
      <c r="AW30" s="46">
        <v>0</v>
      </c>
      <c r="AX30" s="46">
        <v>0</v>
      </c>
      <c r="AY30" s="46">
        <v>0</v>
      </c>
      <c r="AZ30" s="46">
        <v>0</v>
      </c>
      <c r="BA30" s="46">
        <v>0</v>
      </c>
      <c r="BB30" s="46">
        <v>0</v>
      </c>
      <c r="BC30" s="46">
        <v>0</v>
      </c>
      <c r="BD30" s="46">
        <v>0</v>
      </c>
      <c r="BE30" s="46">
        <v>0</v>
      </c>
      <c r="BF30" s="46">
        <v>0</v>
      </c>
      <c r="BG30" s="46">
        <v>0</v>
      </c>
      <c r="BH30" s="46">
        <v>0</v>
      </c>
      <c r="BI30" s="46">
        <v>0</v>
      </c>
      <c r="BJ30" s="46">
        <v>0</v>
      </c>
      <c r="BK30" s="46">
        <v>0</v>
      </c>
      <c r="BL30" s="46">
        <v>0</v>
      </c>
      <c r="BM30" s="46">
        <v>0</v>
      </c>
      <c r="BN30" s="46">
        <v>0</v>
      </c>
      <c r="BO30" s="46">
        <v>0</v>
      </c>
      <c r="BP30" s="46">
        <v>0</v>
      </c>
      <c r="BQ30" s="46">
        <v>0</v>
      </c>
      <c r="BR30" s="46">
        <v>0</v>
      </c>
      <c r="BS30" s="46">
        <v>0</v>
      </c>
      <c r="BT30" s="46">
        <v>0</v>
      </c>
      <c r="BU30" s="46">
        <v>0</v>
      </c>
      <c r="BV30" s="46">
        <v>0</v>
      </c>
      <c r="BW30" s="46">
        <v>0</v>
      </c>
      <c r="BX30" s="46">
        <v>0</v>
      </c>
      <c r="BY30" s="46">
        <v>0</v>
      </c>
      <c r="BZ30" s="46">
        <v>0</v>
      </c>
      <c r="CA30" s="46">
        <v>13138852</v>
      </c>
      <c r="CB30" s="46">
        <v>41657627</v>
      </c>
      <c r="CC30" s="46">
        <v>0</v>
      </c>
      <c r="CD30" s="46">
        <v>0</v>
      </c>
      <c r="CE30" s="46">
        <v>0</v>
      </c>
      <c r="CF30" s="46">
        <v>0</v>
      </c>
      <c r="CG30" s="46">
        <v>0</v>
      </c>
      <c r="CH30" s="46">
        <v>0</v>
      </c>
      <c r="CI30" s="46">
        <v>0</v>
      </c>
      <c r="CJ30" s="46">
        <v>0</v>
      </c>
      <c r="CK30" s="46">
        <v>0</v>
      </c>
      <c r="CL30" s="46">
        <v>0</v>
      </c>
      <c r="CM30" s="46">
        <v>0</v>
      </c>
      <c r="CN30" s="46">
        <v>0</v>
      </c>
      <c r="CO30" s="46">
        <v>0</v>
      </c>
      <c r="CP30" s="46">
        <v>0</v>
      </c>
      <c r="CQ30" s="46">
        <v>0</v>
      </c>
      <c r="CR30" s="46">
        <v>0</v>
      </c>
      <c r="CS30" s="46">
        <v>0</v>
      </c>
      <c r="CT30" s="46">
        <v>0</v>
      </c>
      <c r="CU30" s="46">
        <v>0</v>
      </c>
      <c r="CV30" s="46">
        <v>0</v>
      </c>
      <c r="CW30" s="46">
        <v>0</v>
      </c>
      <c r="CX30" s="46">
        <v>0</v>
      </c>
      <c r="CY30" s="46">
        <v>0</v>
      </c>
      <c r="CZ30" s="46">
        <v>0</v>
      </c>
      <c r="DA30" s="46">
        <v>0</v>
      </c>
      <c r="DB30" s="46">
        <v>-440519</v>
      </c>
      <c r="DC30" s="46">
        <v>-1598092</v>
      </c>
      <c r="DD30" s="46">
        <v>0</v>
      </c>
      <c r="DE30" s="46">
        <v>0</v>
      </c>
      <c r="DF30" s="46">
        <v>0</v>
      </c>
      <c r="DG30" s="46">
        <v>0</v>
      </c>
      <c r="DH30" s="46">
        <v>0</v>
      </c>
      <c r="DI30" s="46">
        <v>0</v>
      </c>
      <c r="DJ30" s="46">
        <v>0</v>
      </c>
      <c r="DK30" s="46">
        <v>0</v>
      </c>
      <c r="DL30" s="46">
        <v>0</v>
      </c>
      <c r="DM30" s="46">
        <v>0</v>
      </c>
      <c r="DN30" s="46">
        <v>0</v>
      </c>
      <c r="DO30" s="46">
        <v>0</v>
      </c>
      <c r="DP30" s="46">
        <v>0</v>
      </c>
      <c r="DQ30" s="46">
        <v>0</v>
      </c>
      <c r="DR30" s="46">
        <v>0</v>
      </c>
      <c r="DS30" s="46">
        <v>0</v>
      </c>
      <c r="DT30" s="46">
        <v>-5740171</v>
      </c>
      <c r="DU30" s="46">
        <v>-14188421</v>
      </c>
      <c r="DV30" s="46">
        <v>0</v>
      </c>
      <c r="DW30" s="46">
        <v>0</v>
      </c>
      <c r="DX30" s="46">
        <v>0</v>
      </c>
      <c r="DY30" s="46">
        <v>0</v>
      </c>
      <c r="DZ30" s="46">
        <v>0</v>
      </c>
      <c r="EA30" s="46">
        <v>0</v>
      </c>
      <c r="EB30" s="46">
        <v>0</v>
      </c>
      <c r="EC30" s="46">
        <v>0</v>
      </c>
      <c r="ED30" s="46">
        <v>-108245</v>
      </c>
      <c r="EE30" s="46">
        <v>0</v>
      </c>
      <c r="EF30" s="46">
        <v>0</v>
      </c>
      <c r="EG30" s="46">
        <v>0</v>
      </c>
      <c r="EH30" s="46">
        <v>0</v>
      </c>
      <c r="EI30" s="46">
        <v>0</v>
      </c>
      <c r="EJ30" s="46">
        <v>0</v>
      </c>
      <c r="EK30" s="46">
        <v>0</v>
      </c>
      <c r="EL30" s="46">
        <v>0</v>
      </c>
      <c r="EM30" s="46">
        <v>0</v>
      </c>
      <c r="EN30" s="46">
        <v>0</v>
      </c>
      <c r="EO30" s="46">
        <v>0</v>
      </c>
      <c r="EP30" s="46">
        <v>0</v>
      </c>
      <c r="EQ30" s="46">
        <v>0</v>
      </c>
      <c r="ER30" s="46">
        <v>0</v>
      </c>
      <c r="ES30" s="46">
        <v>0</v>
      </c>
      <c r="ET30" s="46">
        <v>0</v>
      </c>
      <c r="EU30" s="46">
        <v>0</v>
      </c>
      <c r="EV30" s="46">
        <v>0</v>
      </c>
      <c r="EW30" s="46">
        <v>0</v>
      </c>
      <c r="EX30" s="46">
        <v>0</v>
      </c>
      <c r="EY30" s="46">
        <v>0</v>
      </c>
      <c r="EZ30" s="46">
        <v>0</v>
      </c>
      <c r="FA30" s="46">
        <v>0</v>
      </c>
      <c r="FB30" s="46">
        <v>0</v>
      </c>
      <c r="FC30" s="46">
        <v>0</v>
      </c>
      <c r="FD30" s="46">
        <v>0</v>
      </c>
      <c r="FE30" s="46">
        <v>0</v>
      </c>
      <c r="FF30" s="46">
        <v>0</v>
      </c>
      <c r="FG30" s="46">
        <v>0</v>
      </c>
      <c r="FH30" s="46">
        <v>0</v>
      </c>
      <c r="FI30" s="46">
        <v>0</v>
      </c>
      <c r="FJ30" s="46">
        <v>0</v>
      </c>
      <c r="FK30" s="46">
        <v>0</v>
      </c>
      <c r="FL30" s="46">
        <v>0</v>
      </c>
      <c r="FM30" s="46">
        <v>0</v>
      </c>
      <c r="FN30" s="46">
        <v>9477812</v>
      </c>
      <c r="FO30" s="46">
        <v>7784008</v>
      </c>
      <c r="FP30" s="46">
        <v>0</v>
      </c>
      <c r="FQ30" s="46">
        <v>0</v>
      </c>
      <c r="FR30" s="46">
        <v>0</v>
      </c>
      <c r="FS30" s="46">
        <v>0</v>
      </c>
      <c r="FT30" s="46">
        <v>0</v>
      </c>
      <c r="FU30" s="46">
        <v>0</v>
      </c>
      <c r="FV30" s="46">
        <v>0</v>
      </c>
      <c r="FW30" s="46">
        <v>0</v>
      </c>
      <c r="FX30" s="46">
        <v>0</v>
      </c>
      <c r="FY30" s="46">
        <v>0</v>
      </c>
      <c r="FZ30" s="46">
        <v>0</v>
      </c>
      <c r="GA30" s="46">
        <v>0</v>
      </c>
      <c r="GB30" s="46">
        <v>0</v>
      </c>
      <c r="GC30" s="46">
        <v>0</v>
      </c>
      <c r="GD30" s="46">
        <v>0</v>
      </c>
      <c r="GE30" s="46">
        <v>0</v>
      </c>
      <c r="GF30" s="46">
        <v>0</v>
      </c>
      <c r="GG30" s="46">
        <v>0</v>
      </c>
      <c r="GH30" s="46">
        <v>0</v>
      </c>
      <c r="GI30" s="46">
        <v>0</v>
      </c>
      <c r="GJ30" s="46">
        <v>0</v>
      </c>
      <c r="GK30" s="46">
        <v>0</v>
      </c>
      <c r="GL30" s="46">
        <v>0</v>
      </c>
      <c r="GM30" s="46">
        <v>0</v>
      </c>
      <c r="GN30" s="46">
        <v>0</v>
      </c>
      <c r="GO30" s="46">
        <v>-358509</v>
      </c>
      <c r="GP30" s="46">
        <v>-167924</v>
      </c>
      <c r="GQ30" s="46">
        <v>0</v>
      </c>
      <c r="GR30" s="46">
        <v>0</v>
      </c>
      <c r="GS30" s="46">
        <v>0</v>
      </c>
      <c r="GT30" s="46">
        <v>0</v>
      </c>
      <c r="GU30" s="46">
        <v>0</v>
      </c>
      <c r="GV30" s="46">
        <v>0</v>
      </c>
      <c r="GW30" s="46">
        <v>0</v>
      </c>
      <c r="GX30" s="46">
        <v>0</v>
      </c>
      <c r="GY30" s="46">
        <v>0</v>
      </c>
      <c r="GZ30" s="46">
        <v>0</v>
      </c>
      <c r="HA30" s="46">
        <v>0</v>
      </c>
      <c r="HB30" s="46">
        <v>0</v>
      </c>
      <c r="HC30" s="46">
        <v>0</v>
      </c>
      <c r="HD30" s="46">
        <v>0</v>
      </c>
      <c r="HE30" s="46">
        <v>0</v>
      </c>
      <c r="HF30" s="46">
        <v>0</v>
      </c>
      <c r="HG30" s="46">
        <v>-3228163</v>
      </c>
      <c r="HH30" s="46">
        <v>201008</v>
      </c>
      <c r="HI30" s="46">
        <v>0</v>
      </c>
      <c r="HJ30" s="46">
        <v>0</v>
      </c>
      <c r="HK30" s="46">
        <v>0</v>
      </c>
      <c r="HL30" s="46">
        <v>0</v>
      </c>
      <c r="HM30" s="46">
        <v>0</v>
      </c>
      <c r="HN30" s="46">
        <v>0</v>
      </c>
      <c r="HO30" s="46">
        <v>0</v>
      </c>
      <c r="HP30" s="46">
        <v>0</v>
      </c>
      <c r="HQ30" s="46">
        <v>0</v>
      </c>
      <c r="HR30" s="46">
        <v>25505269</v>
      </c>
      <c r="HS30" s="46">
        <v>0</v>
      </c>
      <c r="HT30" s="46">
        <v>0</v>
      </c>
      <c r="HU30" s="46">
        <v>0</v>
      </c>
      <c r="HV30" s="46">
        <v>0</v>
      </c>
      <c r="HW30" s="46">
        <v>0</v>
      </c>
      <c r="HX30" s="46">
        <v>0</v>
      </c>
      <c r="HY30" s="46">
        <v>0</v>
      </c>
      <c r="HZ30" s="46">
        <v>0</v>
      </c>
      <c r="IA30" s="46">
        <v>0</v>
      </c>
      <c r="IB30" s="46">
        <v>0</v>
      </c>
      <c r="IC30" s="46">
        <v>0</v>
      </c>
      <c r="ID30" s="46">
        <v>0</v>
      </c>
      <c r="IE30" s="46">
        <v>0</v>
      </c>
      <c r="IF30" s="46">
        <v>0</v>
      </c>
      <c r="IG30" s="46">
        <v>0</v>
      </c>
      <c r="IH30" s="46">
        <v>0</v>
      </c>
      <c r="II30" s="46">
        <v>0</v>
      </c>
      <c r="IJ30" s="46">
        <v>0</v>
      </c>
      <c r="IK30" s="46">
        <v>0</v>
      </c>
      <c r="IL30" s="46">
        <v>0</v>
      </c>
      <c r="IM30" s="46">
        <v>0</v>
      </c>
      <c r="IN30" s="46">
        <v>0</v>
      </c>
      <c r="IO30" s="46">
        <v>0</v>
      </c>
      <c r="IP30" s="46">
        <v>108708</v>
      </c>
      <c r="IQ30" s="46">
        <v>2064602</v>
      </c>
      <c r="IR30" s="46">
        <v>0</v>
      </c>
      <c r="IS30" s="46">
        <v>0</v>
      </c>
      <c r="IT30" s="46">
        <v>63</v>
      </c>
      <c r="IU30" s="46">
        <v>2461476</v>
      </c>
      <c r="IV30" s="46">
        <v>0</v>
      </c>
      <c r="IW30" s="46">
        <v>0</v>
      </c>
      <c r="IX30" s="46">
        <v>0</v>
      </c>
      <c r="IY30" s="46">
        <v>0</v>
      </c>
      <c r="IZ30" s="46">
        <v>0</v>
      </c>
      <c r="JA30" s="46">
        <v>0</v>
      </c>
      <c r="JB30" s="46">
        <v>224684</v>
      </c>
      <c r="JC30" s="46">
        <v>0</v>
      </c>
      <c r="JD30" s="46">
        <v>0</v>
      </c>
      <c r="JE30" s="46">
        <v>0</v>
      </c>
      <c r="JF30" s="46">
        <v>0</v>
      </c>
      <c r="JG30" s="46">
        <v>0</v>
      </c>
      <c r="JH30" s="46">
        <v>0</v>
      </c>
      <c r="JI30" s="46">
        <v>2840</v>
      </c>
      <c r="JJ30" s="46">
        <v>0</v>
      </c>
      <c r="JK30" s="46">
        <v>3881464</v>
      </c>
      <c r="JL30" s="46">
        <v>0</v>
      </c>
      <c r="JM30" s="46">
        <v>0</v>
      </c>
      <c r="JN30" s="46">
        <v>0</v>
      </c>
      <c r="JO30" s="46">
        <v>0</v>
      </c>
      <c r="JP30" s="46">
        <v>0</v>
      </c>
      <c r="JQ30" s="46">
        <v>0</v>
      </c>
      <c r="JR30" s="46">
        <v>1869775</v>
      </c>
      <c r="JS30" s="46">
        <v>0</v>
      </c>
      <c r="JT30" s="46">
        <v>0</v>
      </c>
      <c r="JU30" s="46">
        <v>0</v>
      </c>
      <c r="JV30" s="46">
        <v>0</v>
      </c>
      <c r="JW30" s="46">
        <v>0</v>
      </c>
      <c r="JX30" s="46">
        <v>0</v>
      </c>
      <c r="JY30" s="46">
        <v>0</v>
      </c>
      <c r="JZ30" s="46">
        <v>0</v>
      </c>
      <c r="KA30" s="46">
        <v>0</v>
      </c>
      <c r="KB30" s="46">
        <v>3749895</v>
      </c>
      <c r="KC30" s="46">
        <v>0</v>
      </c>
      <c r="KD30" s="46">
        <v>0</v>
      </c>
      <c r="KE30" s="46">
        <v>0</v>
      </c>
      <c r="KF30" s="46">
        <v>0</v>
      </c>
      <c r="KG30" s="46">
        <v>0</v>
      </c>
      <c r="KH30" s="46">
        <v>0</v>
      </c>
      <c r="KI30" s="46">
        <v>0</v>
      </c>
      <c r="KJ30" s="46">
        <v>560357</v>
      </c>
      <c r="KK30" s="46">
        <v>1175</v>
      </c>
      <c r="KL30" s="46">
        <v>592100</v>
      </c>
      <c r="KM30" s="46">
        <v>0</v>
      </c>
      <c r="KN30" s="46">
        <v>0</v>
      </c>
      <c r="KO30" s="46">
        <v>0</v>
      </c>
      <c r="KP30" s="46">
        <v>0</v>
      </c>
      <c r="KQ30" s="46">
        <v>0</v>
      </c>
      <c r="KR30" s="46">
        <v>37631166</v>
      </c>
      <c r="KS30" s="46">
        <v>10265639</v>
      </c>
      <c r="KT30" s="46">
        <v>0</v>
      </c>
      <c r="KU30" s="46">
        <v>1297458</v>
      </c>
      <c r="KV30" s="46">
        <v>0</v>
      </c>
      <c r="KW30" s="46">
        <v>0</v>
      </c>
      <c r="KX30" s="46">
        <v>0</v>
      </c>
      <c r="KY30" s="46">
        <v>0</v>
      </c>
      <c r="KZ30" s="46">
        <v>0</v>
      </c>
      <c r="LA30" s="46">
        <v>301767</v>
      </c>
      <c r="LB30" s="46">
        <v>150489</v>
      </c>
      <c r="LC30" s="46">
        <v>0</v>
      </c>
      <c r="LD30" s="46">
        <v>3419481</v>
      </c>
      <c r="LE30" s="46">
        <v>0</v>
      </c>
      <c r="LF30" s="46">
        <v>0</v>
      </c>
      <c r="LG30" s="46">
        <v>0</v>
      </c>
      <c r="LH30" s="46">
        <v>0</v>
      </c>
      <c r="LI30" s="46">
        <v>0</v>
      </c>
      <c r="LJ30" s="46">
        <v>0</v>
      </c>
      <c r="LK30" s="46">
        <v>81</v>
      </c>
      <c r="LL30" s="46">
        <v>0</v>
      </c>
      <c r="LM30" s="46">
        <v>357770</v>
      </c>
      <c r="LN30" s="46">
        <v>0</v>
      </c>
      <c r="LO30" s="46">
        <v>0</v>
      </c>
      <c r="LP30" s="46">
        <v>0</v>
      </c>
      <c r="LQ30" s="46">
        <v>0</v>
      </c>
      <c r="LR30" s="46">
        <v>0</v>
      </c>
      <c r="LS30" s="46">
        <v>0</v>
      </c>
      <c r="LT30" s="46">
        <v>0</v>
      </c>
      <c r="LU30" s="46">
        <v>0</v>
      </c>
      <c r="LV30" s="46">
        <v>0</v>
      </c>
      <c r="LW30" s="46">
        <v>0</v>
      </c>
      <c r="LX30" s="46">
        <v>0</v>
      </c>
      <c r="LY30" s="46">
        <v>0</v>
      </c>
      <c r="LZ30" s="46">
        <v>0</v>
      </c>
      <c r="MA30" s="46">
        <v>0</v>
      </c>
      <c r="MB30" s="46">
        <v>6048481</v>
      </c>
      <c r="MC30" s="46">
        <v>16552455</v>
      </c>
      <c r="MD30" s="46">
        <v>0</v>
      </c>
      <c r="ME30" s="46">
        <v>3316616</v>
      </c>
      <c r="MF30" s="46">
        <v>0</v>
      </c>
      <c r="MG30" s="46">
        <v>0</v>
      </c>
      <c r="MH30" s="46">
        <v>0</v>
      </c>
      <c r="MI30" s="46">
        <v>0</v>
      </c>
      <c r="MJ30" s="46">
        <v>0</v>
      </c>
      <c r="MK30" s="46">
        <v>2125004</v>
      </c>
      <c r="ML30" s="46">
        <v>7332510</v>
      </c>
      <c r="MM30" s="46">
        <v>0</v>
      </c>
      <c r="MN30" s="46">
        <v>619397</v>
      </c>
      <c r="MO30" s="46">
        <v>0</v>
      </c>
      <c r="MP30" s="46">
        <v>0</v>
      </c>
      <c r="MQ30" s="46">
        <v>0</v>
      </c>
      <c r="MR30" s="46">
        <v>0</v>
      </c>
      <c r="MS30" s="46">
        <v>0</v>
      </c>
      <c r="MT30" s="46">
        <v>6339859</v>
      </c>
      <c r="MU30" s="46">
        <v>11532798</v>
      </c>
      <c r="MV30" s="46">
        <v>0</v>
      </c>
      <c r="MW30" s="46">
        <v>7026</v>
      </c>
      <c r="MX30" s="46">
        <v>0</v>
      </c>
      <c r="MY30" s="46">
        <v>0</v>
      </c>
      <c r="MZ30" s="46">
        <v>0</v>
      </c>
      <c r="NA30" s="46">
        <v>0</v>
      </c>
      <c r="NB30" s="46">
        <v>0</v>
      </c>
      <c r="NC30" s="46">
        <v>6453393</v>
      </c>
      <c r="ND30" s="46">
        <v>5930680</v>
      </c>
      <c r="NE30" s="46">
        <v>0</v>
      </c>
      <c r="NF30" s="46">
        <v>0</v>
      </c>
      <c r="NG30" s="46">
        <v>0</v>
      </c>
      <c r="NH30" s="46">
        <v>0</v>
      </c>
      <c r="NI30" s="46">
        <v>0</v>
      </c>
      <c r="NJ30" s="46">
        <v>0</v>
      </c>
      <c r="NK30" s="46">
        <v>0</v>
      </c>
      <c r="NL30" s="46">
        <v>-597644</v>
      </c>
      <c r="NM30" s="46">
        <v>708801</v>
      </c>
      <c r="NN30" s="46">
        <v>0</v>
      </c>
      <c r="NO30" s="46">
        <v>8002315</v>
      </c>
      <c r="NP30" s="46">
        <v>71015</v>
      </c>
      <c r="NQ30" s="46">
        <v>0</v>
      </c>
      <c r="NR30" s="46">
        <v>0</v>
      </c>
      <c r="NS30" s="46">
        <v>0</v>
      </c>
      <c r="NT30" s="46">
        <v>0</v>
      </c>
      <c r="NU30" s="46">
        <v>0</v>
      </c>
      <c r="NV30" s="46">
        <v>5105</v>
      </c>
      <c r="NW30" s="46">
        <v>7717894</v>
      </c>
      <c r="NX30" s="46">
        <v>0</v>
      </c>
      <c r="NY30" s="46">
        <v>0</v>
      </c>
      <c r="NZ30" s="46">
        <v>0</v>
      </c>
      <c r="OA30" s="46">
        <v>0</v>
      </c>
      <c r="OB30" s="46">
        <v>0</v>
      </c>
      <c r="OC30" s="46">
        <v>0</v>
      </c>
      <c r="OD30" s="46">
        <v>2341964</v>
      </c>
      <c r="OE30" s="46">
        <v>177468</v>
      </c>
      <c r="OF30" s="46">
        <v>33684</v>
      </c>
      <c r="OG30" s="46">
        <v>311370</v>
      </c>
      <c r="OH30" s="46">
        <v>0</v>
      </c>
      <c r="OI30" s="46">
        <v>0</v>
      </c>
      <c r="OJ30" s="46">
        <v>0</v>
      </c>
      <c r="OK30" s="46">
        <v>0</v>
      </c>
      <c r="OL30" s="46">
        <v>0</v>
      </c>
      <c r="OM30" s="46">
        <v>669121</v>
      </c>
      <c r="ON30" s="46">
        <v>0</v>
      </c>
      <c r="OO30" s="46">
        <v>0</v>
      </c>
      <c r="OP30" s="46">
        <v>162286</v>
      </c>
      <c r="OQ30" s="46">
        <v>5982</v>
      </c>
      <c r="OR30" s="46">
        <v>1281999</v>
      </c>
      <c r="OS30" s="46">
        <v>4403437</v>
      </c>
      <c r="OT30" s="46">
        <v>0</v>
      </c>
      <c r="OU30" s="46">
        <v>0</v>
      </c>
      <c r="OV30" s="46">
        <v>0</v>
      </c>
      <c r="OW30" s="46">
        <v>0</v>
      </c>
      <c r="OX30" s="46">
        <v>0</v>
      </c>
      <c r="OY30" s="46">
        <v>0</v>
      </c>
      <c r="OZ30" s="46">
        <v>0</v>
      </c>
      <c r="PA30" s="46">
        <v>0</v>
      </c>
      <c r="PB30" s="46">
        <v>5481639</v>
      </c>
      <c r="PC30" s="46">
        <v>0</v>
      </c>
      <c r="PD30" s="46">
        <v>0</v>
      </c>
      <c r="PE30" s="46">
        <v>-1060683</v>
      </c>
      <c r="PF30" s="46">
        <v>13955830</v>
      </c>
      <c r="PG30" s="46">
        <v>-3358756</v>
      </c>
      <c r="PH30" s="46">
        <v>-18488685</v>
      </c>
      <c r="PI30" s="46">
        <v>38229</v>
      </c>
      <c r="PJ30" s="46">
        <v>-216758</v>
      </c>
      <c r="PK30" s="46">
        <v>1815249</v>
      </c>
      <c r="PL30" s="46">
        <v>13741549</v>
      </c>
      <c r="PM30" s="46">
        <v>14861983</v>
      </c>
      <c r="PN30" s="46">
        <v>0</v>
      </c>
      <c r="PO30" s="46">
        <v>0</v>
      </c>
      <c r="PP30" s="46">
        <v>0</v>
      </c>
      <c r="PQ30" s="46">
        <v>0</v>
      </c>
      <c r="PR30" s="46">
        <v>0</v>
      </c>
      <c r="PS30" s="46">
        <v>0</v>
      </c>
      <c r="PT30" s="46">
        <v>0</v>
      </c>
      <c r="PU30" s="46">
        <v>0</v>
      </c>
      <c r="PV30" s="46">
        <v>0</v>
      </c>
      <c r="PW30" s="46">
        <v>0</v>
      </c>
      <c r="PX30" s="46">
        <v>0</v>
      </c>
      <c r="PY30" s="46">
        <v>0</v>
      </c>
      <c r="PZ30" s="46">
        <v>0</v>
      </c>
      <c r="QA30" s="46">
        <v>0</v>
      </c>
      <c r="QB30" s="46">
        <v>0</v>
      </c>
      <c r="QC30" s="46">
        <v>0</v>
      </c>
      <c r="QD30" s="46">
        <v>-13728247</v>
      </c>
      <c r="QE30" s="46">
        <v>0</v>
      </c>
      <c r="QF30" s="46">
        <v>0</v>
      </c>
      <c r="QG30" s="46">
        <v>243018</v>
      </c>
      <c r="QH30" s="46">
        <v>0</v>
      </c>
      <c r="QI30" s="46">
        <v>0</v>
      </c>
      <c r="QJ30" s="46">
        <v>0</v>
      </c>
      <c r="QK30" s="46">
        <v>587683</v>
      </c>
      <c r="QL30" s="46">
        <v>0</v>
      </c>
      <c r="QM30" s="46">
        <v>0</v>
      </c>
      <c r="QN30" s="46">
        <v>0</v>
      </c>
      <c r="QO30" s="46">
        <v>0</v>
      </c>
      <c r="QP30" s="46">
        <v>0</v>
      </c>
      <c r="QQ30" s="46">
        <v>0</v>
      </c>
      <c r="QR30" s="46">
        <v>0</v>
      </c>
      <c r="QS30" s="46">
        <v>0</v>
      </c>
      <c r="QT30" s="46">
        <v>909105</v>
      </c>
      <c r="QU30" s="46">
        <v>0</v>
      </c>
      <c r="QV30" s="46">
        <v>0</v>
      </c>
      <c r="QW30" s="46">
        <v>0</v>
      </c>
      <c r="QX30" s="46">
        <v>0</v>
      </c>
      <c r="QY30" s="46">
        <v>0</v>
      </c>
      <c r="QZ30" s="46">
        <v>0</v>
      </c>
      <c r="RA30" s="46">
        <v>0</v>
      </c>
      <c r="RB30" s="46">
        <v>0</v>
      </c>
      <c r="RC30" s="46">
        <v>0</v>
      </c>
      <c r="RD30" s="46">
        <v>0</v>
      </c>
      <c r="RE30" s="46">
        <v>0</v>
      </c>
      <c r="RF30" s="46">
        <v>0</v>
      </c>
      <c r="RG30" s="46">
        <v>0</v>
      </c>
      <c r="RH30" s="46">
        <v>0</v>
      </c>
      <c r="RI30" s="46">
        <v>0</v>
      </c>
      <c r="RJ30" s="46">
        <v>0</v>
      </c>
      <c r="RK30" s="46">
        <v>0</v>
      </c>
      <c r="RL30" s="46">
        <v>0</v>
      </c>
      <c r="RM30" s="46">
        <v>0</v>
      </c>
      <c r="RN30" s="46">
        <v>0</v>
      </c>
      <c r="RO30" s="46">
        <v>-13158987</v>
      </c>
      <c r="RP30" s="46">
        <v>0</v>
      </c>
      <c r="RQ30" s="46">
        <v>0</v>
      </c>
      <c r="RR30" s="46">
        <v>0</v>
      </c>
      <c r="RS30" s="46">
        <v>0</v>
      </c>
      <c r="RT30" s="46">
        <v>0</v>
      </c>
      <c r="RU30" s="46">
        <v>0</v>
      </c>
      <c r="RV30" s="46">
        <v>0</v>
      </c>
      <c r="RW30" s="46">
        <v>0</v>
      </c>
      <c r="RX30" s="46">
        <v>0</v>
      </c>
      <c r="RY30" s="46">
        <v>0</v>
      </c>
      <c r="RZ30" s="46">
        <v>0</v>
      </c>
      <c r="SA30" s="46">
        <v>0</v>
      </c>
      <c r="SB30" s="46">
        <v>0</v>
      </c>
      <c r="SC30" s="46">
        <v>0</v>
      </c>
      <c r="SD30" s="46">
        <v>0</v>
      </c>
      <c r="SE30" s="46">
        <v>0</v>
      </c>
      <c r="SF30" s="46">
        <v>0</v>
      </c>
      <c r="SG30" s="46">
        <v>0</v>
      </c>
      <c r="SH30" s="46">
        <v>0</v>
      </c>
      <c r="SI30" s="46">
        <v>0</v>
      </c>
      <c r="SJ30" s="46">
        <v>0</v>
      </c>
      <c r="SK30" s="46">
        <v>0</v>
      </c>
      <c r="SL30" s="46">
        <v>0</v>
      </c>
      <c r="SM30" s="46">
        <v>0</v>
      </c>
      <c r="SN30" s="46">
        <v>0</v>
      </c>
      <c r="SO30" s="46">
        <v>0</v>
      </c>
      <c r="SP30" s="46">
        <v>0</v>
      </c>
      <c r="SQ30" s="46">
        <v>2341964</v>
      </c>
      <c r="SR30" s="46">
        <v>177468</v>
      </c>
      <c r="SS30" s="46">
        <v>33684</v>
      </c>
      <c r="ST30" s="46">
        <v>311370</v>
      </c>
      <c r="SU30" s="46">
        <v>0</v>
      </c>
      <c r="SV30" s="46">
        <v>0</v>
      </c>
      <c r="SW30" s="46">
        <v>-5481639</v>
      </c>
      <c r="SX30" s="46">
        <v>0</v>
      </c>
      <c r="SY30" s="46">
        <v>0</v>
      </c>
      <c r="SZ30" s="46">
        <v>157628</v>
      </c>
      <c r="TA30" s="46">
        <v>311370</v>
      </c>
      <c r="TB30" s="46">
        <v>0</v>
      </c>
      <c r="TC30" s="46">
        <v>0</v>
      </c>
      <c r="TD30" s="46">
        <v>1895841</v>
      </c>
      <c r="TE30" s="46">
        <v>10617</v>
      </c>
      <c r="TF30" s="46">
        <v>18051</v>
      </c>
      <c r="TG30" s="46">
        <v>437295</v>
      </c>
      <c r="TH30" s="46">
        <v>0</v>
      </c>
      <c r="TI30" s="46">
        <v>33684</v>
      </c>
      <c r="TJ30" s="46">
        <v>0</v>
      </c>
      <c r="TK30" s="46">
        <v>0</v>
      </c>
      <c r="TL30" s="46">
        <v>33765</v>
      </c>
      <c r="TM30" s="46">
        <v>0</v>
      </c>
      <c r="TN30" s="46">
        <v>0</v>
      </c>
      <c r="TO30" s="46">
        <v>0</v>
      </c>
      <c r="TP30" s="46">
        <v>0</v>
      </c>
      <c r="TQ30" s="46">
        <v>0</v>
      </c>
      <c r="TR30" s="46">
        <v>0</v>
      </c>
      <c r="TS30" s="46">
        <v>0</v>
      </c>
      <c r="TT30" s="46">
        <v>0</v>
      </c>
      <c r="TU30" s="46">
        <v>0</v>
      </c>
      <c r="TV30" s="46">
        <v>0</v>
      </c>
      <c r="TW30" s="46">
        <v>0</v>
      </c>
      <c r="TX30" s="46">
        <v>0</v>
      </c>
      <c r="TY30" s="46">
        <v>0</v>
      </c>
      <c r="TZ30" s="46">
        <v>0</v>
      </c>
      <c r="UA30" s="46">
        <v>0</v>
      </c>
      <c r="UB30" s="46">
        <v>0</v>
      </c>
      <c r="UC30" s="46">
        <v>0</v>
      </c>
      <c r="UD30" s="46">
        <v>0</v>
      </c>
      <c r="UE30" s="46">
        <v>49194263</v>
      </c>
      <c r="UF30" s="46">
        <v>3871737</v>
      </c>
      <c r="UG30" s="46">
        <v>357851</v>
      </c>
      <c r="UH30" s="46">
        <v>0</v>
      </c>
      <c r="UI30" s="46">
        <v>25917552</v>
      </c>
      <c r="UJ30" s="46">
        <v>10076911</v>
      </c>
      <c r="UK30" s="46">
        <v>17879683</v>
      </c>
      <c r="UL30" s="46">
        <v>12384073</v>
      </c>
      <c r="UM30" s="46">
        <v>8184487</v>
      </c>
      <c r="UN30" s="46">
        <v>7722999</v>
      </c>
      <c r="UO3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2864486</v>
      </c>
      <c r="UP30" s="46">
        <f>SUM(Input[[#This Row],[Oth Exp E&amp;G]],Input[[#This Row],[Oth Exp Desg]],Input[[#This Row],[Oth Exp Aux]],Input[[#This Row],[Oth Exp R Exp]],Input[[#This Row],[Oth Exp Loan]],Input[[#This Row],[Oth Exp Annuity]],Input[[#This Row],[Oth Exp Unexp]],Input[[#This Row],[Oth Exp R of Ind]],Input[[#This Row],[Oth Exp Inv in P]])</f>
        <v>6522825</v>
      </c>
      <c r="UQ30" s="46"/>
      <c r="UR30" s="46"/>
      <c r="US30" s="8" t="s">
        <v>858</v>
      </c>
      <c r="UT30" s="47">
        <v>2812832131</v>
      </c>
      <c r="UU30" s="8" t="s">
        <v>971</v>
      </c>
      <c r="UV30" s="8" t="s">
        <v>859</v>
      </c>
      <c r="UW30" s="47">
        <v>2812832129</v>
      </c>
      <c r="UX30" s="8" t="s">
        <v>963</v>
      </c>
      <c r="UY30" s="51" cm="1">
        <f t="array" ref="UY30">IFERROR(_xlfn.IFS(Input[[#This Row],[Type]]="HRI",SUMIFS('FTSE | FTFE'!$P$8:$P$77,'FTSE | FTFE'!$H$8:$H$77,A30),Input[[#This Row],[Type]]="UNIV",SUMIFS('FTSE | FTFE'!$P$104:$P$139,'FTSE | FTFE'!$H$104:$H$139,A30),OR(Input[[#This Row],[Type]]="TSTC",Input[[#This Row],[Type]]="LSC"),SUMIFS('FTSE | FTFE'!$O$88:$O$96,'FTSE | FTFE'!$H$88:$H$96,A30),Input[[#This Row],[Type]]="AHM",SUMIFS(Hidden!$H$42:$H$45,Hidden!$G$42:$G$45,A30)),"N/A")</f>
        <v>6008</v>
      </c>
      <c r="UZ30" s="51" cm="1">
        <f t="array" ref="UZ30">IFERROR(_xlfn.IFS(Input[[#This Row],[Type]]="HRI",SUMIFS('FTSE | FTFE'!$Q$8:$Q$77,'FTSE | FTFE'!$H$8:$H$77,A30),Input[[#This Row],[Type]]="UNIV",SUMIFS('FTSE | FTFE'!$Q$104:$Q$139,'FTSE | FTFE'!$H$104:$H$139,A30),OR(Input[[#This Row],[Type]]="TSTC",Input[[#This Row],[Type]]="LSC"),SUMIFS('FTSE | FTFE'!$P$88:$P$96,'FTSE | FTFE'!$H$88:$H$96,A30)),"N/A")</f>
        <v>226</v>
      </c>
      <c r="VA3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51356390</v>
      </c>
      <c r="VB3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7959137</v>
      </c>
      <c r="VC30" s="46">
        <f>SUM(Input[[#This Row],[Fed G&amp;C E&amp;G]],Input[[#This Row],[Fed G&amp;C Desg]],Input[[#This Row],[Fed G&amp;C R Exp]],Input[[#This Row],[Fed G&amp;C Loan]],Input[[#This Row],[Fed G&amp;C Annuity]],Input[[#This Row],[Fed G&amp;C Unexp]],Input[[#This Row],[Fed G&amp;C R of Ind]],Input[[#This Row],[Fed G&amp;C Inv in P]])</f>
        <v>25505269</v>
      </c>
      <c r="VD3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11766069</v>
      </c>
      <c r="VE3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32829276</v>
      </c>
      <c r="VF3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5891140</v>
      </c>
      <c r="VG30" s="46">
        <f>SUM(Input[[#This Row],[Oth Inc E&amp;G]],Input[[#This Row],[Oth Exp Desg]],Input[[#This Row],[Oth Exp R Exp]],Input[[#This Row],[Oth Exp Loan]],Input[[#This Row],[Oth Exp Annuity]],Input[[#This Row],[Oth Exp Unexp]],Input[[#This Row],[Oth Exp R of Ind]],Input[[#This Row],[Oth Exp Inv in P]])</f>
        <v>5853704</v>
      </c>
      <c r="VH30" s="46">
        <f>SUM(Input[[#This Row],[Instr E&amp;G]],Input[[#This Row],[Instr Desg]],Input[[#This Row],[Instr R Exp]],Input[[#This Row],[Instr Loan]],Input[[#This Row],[Instr Annuity]],Input[[#This Row],[Instr Unexp]],Input[[#This Row],[Instr R of Ind]],Input[[#This Row],[Instr Inv in P]])</f>
        <v>49194263</v>
      </c>
      <c r="VI30" s="46">
        <f>SUM(Input[[#This Row],[Res E&amp;G]],Input[[#This Row],[Res Desg]],Input[[#This Row],[Res R Exp]],Input[[#This Row],[Res Loan]],Input[[#This Row],[Res Annuity]],Input[[#This Row],[Res Unexp]],Input[[#This Row],[Res R of Ind]],Input[[#This Row],[Res Inv in P]])</f>
        <v>3871737</v>
      </c>
      <c r="VJ30" s="46">
        <f>SUM(Input[[#This Row],[Acad Sup E&amp;G]],Input[[#This Row],[Acad Sup Desg]],Input[[#This Row],[Acad Sup R Exp]],Input[[#This Row],[Acad Sup Loan]],Input[[#This Row],[Acad Sup Annuity]],Input[[#This Row],[Acad Sup Unexp]],Input[[#This Row],[Acad Sup R of Ind]],Input[[#This Row],[Acad Sup Inv in P]])</f>
        <v>25917552</v>
      </c>
      <c r="VK30" s="46">
        <f>SUM(Input[[#This Row],[Stu Svc E&amp;G]],Input[[#This Row],[Stu Svc Desg]],Input[[#This Row],[Stu Svc R Exp]],Input[[#This Row],[Stu Svc Loan]],Input[[#This Row],[Stu Svc Annuity]],Input[[#This Row],[Stu Svc Unexp]],Input[[#This Row],[Stu Svc R of Ind]],Input[[#This Row],[Stu Svc Inv in P]])</f>
        <v>10076911</v>
      </c>
      <c r="VL30" s="46">
        <f>SUM(Input[[#This Row],[Inst. Spt E&amp;G]],Input[[#This Row],[Inst. Spt Desg]],Input[[#This Row],[Inst. Spt R Exp]],Input[[#This Row],[Inst. Spt Loan]],Input[[#This Row],[Inst. Spt Annuity]],Input[[#This Row],[Inst. Spt Unexp]],Input[[#This Row],[Inst. Spt R of Ind]],Input[[#This Row],[Inst. Spt Inv in P]])</f>
        <v>17879683</v>
      </c>
      <c r="VM30" s="46">
        <f>SUM(Input[[#This Row],[M&amp;O Plnt E&amp;G]],Input[[#This Row],[M&amp;O Plnt Desg]],Input[[#This Row],[M&amp;O Plnt R Exp]],Input[[#This Row],[M&amp;O Plnt Loan]],Input[[#This Row],[M&amp;O Plnt Annuity]],Input[[#This Row],[M&amp;O Plnt Unexp]],Input[[#This Row],[M&amp;O Plnt R of Ind]],Input[[#This Row],[M&amp;O Plnt Inv in P]])</f>
        <v>12384073</v>
      </c>
      <c r="VN30" s="46">
        <f>SUM(Input[[#This Row],[Schl &amp; Fell E&amp;G]],Input[[#This Row],[Schl &amp; Fell Desg]],Input[[#This Row],[Schl &amp; Fell R Exp]],Input[[#This Row],[Schl &amp; Fell Loan]],Input[[#This Row],[Schl &amp; Fell Annuity]],Input[[#This Row],[Schl &amp; Fell Unexp]],Input[[#This Row],[Schl &amp; Fell R of Ind]],Input[[#This Row],[Schl &amp; Fell Inv in P]])</f>
        <v>8184487</v>
      </c>
      <c r="VO30" s="46">
        <f>SUM(Input[[#This Row],[Cap Out fund E&amp;G]],Input[[#This Row],[Cap Out fund Desg]],Input[[#This Row],[Cap Out fund R Exp]],Input[[#This Row],[Cap Out fund Loan]],Input[[#This Row],[Cap Out fund Annuity]],Input[[#This Row],[Cap Out fund Unexp]],Input[[#This Row],[Cap Out fund R of Ind]],Input[[#This Row],[Cap Out fund Inv in P]])</f>
        <v>2830802</v>
      </c>
      <c r="VP30" s="46">
        <f>SUM(Input[[#This Row],[Oth Exp E&amp;G]],Input[[#This Row],[Oth Exp Desg]],Input[[#This Row],[Oth Exp R Exp]],Input[[#This Row],[Oth Exp Loan]],Input[[#This Row],[Oth Exp Annuity]],Input[[#This Row],[Oth Exp Unexp]],Input[[#This Row],[Oth Exp R of Ind]],Input[[#This Row],[Oth Exp Inv in P]],Input[[#This Row],[Oth Exp Inv in P]])</f>
        <v>6522825</v>
      </c>
    </row>
    <row r="31" spans="1:588" ht="30" customHeight="1" x14ac:dyDescent="0.3">
      <c r="A31" s="15" t="s">
        <v>18</v>
      </c>
      <c r="B31" s="36" t="s">
        <v>122</v>
      </c>
      <c r="C31" s="36" t="s">
        <v>110</v>
      </c>
      <c r="D31" s="36">
        <v>306</v>
      </c>
      <c r="E31" s="36" t="s">
        <v>134</v>
      </c>
      <c r="F31" s="95" cm="1">
        <f t="array" ref="F31">IFERROR(_xlfn.IFS(Input[[#This Row],[Type]]="HRI",SUMIFS('FTSE | FTFE'!$I$8:$I$77,'FTSE | FTFE'!$H$8:$H$77,A31),Input[[#This Row],[Type]]="UNIV",SUMIFS('FTSE | FTFE'!$I$104:$I$139,'FTSE | FTFE'!$H$104:$H$139,A31),OR(Input[[#This Row],[Type]]="TSTC",Input[[#This Row],[Type]]="LSC"),SUMIFS('FTSE | FTFE'!$I$88:$I$96,'FTSE | FTFE'!$H$88:$H$96,A31)),"N/A")</f>
        <v>12826</v>
      </c>
      <c r="G31" s="46">
        <v>36956225</v>
      </c>
      <c r="H31" s="46">
        <v>0</v>
      </c>
      <c r="I31" s="46">
        <v>0</v>
      </c>
      <c r="J31" s="46">
        <v>0</v>
      </c>
      <c r="K31" s="46">
        <v>0</v>
      </c>
      <c r="L31" s="46">
        <v>0</v>
      </c>
      <c r="M31" s="46">
        <v>0</v>
      </c>
      <c r="N31" s="46">
        <v>0</v>
      </c>
      <c r="O31" s="46">
        <v>0</v>
      </c>
      <c r="P31" s="46">
        <v>138352</v>
      </c>
      <c r="Q31" s="46">
        <v>5904551</v>
      </c>
      <c r="R31" s="46">
        <v>0</v>
      </c>
      <c r="S31" s="46">
        <v>8623178</v>
      </c>
      <c r="T31" s="46">
        <v>0</v>
      </c>
      <c r="U31" s="46">
        <v>0</v>
      </c>
      <c r="V31" s="46">
        <v>0</v>
      </c>
      <c r="W31" s="46">
        <v>0</v>
      </c>
      <c r="X31" s="46">
        <v>0</v>
      </c>
      <c r="Y31" s="46">
        <v>11155034</v>
      </c>
      <c r="Z31" s="46">
        <v>0</v>
      </c>
      <c r="AA31" s="46">
        <v>0</v>
      </c>
      <c r="AB31" s="46">
        <v>0</v>
      </c>
      <c r="AC31" s="46">
        <v>0</v>
      </c>
      <c r="AD31" s="46">
        <v>0</v>
      </c>
      <c r="AE31" s="46">
        <v>0</v>
      </c>
      <c r="AF31" s="46">
        <v>0</v>
      </c>
      <c r="AG31" s="46">
        <v>0</v>
      </c>
      <c r="AH31" s="46">
        <v>0</v>
      </c>
      <c r="AI31" s="46">
        <v>0</v>
      </c>
      <c r="AJ31" s="46">
        <v>0</v>
      </c>
      <c r="AK31" s="46">
        <v>0</v>
      </c>
      <c r="AL31" s="46">
        <v>0</v>
      </c>
      <c r="AM31" s="46">
        <v>0</v>
      </c>
      <c r="AN31" s="46">
        <v>0</v>
      </c>
      <c r="AO31" s="46">
        <v>0</v>
      </c>
      <c r="AP31" s="46">
        <v>0</v>
      </c>
      <c r="AQ31" s="46">
        <v>-677410</v>
      </c>
      <c r="AR31" s="46">
        <v>0</v>
      </c>
      <c r="AS31" s="46">
        <v>0</v>
      </c>
      <c r="AT31" s="46">
        <v>0</v>
      </c>
      <c r="AU31" s="46">
        <v>0</v>
      </c>
      <c r="AV31" s="46">
        <v>0</v>
      </c>
      <c r="AW31" s="46">
        <v>0</v>
      </c>
      <c r="AX31" s="46">
        <v>0</v>
      </c>
      <c r="AY31" s="46">
        <v>0</v>
      </c>
      <c r="AZ31" s="46">
        <v>0</v>
      </c>
      <c r="BA31" s="46">
        <v>-1780</v>
      </c>
      <c r="BB31" s="46">
        <v>0</v>
      </c>
      <c r="BC31" s="46">
        <v>0</v>
      </c>
      <c r="BD31" s="46">
        <v>0</v>
      </c>
      <c r="BE31" s="46">
        <v>0</v>
      </c>
      <c r="BF31" s="46">
        <v>0</v>
      </c>
      <c r="BG31" s="46">
        <v>0</v>
      </c>
      <c r="BH31" s="46">
        <v>0</v>
      </c>
      <c r="BI31" s="46">
        <v>0</v>
      </c>
      <c r="BJ31" s="46">
        <v>0</v>
      </c>
      <c r="BK31" s="46">
        <v>0</v>
      </c>
      <c r="BL31" s="46">
        <v>0</v>
      </c>
      <c r="BM31" s="46">
        <v>0</v>
      </c>
      <c r="BN31" s="46">
        <v>0</v>
      </c>
      <c r="BO31" s="46">
        <v>0</v>
      </c>
      <c r="BP31" s="46">
        <v>0</v>
      </c>
      <c r="BQ31" s="46">
        <v>0</v>
      </c>
      <c r="BR31" s="46">
        <v>0</v>
      </c>
      <c r="BS31" s="46">
        <v>0</v>
      </c>
      <c r="BT31" s="46">
        <v>0</v>
      </c>
      <c r="BU31" s="46">
        <v>0</v>
      </c>
      <c r="BV31" s="46">
        <v>0</v>
      </c>
      <c r="BW31" s="46">
        <v>0</v>
      </c>
      <c r="BX31" s="46">
        <v>0</v>
      </c>
      <c r="BY31" s="46">
        <v>0</v>
      </c>
      <c r="BZ31" s="46">
        <v>0</v>
      </c>
      <c r="CA31" s="46">
        <v>19930950</v>
      </c>
      <c r="CB31" s="46">
        <v>67175274</v>
      </c>
      <c r="CC31" s="46">
        <v>0</v>
      </c>
      <c r="CD31" s="46">
        <v>0</v>
      </c>
      <c r="CE31" s="46">
        <v>0</v>
      </c>
      <c r="CF31" s="46">
        <v>0</v>
      </c>
      <c r="CG31" s="46">
        <v>0</v>
      </c>
      <c r="CH31" s="46">
        <v>0</v>
      </c>
      <c r="CI31" s="46">
        <v>0</v>
      </c>
      <c r="CJ31" s="46">
        <v>0</v>
      </c>
      <c r="CK31" s="46">
        <v>0</v>
      </c>
      <c r="CL31" s="46">
        <v>0</v>
      </c>
      <c r="CM31" s="46">
        <v>0</v>
      </c>
      <c r="CN31" s="46">
        <v>0</v>
      </c>
      <c r="CO31" s="46">
        <v>0</v>
      </c>
      <c r="CP31" s="46">
        <v>0</v>
      </c>
      <c r="CQ31" s="46">
        <v>0</v>
      </c>
      <c r="CR31" s="46">
        <v>0</v>
      </c>
      <c r="CS31" s="46">
        <v>0</v>
      </c>
      <c r="CT31" s="46">
        <v>0</v>
      </c>
      <c r="CU31" s="46">
        <v>0</v>
      </c>
      <c r="CV31" s="46">
        <v>0</v>
      </c>
      <c r="CW31" s="46">
        <v>0</v>
      </c>
      <c r="CX31" s="46">
        <v>0</v>
      </c>
      <c r="CY31" s="46">
        <v>0</v>
      </c>
      <c r="CZ31" s="46">
        <v>0</v>
      </c>
      <c r="DA31" s="46">
        <v>0</v>
      </c>
      <c r="DB31" s="46">
        <v>-517939</v>
      </c>
      <c r="DC31" s="46">
        <v>-1899480</v>
      </c>
      <c r="DD31" s="46">
        <v>0</v>
      </c>
      <c r="DE31" s="46">
        <v>0</v>
      </c>
      <c r="DF31" s="46">
        <v>0</v>
      </c>
      <c r="DG31" s="46">
        <v>0</v>
      </c>
      <c r="DH31" s="46">
        <v>0</v>
      </c>
      <c r="DI31" s="46">
        <v>0</v>
      </c>
      <c r="DJ31" s="46">
        <v>0</v>
      </c>
      <c r="DK31" s="46">
        <v>0</v>
      </c>
      <c r="DL31" s="46">
        <v>0</v>
      </c>
      <c r="DM31" s="46">
        <v>0</v>
      </c>
      <c r="DN31" s="46">
        <v>0</v>
      </c>
      <c r="DO31" s="46">
        <v>0</v>
      </c>
      <c r="DP31" s="46">
        <v>0</v>
      </c>
      <c r="DQ31" s="46">
        <v>0</v>
      </c>
      <c r="DR31" s="46">
        <v>0</v>
      </c>
      <c r="DS31" s="46">
        <v>0</v>
      </c>
      <c r="DT31" s="46">
        <v>-12107295</v>
      </c>
      <c r="DU31" s="46">
        <v>-35262521</v>
      </c>
      <c r="DV31" s="46">
        <v>0</v>
      </c>
      <c r="DW31" s="46">
        <v>0</v>
      </c>
      <c r="DX31" s="46">
        <v>0</v>
      </c>
      <c r="DY31" s="46">
        <v>0</v>
      </c>
      <c r="DZ31" s="46">
        <v>0</v>
      </c>
      <c r="EA31" s="46">
        <v>0</v>
      </c>
      <c r="EB31" s="46">
        <v>0</v>
      </c>
      <c r="EC31" s="46">
        <v>0</v>
      </c>
      <c r="ED31" s="46">
        <v>0</v>
      </c>
      <c r="EE31" s="46">
        <v>0</v>
      </c>
      <c r="EF31" s="46">
        <v>0</v>
      </c>
      <c r="EG31" s="46">
        <v>0</v>
      </c>
      <c r="EH31" s="46">
        <v>0</v>
      </c>
      <c r="EI31" s="46">
        <v>0</v>
      </c>
      <c r="EJ31" s="46">
        <v>0</v>
      </c>
      <c r="EK31" s="46">
        <v>0</v>
      </c>
      <c r="EL31" s="46">
        <v>0</v>
      </c>
      <c r="EM31" s="46">
        <v>0</v>
      </c>
      <c r="EN31" s="46">
        <v>0</v>
      </c>
      <c r="EO31" s="46">
        <v>0</v>
      </c>
      <c r="EP31" s="46">
        <v>0</v>
      </c>
      <c r="EQ31" s="46">
        <v>0</v>
      </c>
      <c r="ER31" s="46">
        <v>0</v>
      </c>
      <c r="ES31" s="46">
        <v>0</v>
      </c>
      <c r="ET31" s="46">
        <v>0</v>
      </c>
      <c r="EU31" s="46">
        <v>0</v>
      </c>
      <c r="EV31" s="46">
        <v>0</v>
      </c>
      <c r="EW31" s="46">
        <v>0</v>
      </c>
      <c r="EX31" s="46">
        <v>0</v>
      </c>
      <c r="EY31" s="46">
        <v>0</v>
      </c>
      <c r="EZ31" s="46">
        <v>0</v>
      </c>
      <c r="FA31" s="46">
        <v>0</v>
      </c>
      <c r="FB31" s="46">
        <v>0</v>
      </c>
      <c r="FC31" s="46">
        <v>0</v>
      </c>
      <c r="FD31" s="46">
        <v>0</v>
      </c>
      <c r="FE31" s="46">
        <v>0</v>
      </c>
      <c r="FF31" s="46">
        <v>0</v>
      </c>
      <c r="FG31" s="46">
        <v>0</v>
      </c>
      <c r="FH31" s="46">
        <v>0</v>
      </c>
      <c r="FI31" s="46">
        <v>0</v>
      </c>
      <c r="FJ31" s="46">
        <v>0</v>
      </c>
      <c r="FK31" s="46">
        <v>0</v>
      </c>
      <c r="FL31" s="46">
        <v>0</v>
      </c>
      <c r="FM31" s="46">
        <v>0</v>
      </c>
      <c r="FN31" s="46">
        <v>15054913</v>
      </c>
      <c r="FO31" s="46">
        <v>9749712</v>
      </c>
      <c r="FP31" s="46">
        <v>0</v>
      </c>
      <c r="FQ31" s="46">
        <v>0</v>
      </c>
      <c r="FR31" s="46">
        <v>0</v>
      </c>
      <c r="FS31" s="46">
        <v>0</v>
      </c>
      <c r="FT31" s="46">
        <v>0</v>
      </c>
      <c r="FU31" s="46">
        <v>0</v>
      </c>
      <c r="FV31" s="46">
        <v>0</v>
      </c>
      <c r="FW31" s="46">
        <v>0</v>
      </c>
      <c r="FX31" s="46">
        <v>0</v>
      </c>
      <c r="FY31" s="46">
        <v>0</v>
      </c>
      <c r="FZ31" s="46">
        <v>0</v>
      </c>
      <c r="GA31" s="46">
        <v>0</v>
      </c>
      <c r="GB31" s="46">
        <v>0</v>
      </c>
      <c r="GC31" s="46">
        <v>0</v>
      </c>
      <c r="GD31" s="46">
        <v>0</v>
      </c>
      <c r="GE31" s="46">
        <v>0</v>
      </c>
      <c r="GF31" s="46">
        <v>0</v>
      </c>
      <c r="GG31" s="46">
        <v>0</v>
      </c>
      <c r="GH31" s="46">
        <v>0</v>
      </c>
      <c r="GI31" s="46">
        <v>0</v>
      </c>
      <c r="GJ31" s="46">
        <v>0</v>
      </c>
      <c r="GK31" s="46">
        <v>0</v>
      </c>
      <c r="GL31" s="46">
        <v>0</v>
      </c>
      <c r="GM31" s="46">
        <v>0</v>
      </c>
      <c r="GN31" s="46">
        <v>0</v>
      </c>
      <c r="GO31" s="46">
        <v>-367600</v>
      </c>
      <c r="GP31" s="46">
        <v>-157969</v>
      </c>
      <c r="GQ31" s="46">
        <v>0</v>
      </c>
      <c r="GR31" s="46">
        <v>0</v>
      </c>
      <c r="GS31" s="46">
        <v>0</v>
      </c>
      <c r="GT31" s="46">
        <v>0</v>
      </c>
      <c r="GU31" s="46">
        <v>0</v>
      </c>
      <c r="GV31" s="46">
        <v>0</v>
      </c>
      <c r="GW31" s="46">
        <v>0</v>
      </c>
      <c r="GX31" s="46">
        <v>0</v>
      </c>
      <c r="GY31" s="46">
        <v>0</v>
      </c>
      <c r="GZ31" s="46">
        <v>0</v>
      </c>
      <c r="HA31" s="46">
        <v>0</v>
      </c>
      <c r="HB31" s="46">
        <v>0</v>
      </c>
      <c r="HC31" s="46">
        <v>0</v>
      </c>
      <c r="HD31" s="46">
        <v>0</v>
      </c>
      <c r="HE31" s="46">
        <v>0</v>
      </c>
      <c r="HF31" s="46">
        <v>0</v>
      </c>
      <c r="HG31" s="46">
        <v>-7960921</v>
      </c>
      <c r="HH31" s="46">
        <v>-692691</v>
      </c>
      <c r="HI31" s="46">
        <v>0</v>
      </c>
      <c r="HJ31" s="46">
        <v>0</v>
      </c>
      <c r="HK31" s="46">
        <v>0</v>
      </c>
      <c r="HL31" s="46">
        <v>0</v>
      </c>
      <c r="HM31" s="46">
        <v>0</v>
      </c>
      <c r="HN31" s="46">
        <v>0</v>
      </c>
      <c r="HO31" s="46">
        <v>0</v>
      </c>
      <c r="HP31" s="46">
        <v>405245</v>
      </c>
      <c r="HQ31" s="46">
        <v>0</v>
      </c>
      <c r="HR31" s="46">
        <v>54586908</v>
      </c>
      <c r="HS31" s="46">
        <v>0</v>
      </c>
      <c r="HT31" s="46">
        <v>0</v>
      </c>
      <c r="HU31" s="46">
        <v>0</v>
      </c>
      <c r="HV31" s="46">
        <v>0</v>
      </c>
      <c r="HW31" s="46">
        <v>0</v>
      </c>
      <c r="HX31" s="46">
        <v>0</v>
      </c>
      <c r="HY31" s="46">
        <v>0</v>
      </c>
      <c r="HZ31" s="46">
        <v>0</v>
      </c>
      <c r="IA31" s="46">
        <v>0</v>
      </c>
      <c r="IB31" s="46">
        <v>0</v>
      </c>
      <c r="IC31" s="46">
        <v>0</v>
      </c>
      <c r="ID31" s="46">
        <v>0</v>
      </c>
      <c r="IE31" s="46">
        <v>0</v>
      </c>
      <c r="IF31" s="46">
        <v>0</v>
      </c>
      <c r="IG31" s="46">
        <v>0</v>
      </c>
      <c r="IH31" s="46">
        <v>0</v>
      </c>
      <c r="II31" s="46">
        <v>0</v>
      </c>
      <c r="IJ31" s="46">
        <v>0</v>
      </c>
      <c r="IK31" s="46">
        <v>0</v>
      </c>
      <c r="IL31" s="46">
        <v>0</v>
      </c>
      <c r="IM31" s="46">
        <v>0</v>
      </c>
      <c r="IN31" s="46">
        <v>0</v>
      </c>
      <c r="IO31" s="46">
        <v>0</v>
      </c>
      <c r="IP31" s="46">
        <v>223735</v>
      </c>
      <c r="IQ31" s="46">
        <v>2869040</v>
      </c>
      <c r="IR31" s="46">
        <v>0</v>
      </c>
      <c r="IS31" s="46">
        <v>0</v>
      </c>
      <c r="IT31" s="46">
        <v>107926</v>
      </c>
      <c r="IU31" s="46">
        <v>3621287</v>
      </c>
      <c r="IV31" s="46">
        <v>291635</v>
      </c>
      <c r="IW31" s="46">
        <v>0</v>
      </c>
      <c r="IX31" s="46">
        <v>0</v>
      </c>
      <c r="IY31" s="46">
        <v>0</v>
      </c>
      <c r="IZ31" s="46">
        <v>0</v>
      </c>
      <c r="JA31" s="46">
        <v>0</v>
      </c>
      <c r="JB31" s="46">
        <v>0</v>
      </c>
      <c r="JC31" s="46">
        <v>0</v>
      </c>
      <c r="JD31" s="46">
        <v>0</v>
      </c>
      <c r="JE31" s="46">
        <v>0</v>
      </c>
      <c r="JF31" s="46">
        <v>0</v>
      </c>
      <c r="JG31" s="46">
        <v>0</v>
      </c>
      <c r="JH31" s="46">
        <v>0</v>
      </c>
      <c r="JI31" s="46">
        <v>54019</v>
      </c>
      <c r="JJ31" s="46">
        <v>0</v>
      </c>
      <c r="JK31" s="46">
        <v>5257120</v>
      </c>
      <c r="JL31" s="46">
        <v>0</v>
      </c>
      <c r="JM31" s="46">
        <v>658</v>
      </c>
      <c r="JN31" s="46">
        <v>0</v>
      </c>
      <c r="JO31" s="46">
        <v>0</v>
      </c>
      <c r="JP31" s="46">
        <v>0</v>
      </c>
      <c r="JQ31" s="46">
        <v>0</v>
      </c>
      <c r="JR31" s="46">
        <v>1971154</v>
      </c>
      <c r="JS31" s="46">
        <v>0</v>
      </c>
      <c r="JT31" s="46">
        <v>0</v>
      </c>
      <c r="JU31" s="46">
        <v>0</v>
      </c>
      <c r="JV31" s="46">
        <v>0</v>
      </c>
      <c r="JW31" s="46">
        <v>0</v>
      </c>
      <c r="JX31" s="46">
        <v>0</v>
      </c>
      <c r="JY31" s="46">
        <v>0</v>
      </c>
      <c r="JZ31" s="46">
        <v>0</v>
      </c>
      <c r="KA31" s="46">
        <v>0</v>
      </c>
      <c r="KB31" s="46">
        <v>2121427</v>
      </c>
      <c r="KC31" s="46">
        <v>0</v>
      </c>
      <c r="KD31" s="46">
        <v>0</v>
      </c>
      <c r="KE31" s="46">
        <v>0</v>
      </c>
      <c r="KF31" s="46">
        <v>0</v>
      </c>
      <c r="KG31" s="46">
        <v>0</v>
      </c>
      <c r="KH31" s="46">
        <v>0</v>
      </c>
      <c r="KI31" s="46">
        <v>0</v>
      </c>
      <c r="KJ31" s="46">
        <v>1210336</v>
      </c>
      <c r="KK31" s="46">
        <v>0</v>
      </c>
      <c r="KL31" s="46">
        <v>1491161</v>
      </c>
      <c r="KM31" s="46">
        <v>0</v>
      </c>
      <c r="KN31" s="46">
        <v>0</v>
      </c>
      <c r="KO31" s="46">
        <v>0</v>
      </c>
      <c r="KP31" s="46">
        <v>0</v>
      </c>
      <c r="KQ31" s="46">
        <v>0</v>
      </c>
      <c r="KR31" s="46">
        <v>36728645</v>
      </c>
      <c r="KS31" s="46">
        <v>19494942</v>
      </c>
      <c r="KT31" s="46">
        <v>0</v>
      </c>
      <c r="KU31" s="46">
        <v>1716423</v>
      </c>
      <c r="KV31" s="46">
        <v>0</v>
      </c>
      <c r="KW31" s="46">
        <v>0</v>
      </c>
      <c r="KX31" s="46">
        <v>0</v>
      </c>
      <c r="KY31" s="46">
        <v>0</v>
      </c>
      <c r="KZ31" s="46">
        <v>0</v>
      </c>
      <c r="LA31" s="46">
        <v>331816</v>
      </c>
      <c r="LB31" s="46">
        <v>346376</v>
      </c>
      <c r="LC31" s="46">
        <v>0</v>
      </c>
      <c r="LD31" s="46">
        <v>2946038</v>
      </c>
      <c r="LE31" s="46">
        <v>0</v>
      </c>
      <c r="LF31" s="46">
        <v>0</v>
      </c>
      <c r="LG31" s="46">
        <v>0</v>
      </c>
      <c r="LH31" s="46">
        <v>0</v>
      </c>
      <c r="LI31" s="46">
        <v>0</v>
      </c>
      <c r="LJ31" s="46">
        <v>281782</v>
      </c>
      <c r="LK31" s="46">
        <v>1767326</v>
      </c>
      <c r="LL31" s="46">
        <v>0</v>
      </c>
      <c r="LM31" s="46">
        <v>1028386</v>
      </c>
      <c r="LN31" s="46">
        <v>0</v>
      </c>
      <c r="LO31" s="46">
        <v>0</v>
      </c>
      <c r="LP31" s="46">
        <v>0</v>
      </c>
      <c r="LQ31" s="46">
        <v>0</v>
      </c>
      <c r="LR31" s="46">
        <v>0</v>
      </c>
      <c r="LS31" s="46">
        <v>0</v>
      </c>
      <c r="LT31" s="46">
        <v>0</v>
      </c>
      <c r="LU31" s="46">
        <v>0</v>
      </c>
      <c r="LV31" s="46">
        <v>0</v>
      </c>
      <c r="LW31" s="46">
        <v>0</v>
      </c>
      <c r="LX31" s="46">
        <v>0</v>
      </c>
      <c r="LY31" s="46">
        <v>0</v>
      </c>
      <c r="LZ31" s="46">
        <v>0</v>
      </c>
      <c r="MA31" s="46">
        <v>0</v>
      </c>
      <c r="MB31" s="46">
        <v>7086806</v>
      </c>
      <c r="MC31" s="46">
        <v>22171932</v>
      </c>
      <c r="MD31" s="46">
        <v>0</v>
      </c>
      <c r="ME31" s="46">
        <v>1942632</v>
      </c>
      <c r="MF31" s="46">
        <v>0</v>
      </c>
      <c r="MG31" s="46">
        <v>0</v>
      </c>
      <c r="MH31" s="46">
        <v>0</v>
      </c>
      <c r="MI31" s="46">
        <v>0</v>
      </c>
      <c r="MJ31" s="46">
        <v>0</v>
      </c>
      <c r="MK31" s="46">
        <v>1922310</v>
      </c>
      <c r="ML31" s="46">
        <v>5195009</v>
      </c>
      <c r="MM31" s="46">
        <v>0</v>
      </c>
      <c r="MN31" s="46">
        <v>617397</v>
      </c>
      <c r="MO31" s="46">
        <v>0</v>
      </c>
      <c r="MP31" s="46">
        <v>0</v>
      </c>
      <c r="MQ31" s="46">
        <v>0</v>
      </c>
      <c r="MR31" s="46">
        <v>0</v>
      </c>
      <c r="MS31" s="46">
        <v>0</v>
      </c>
      <c r="MT31" s="46">
        <v>8410232</v>
      </c>
      <c r="MU31" s="46">
        <v>18428625</v>
      </c>
      <c r="MV31" s="46">
        <v>0</v>
      </c>
      <c r="MW31" s="46">
        <v>-462</v>
      </c>
      <c r="MX31" s="46">
        <v>0</v>
      </c>
      <c r="MY31" s="46">
        <v>0</v>
      </c>
      <c r="MZ31" s="46">
        <v>0</v>
      </c>
      <c r="NA31" s="46">
        <v>0</v>
      </c>
      <c r="NB31" s="46">
        <v>0</v>
      </c>
      <c r="NC31" s="46">
        <v>4328046</v>
      </c>
      <c r="ND31" s="46">
        <v>12868632</v>
      </c>
      <c r="NE31" s="46">
        <v>0</v>
      </c>
      <c r="NF31" s="46">
        <v>6664</v>
      </c>
      <c r="NG31" s="46">
        <v>0</v>
      </c>
      <c r="NH31" s="46">
        <v>0</v>
      </c>
      <c r="NI31" s="46">
        <v>0</v>
      </c>
      <c r="NJ31" s="46">
        <v>0</v>
      </c>
      <c r="NK31" s="46">
        <v>0</v>
      </c>
      <c r="NL31" s="46">
        <v>179</v>
      </c>
      <c r="NM31" s="46">
        <v>1521263</v>
      </c>
      <c r="NN31" s="46">
        <v>0</v>
      </c>
      <c r="NO31" s="46">
        <v>11032015</v>
      </c>
      <c r="NP31" s="46">
        <v>0</v>
      </c>
      <c r="NQ31" s="46">
        <v>0</v>
      </c>
      <c r="NR31" s="46">
        <v>0</v>
      </c>
      <c r="NS31" s="46">
        <v>0</v>
      </c>
      <c r="NT31" s="46">
        <v>0</v>
      </c>
      <c r="NU31" s="46">
        <v>0</v>
      </c>
      <c r="NV31" s="46">
        <v>0</v>
      </c>
      <c r="NW31" s="46">
        <v>10992946</v>
      </c>
      <c r="NX31" s="46">
        <v>175123</v>
      </c>
      <c r="NY31" s="46">
        <v>0</v>
      </c>
      <c r="NZ31" s="46">
        <v>0</v>
      </c>
      <c r="OA31" s="46">
        <v>0</v>
      </c>
      <c r="OB31" s="46">
        <v>0</v>
      </c>
      <c r="OC31" s="46">
        <v>0</v>
      </c>
      <c r="OD31" s="46">
        <v>2745379</v>
      </c>
      <c r="OE31" s="46">
        <v>27761</v>
      </c>
      <c r="OF31" s="46">
        <v>0</v>
      </c>
      <c r="OG31" s="46">
        <v>0</v>
      </c>
      <c r="OH31" s="46">
        <v>0</v>
      </c>
      <c r="OI31" s="46">
        <v>0</v>
      </c>
      <c r="OJ31" s="46">
        <v>0</v>
      </c>
      <c r="OK31" s="46">
        <v>0</v>
      </c>
      <c r="OL31" s="46">
        <v>0</v>
      </c>
      <c r="OM31" s="46">
        <v>0</v>
      </c>
      <c r="ON31" s="46">
        <v>0</v>
      </c>
      <c r="OO31" s="46">
        <v>645</v>
      </c>
      <c r="OP31" s="46">
        <v>0</v>
      </c>
      <c r="OQ31" s="46">
        <v>0</v>
      </c>
      <c r="OR31" s="46">
        <v>3077092</v>
      </c>
      <c r="OS31" s="46">
        <v>6692642</v>
      </c>
      <c r="OT31" s="46">
        <v>0</v>
      </c>
      <c r="OU31" s="46">
        <v>0</v>
      </c>
      <c r="OV31" s="46">
        <v>0</v>
      </c>
      <c r="OW31" s="46">
        <v>0</v>
      </c>
      <c r="OX31" s="46">
        <v>0</v>
      </c>
      <c r="OY31" s="46">
        <v>0</v>
      </c>
      <c r="OZ31" s="46">
        <v>0</v>
      </c>
      <c r="PA31" s="46">
        <v>0</v>
      </c>
      <c r="PB31" s="46">
        <v>-8717430</v>
      </c>
      <c r="PC31" s="46">
        <v>0</v>
      </c>
      <c r="PD31" s="46">
        <v>0</v>
      </c>
      <c r="PE31" s="46">
        <v>8348089</v>
      </c>
      <c r="PF31" s="46">
        <v>37984422</v>
      </c>
      <c r="PG31" s="46">
        <v>-1955123</v>
      </c>
      <c r="PH31" s="46">
        <v>-48759114</v>
      </c>
      <c r="PI31" s="46">
        <v>225909</v>
      </c>
      <c r="PJ31" s="46">
        <v>-316306</v>
      </c>
      <c r="PK31" s="46">
        <v>2018405</v>
      </c>
      <c r="PL31" s="46">
        <v>14959600</v>
      </c>
      <c r="PM31" s="46">
        <v>0</v>
      </c>
      <c r="PN31" s="46">
        <v>0</v>
      </c>
      <c r="PO31" s="46">
        <v>0</v>
      </c>
      <c r="PP31" s="46">
        <v>0</v>
      </c>
      <c r="PQ31" s="46">
        <v>0</v>
      </c>
      <c r="PR31" s="46">
        <v>0</v>
      </c>
      <c r="PS31" s="46">
        <v>0</v>
      </c>
      <c r="PT31" s="46">
        <v>0</v>
      </c>
      <c r="PU31" s="46">
        <v>0</v>
      </c>
      <c r="PV31" s="46">
        <v>0</v>
      </c>
      <c r="PW31" s="46">
        <v>0</v>
      </c>
      <c r="PX31" s="46">
        <v>0</v>
      </c>
      <c r="PY31" s="46">
        <v>0</v>
      </c>
      <c r="PZ31" s="46">
        <v>0</v>
      </c>
      <c r="QA31" s="46">
        <v>0</v>
      </c>
      <c r="QB31" s="46">
        <v>0</v>
      </c>
      <c r="QC31" s="46">
        <v>0</v>
      </c>
      <c r="QD31" s="46">
        <v>-14941185</v>
      </c>
      <c r="QE31" s="46">
        <v>0</v>
      </c>
      <c r="QF31" s="46">
        <v>0</v>
      </c>
      <c r="QG31" s="46">
        <v>279563</v>
      </c>
      <c r="QH31" s="46">
        <v>0</v>
      </c>
      <c r="QI31" s="46">
        <v>0</v>
      </c>
      <c r="QJ31" s="46">
        <v>0</v>
      </c>
      <c r="QK31" s="46">
        <v>481299</v>
      </c>
      <c r="QL31" s="46">
        <v>0</v>
      </c>
      <c r="QM31" s="46">
        <v>0</v>
      </c>
      <c r="QN31" s="46">
        <v>0</v>
      </c>
      <c r="QO31" s="46">
        <v>0</v>
      </c>
      <c r="QP31" s="46">
        <v>0</v>
      </c>
      <c r="QQ31" s="46">
        <v>0</v>
      </c>
      <c r="QR31" s="46">
        <v>0</v>
      </c>
      <c r="QS31" s="46">
        <v>0</v>
      </c>
      <c r="QT31" s="46">
        <v>1047558</v>
      </c>
      <c r="QU31" s="46">
        <v>0</v>
      </c>
      <c r="QV31" s="46">
        <v>0</v>
      </c>
      <c r="QW31" s="46">
        <v>0</v>
      </c>
      <c r="QX31" s="46">
        <v>0</v>
      </c>
      <c r="QY31" s="46">
        <v>0</v>
      </c>
      <c r="QZ31" s="46">
        <v>0</v>
      </c>
      <c r="RA31" s="46">
        <v>0</v>
      </c>
      <c r="RB31" s="46">
        <v>0</v>
      </c>
      <c r="RC31" s="46">
        <v>0</v>
      </c>
      <c r="RD31" s="46">
        <v>0</v>
      </c>
      <c r="RE31" s="46">
        <v>0</v>
      </c>
      <c r="RF31" s="46">
        <v>0</v>
      </c>
      <c r="RG31" s="46">
        <v>0</v>
      </c>
      <c r="RH31" s="46">
        <v>0</v>
      </c>
      <c r="RI31" s="46">
        <v>0</v>
      </c>
      <c r="RJ31" s="46">
        <v>0</v>
      </c>
      <c r="RK31" s="46">
        <v>0</v>
      </c>
      <c r="RL31" s="46">
        <v>0</v>
      </c>
      <c r="RM31" s="46">
        <v>0</v>
      </c>
      <c r="RN31" s="46">
        <v>0</v>
      </c>
      <c r="RO31" s="46">
        <v>-15395429</v>
      </c>
      <c r="RP31" s="46">
        <v>0</v>
      </c>
      <c r="RQ31" s="46">
        <v>0</v>
      </c>
      <c r="RR31" s="46">
        <v>0</v>
      </c>
      <c r="RS31" s="46">
        <v>0</v>
      </c>
      <c r="RT31" s="46">
        <v>0</v>
      </c>
      <c r="RU31" s="46">
        <v>0</v>
      </c>
      <c r="RV31" s="46">
        <v>0</v>
      </c>
      <c r="RW31" s="46">
        <v>0</v>
      </c>
      <c r="RX31" s="46">
        <v>0</v>
      </c>
      <c r="RY31" s="46">
        <v>0</v>
      </c>
      <c r="RZ31" s="46">
        <v>0</v>
      </c>
      <c r="SA31" s="46">
        <v>0</v>
      </c>
      <c r="SB31" s="46">
        <v>0</v>
      </c>
      <c r="SC31" s="46">
        <v>0</v>
      </c>
      <c r="SD31" s="46">
        <v>0</v>
      </c>
      <c r="SE31" s="46">
        <v>0</v>
      </c>
      <c r="SF31" s="46">
        <v>0</v>
      </c>
      <c r="SG31" s="46">
        <v>0</v>
      </c>
      <c r="SH31" s="46">
        <v>0</v>
      </c>
      <c r="SI31" s="46">
        <v>0</v>
      </c>
      <c r="SJ31" s="46">
        <v>0</v>
      </c>
      <c r="SK31" s="46">
        <v>0</v>
      </c>
      <c r="SL31" s="46">
        <v>0</v>
      </c>
      <c r="SM31" s="46">
        <v>0</v>
      </c>
      <c r="SN31" s="46">
        <v>0</v>
      </c>
      <c r="SO31" s="46">
        <v>0</v>
      </c>
      <c r="SP31" s="46">
        <v>0</v>
      </c>
      <c r="SQ31" s="46">
        <v>2745379</v>
      </c>
      <c r="SR31" s="46">
        <v>27761</v>
      </c>
      <c r="SS31" s="46">
        <v>0</v>
      </c>
      <c r="ST31" s="46">
        <v>0</v>
      </c>
      <c r="SU31" s="46">
        <v>0</v>
      </c>
      <c r="SV31" s="46">
        <v>0</v>
      </c>
      <c r="SW31" s="46">
        <v>8717430</v>
      </c>
      <c r="SX31" s="46">
        <v>0</v>
      </c>
      <c r="SY31" s="46">
        <v>0</v>
      </c>
      <c r="SZ31" s="46">
        <v>68911</v>
      </c>
      <c r="TA31" s="46">
        <v>0</v>
      </c>
      <c r="TB31" s="46">
        <v>0</v>
      </c>
      <c r="TC31" s="46">
        <v>0</v>
      </c>
      <c r="TD31" s="46">
        <v>2463301</v>
      </c>
      <c r="TE31" s="46">
        <v>20383</v>
      </c>
      <c r="TF31" s="46">
        <v>110154</v>
      </c>
      <c r="TG31" s="46">
        <v>110391</v>
      </c>
      <c r="TH31" s="46">
        <v>0</v>
      </c>
      <c r="TI31" s="46">
        <v>0</v>
      </c>
      <c r="TJ31" s="46">
        <v>0</v>
      </c>
      <c r="TK31" s="46">
        <v>0</v>
      </c>
      <c r="TL31" s="46">
        <v>0</v>
      </c>
      <c r="TM31" s="46">
        <v>0</v>
      </c>
      <c r="TN31" s="46">
        <v>0</v>
      </c>
      <c r="TO31" s="46">
        <v>0</v>
      </c>
      <c r="TP31" s="46">
        <v>0</v>
      </c>
      <c r="TQ31" s="46">
        <v>0</v>
      </c>
      <c r="TR31" s="46">
        <v>0</v>
      </c>
      <c r="TS31" s="46">
        <v>0</v>
      </c>
      <c r="TT31" s="46">
        <v>0</v>
      </c>
      <c r="TU31" s="46">
        <v>140245</v>
      </c>
      <c r="TV31" s="46">
        <v>0</v>
      </c>
      <c r="TW31" s="46">
        <v>0</v>
      </c>
      <c r="TX31" s="46">
        <v>0</v>
      </c>
      <c r="TY31" s="46">
        <v>0</v>
      </c>
      <c r="TZ31" s="46">
        <v>0</v>
      </c>
      <c r="UA31" s="46">
        <v>0</v>
      </c>
      <c r="UB31" s="46">
        <v>0</v>
      </c>
      <c r="UC31" s="46">
        <v>0</v>
      </c>
      <c r="UD31" s="46">
        <v>0</v>
      </c>
      <c r="UE31" s="46">
        <v>57940010</v>
      </c>
      <c r="UF31" s="46">
        <v>3624230</v>
      </c>
      <c r="UG31" s="46">
        <v>3077494</v>
      </c>
      <c r="UH31" s="46">
        <v>0</v>
      </c>
      <c r="UI31" s="46">
        <v>31201370</v>
      </c>
      <c r="UJ31" s="46">
        <v>7734716</v>
      </c>
      <c r="UK31" s="46">
        <v>26838395</v>
      </c>
      <c r="UL31" s="46">
        <v>17203342</v>
      </c>
      <c r="UM31" s="46">
        <v>12553457</v>
      </c>
      <c r="UN31" s="46">
        <v>11168069</v>
      </c>
      <c r="UO31"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2773140</v>
      </c>
      <c r="UP31" s="46">
        <f>SUM(Input[[#This Row],[Oth Exp E&amp;G]],Input[[#This Row],[Oth Exp Desg]],Input[[#This Row],[Oth Exp Aux]],Input[[#This Row],[Oth Exp R Exp]],Input[[#This Row],[Oth Exp Loan]],Input[[#This Row],[Oth Exp Annuity]],Input[[#This Row],[Oth Exp Unexp]],Input[[#This Row],[Oth Exp R of Ind]],Input[[#This Row],[Oth Exp Inv in P]])</f>
        <v>9770379</v>
      </c>
      <c r="UQ31" s="46"/>
      <c r="UR31" s="46"/>
      <c r="US31" s="8" t="s">
        <v>977</v>
      </c>
      <c r="UT31" s="47">
        <v>7132218617</v>
      </c>
      <c r="UU31" s="8" t="s">
        <v>75</v>
      </c>
      <c r="UV31" s="8" t="s">
        <v>860</v>
      </c>
      <c r="UW31" s="47">
        <v>7132218612</v>
      </c>
      <c r="UX31" s="8" t="s">
        <v>861</v>
      </c>
      <c r="UY31" s="51" cm="1">
        <f t="array" ref="UY31">IFERROR(_xlfn.IFS(Input[[#This Row],[Type]]="HRI",SUMIFS('FTSE | FTFE'!$P$8:$P$77,'FTSE | FTFE'!$H$8:$H$77,A31),Input[[#This Row],[Type]]="UNIV",SUMIFS('FTSE | FTFE'!$P$104:$P$139,'FTSE | FTFE'!$H$104:$H$139,A31),OR(Input[[#This Row],[Type]]="TSTC",Input[[#This Row],[Type]]="LSC"),SUMIFS('FTSE | FTFE'!$O$88:$O$96,'FTSE | FTFE'!$H$88:$H$96,A31),Input[[#This Row],[Type]]="AHM",SUMIFS(Hidden!$H$42:$H$45,Hidden!$G$42:$G$45,A31)),"N/A")</f>
        <v>10405</v>
      </c>
      <c r="UZ31" s="51" cm="1">
        <f t="array" ref="UZ31">IFERROR(_xlfn.IFS(Input[[#This Row],[Type]]="HRI",SUMIFS('FTSE | FTFE'!$Q$8:$Q$77,'FTSE | FTFE'!$H$8:$H$77,A31),Input[[#This Row],[Type]]="UNIV",SUMIFS('FTSE | FTFE'!$Q$104:$Q$139,'FTSE | FTFE'!$H$104:$H$139,A31),OR(Input[[#This Row],[Type]]="TSTC",Input[[#This Row],[Type]]="LSC"),SUMIFS('FTSE | FTFE'!$P$88:$P$96,'FTSE | FTFE'!$H$88:$H$96,A31)),"N/A")</f>
        <v>237</v>
      </c>
      <c r="VA3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51622306</v>
      </c>
      <c r="VB3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11155034</v>
      </c>
      <c r="VC31" s="46">
        <f>SUM(Input[[#This Row],[Fed G&amp;C E&amp;G]],Input[[#This Row],[Fed G&amp;C Desg]],Input[[#This Row],[Fed G&amp;C R Exp]],Input[[#This Row],[Fed G&amp;C Loan]],Input[[#This Row],[Fed G&amp;C Annuity]],Input[[#This Row],[Fed G&amp;C Unexp]],Input[[#This Row],[Fed G&amp;C R of Ind]],Input[[#This Row],[Fed G&amp;C Inv in P]])</f>
        <v>54992153</v>
      </c>
      <c r="VD3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17098071</v>
      </c>
      <c r="VE3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37318989</v>
      </c>
      <c r="VF3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6726392</v>
      </c>
      <c r="VG31" s="46">
        <f>SUM(Input[[#This Row],[Oth Inc E&amp;G]],Input[[#This Row],[Oth Exp Desg]],Input[[#This Row],[Oth Exp R Exp]],Input[[#This Row],[Oth Exp Loan]],Input[[#This Row],[Oth Exp Annuity]],Input[[#This Row],[Oth Exp Unexp]],Input[[#This Row],[Oth Exp R of Ind]],Input[[#This Row],[Oth Exp Inv in P]])</f>
        <v>9769734</v>
      </c>
      <c r="VH31" s="46">
        <f>SUM(Input[[#This Row],[Instr E&amp;G]],Input[[#This Row],[Instr Desg]],Input[[#This Row],[Instr R Exp]],Input[[#This Row],[Instr Loan]],Input[[#This Row],[Instr Annuity]],Input[[#This Row],[Instr Unexp]],Input[[#This Row],[Instr R of Ind]],Input[[#This Row],[Instr Inv in P]])</f>
        <v>57940010</v>
      </c>
      <c r="VI31" s="46">
        <f>SUM(Input[[#This Row],[Res E&amp;G]],Input[[#This Row],[Res Desg]],Input[[#This Row],[Res R Exp]],Input[[#This Row],[Res Loan]],Input[[#This Row],[Res Annuity]],Input[[#This Row],[Res Unexp]],Input[[#This Row],[Res R of Ind]],Input[[#This Row],[Res Inv in P]])</f>
        <v>3624230</v>
      </c>
      <c r="VJ31" s="46">
        <f>SUM(Input[[#This Row],[Acad Sup E&amp;G]],Input[[#This Row],[Acad Sup Desg]],Input[[#This Row],[Acad Sup R Exp]],Input[[#This Row],[Acad Sup Loan]],Input[[#This Row],[Acad Sup Annuity]],Input[[#This Row],[Acad Sup Unexp]],Input[[#This Row],[Acad Sup R of Ind]],Input[[#This Row],[Acad Sup Inv in P]])</f>
        <v>31201370</v>
      </c>
      <c r="VK31" s="46">
        <f>SUM(Input[[#This Row],[Stu Svc E&amp;G]],Input[[#This Row],[Stu Svc Desg]],Input[[#This Row],[Stu Svc R Exp]],Input[[#This Row],[Stu Svc Loan]],Input[[#This Row],[Stu Svc Annuity]],Input[[#This Row],[Stu Svc Unexp]],Input[[#This Row],[Stu Svc R of Ind]],Input[[#This Row],[Stu Svc Inv in P]])</f>
        <v>7734716</v>
      </c>
      <c r="VL31" s="46">
        <f>SUM(Input[[#This Row],[Inst. Spt E&amp;G]],Input[[#This Row],[Inst. Spt Desg]],Input[[#This Row],[Inst. Spt R Exp]],Input[[#This Row],[Inst. Spt Loan]],Input[[#This Row],[Inst. Spt Annuity]],Input[[#This Row],[Inst. Spt Unexp]],Input[[#This Row],[Inst. Spt R of Ind]],Input[[#This Row],[Inst. Spt Inv in P]])</f>
        <v>26838395</v>
      </c>
      <c r="VM31" s="46">
        <f>SUM(Input[[#This Row],[M&amp;O Plnt E&amp;G]],Input[[#This Row],[M&amp;O Plnt Desg]],Input[[#This Row],[M&amp;O Plnt R Exp]],Input[[#This Row],[M&amp;O Plnt Loan]],Input[[#This Row],[M&amp;O Plnt Annuity]],Input[[#This Row],[M&amp;O Plnt Unexp]],Input[[#This Row],[M&amp;O Plnt R of Ind]],Input[[#This Row],[M&amp;O Plnt Inv in P]])</f>
        <v>17203342</v>
      </c>
      <c r="VN31" s="46">
        <f>SUM(Input[[#This Row],[Schl &amp; Fell E&amp;G]],Input[[#This Row],[Schl &amp; Fell Desg]],Input[[#This Row],[Schl &amp; Fell R Exp]],Input[[#This Row],[Schl &amp; Fell Loan]],Input[[#This Row],[Schl &amp; Fell Annuity]],Input[[#This Row],[Schl &amp; Fell Unexp]],Input[[#This Row],[Schl &amp; Fell R of Ind]],Input[[#This Row],[Schl &amp; Fell Inv in P]])</f>
        <v>12553457</v>
      </c>
      <c r="VO31" s="46">
        <f>SUM(Input[[#This Row],[Cap Out fund E&amp;G]],Input[[#This Row],[Cap Out fund Desg]],Input[[#This Row],[Cap Out fund R Exp]],Input[[#This Row],[Cap Out fund Loan]],Input[[#This Row],[Cap Out fund Annuity]],Input[[#This Row],[Cap Out fund Unexp]],Input[[#This Row],[Cap Out fund R of Ind]],Input[[#This Row],[Cap Out fund Inv in P]])</f>
        <v>2773140</v>
      </c>
      <c r="VP31" s="46">
        <f>SUM(Input[[#This Row],[Oth Exp E&amp;G]],Input[[#This Row],[Oth Exp Desg]],Input[[#This Row],[Oth Exp R Exp]],Input[[#This Row],[Oth Exp Loan]],Input[[#This Row],[Oth Exp Annuity]],Input[[#This Row],[Oth Exp Unexp]],Input[[#This Row],[Oth Exp R of Ind]],Input[[#This Row],[Oth Exp Inv in P]],Input[[#This Row],[Oth Exp Inv in P]])</f>
        <v>9769734</v>
      </c>
    </row>
    <row r="32" spans="1:588" ht="30" customHeight="1" x14ac:dyDescent="0.3">
      <c r="A32" s="15" t="s">
        <v>19</v>
      </c>
      <c r="B32" s="36" t="s">
        <v>122</v>
      </c>
      <c r="C32" s="36" t="s">
        <v>110</v>
      </c>
      <c r="D32" s="36">
        <v>307</v>
      </c>
      <c r="E32" s="36" t="s">
        <v>132</v>
      </c>
      <c r="F32" s="95" cm="1">
        <f t="array" ref="F32">IFERROR(_xlfn.IFS(Input[[#This Row],[Type]]="HRI",SUMIFS('FTSE | FTFE'!$I$8:$I$77,'FTSE | FTFE'!$H$8:$H$77,A32),Input[[#This Row],[Type]]="UNIV",SUMIFS('FTSE | FTFE'!$I$104:$I$139,'FTSE | FTFE'!$H$104:$H$139,A32),OR(Input[[#This Row],[Type]]="TSTC",Input[[#This Row],[Type]]="LSC"),SUMIFS('FTSE | FTFE'!$I$88:$I$96,'FTSE | FTFE'!$H$88:$H$96,A32)),"N/A")</f>
        <v>13231</v>
      </c>
      <c r="G32" s="46">
        <v>21005068</v>
      </c>
      <c r="H32" s="46">
        <v>0</v>
      </c>
      <c r="I32" s="46">
        <v>0</v>
      </c>
      <c r="J32" s="46">
        <v>0</v>
      </c>
      <c r="K32" s="46">
        <v>0</v>
      </c>
      <c r="L32" s="46">
        <v>0</v>
      </c>
      <c r="M32" s="46">
        <v>0</v>
      </c>
      <c r="N32" s="46">
        <v>0</v>
      </c>
      <c r="O32" s="46">
        <v>0</v>
      </c>
      <c r="P32" s="46">
        <v>45424</v>
      </c>
      <c r="Q32" s="46">
        <v>0</v>
      </c>
      <c r="R32" s="46">
        <v>0</v>
      </c>
      <c r="S32" s="46">
        <v>2061695</v>
      </c>
      <c r="T32" s="46">
        <v>0</v>
      </c>
      <c r="U32" s="46">
        <v>0</v>
      </c>
      <c r="V32" s="46">
        <v>0</v>
      </c>
      <c r="W32" s="46">
        <v>0</v>
      </c>
      <c r="X32" s="46">
        <v>0</v>
      </c>
      <c r="Y32" s="46">
        <v>3649703</v>
      </c>
      <c r="Z32" s="46">
        <v>0</v>
      </c>
      <c r="AA32" s="46">
        <v>0</v>
      </c>
      <c r="AB32" s="46">
        <v>0</v>
      </c>
      <c r="AC32" s="46">
        <v>0</v>
      </c>
      <c r="AD32" s="46">
        <v>0</v>
      </c>
      <c r="AE32" s="46">
        <v>0</v>
      </c>
      <c r="AF32" s="46">
        <v>0</v>
      </c>
      <c r="AG32" s="46">
        <v>0</v>
      </c>
      <c r="AH32" s="46">
        <v>0</v>
      </c>
      <c r="AI32" s="46">
        <v>0</v>
      </c>
      <c r="AJ32" s="46">
        <v>0</v>
      </c>
      <c r="AK32" s="46">
        <v>0</v>
      </c>
      <c r="AL32" s="46">
        <v>0</v>
      </c>
      <c r="AM32" s="46">
        <v>0</v>
      </c>
      <c r="AN32" s="46">
        <v>0</v>
      </c>
      <c r="AO32" s="46">
        <v>0</v>
      </c>
      <c r="AP32" s="46">
        <v>0</v>
      </c>
      <c r="AQ32" s="46">
        <v>-627710</v>
      </c>
      <c r="AR32" s="46">
        <v>0</v>
      </c>
      <c r="AS32" s="46">
        <v>0</v>
      </c>
      <c r="AT32" s="46">
        <v>0</v>
      </c>
      <c r="AU32" s="46">
        <v>0</v>
      </c>
      <c r="AV32" s="46">
        <v>0</v>
      </c>
      <c r="AW32" s="46">
        <v>0</v>
      </c>
      <c r="AX32" s="46">
        <v>0</v>
      </c>
      <c r="AY32" s="46">
        <v>0</v>
      </c>
      <c r="AZ32" s="46">
        <v>0</v>
      </c>
      <c r="BA32" s="46">
        <v>0</v>
      </c>
      <c r="BB32" s="46">
        <v>0</v>
      </c>
      <c r="BC32" s="46">
        <v>0</v>
      </c>
      <c r="BD32" s="46">
        <v>0</v>
      </c>
      <c r="BE32" s="46">
        <v>0</v>
      </c>
      <c r="BF32" s="46">
        <v>0</v>
      </c>
      <c r="BG32" s="46">
        <v>0</v>
      </c>
      <c r="BH32" s="46">
        <v>0</v>
      </c>
      <c r="BI32" s="46">
        <v>0</v>
      </c>
      <c r="BJ32" s="46">
        <v>0</v>
      </c>
      <c r="BK32" s="46">
        <v>0</v>
      </c>
      <c r="BL32" s="46">
        <v>0</v>
      </c>
      <c r="BM32" s="46">
        <v>0</v>
      </c>
      <c r="BN32" s="46">
        <v>0</v>
      </c>
      <c r="BO32" s="46">
        <v>0</v>
      </c>
      <c r="BP32" s="46">
        <v>0</v>
      </c>
      <c r="BQ32" s="46">
        <v>0</v>
      </c>
      <c r="BR32" s="46">
        <v>0</v>
      </c>
      <c r="BS32" s="46">
        <v>0</v>
      </c>
      <c r="BT32" s="46">
        <v>0</v>
      </c>
      <c r="BU32" s="46">
        <v>0</v>
      </c>
      <c r="BV32" s="46">
        <v>0</v>
      </c>
      <c r="BW32" s="46">
        <v>0</v>
      </c>
      <c r="BX32" s="46">
        <v>0</v>
      </c>
      <c r="BY32" s="46">
        <v>0</v>
      </c>
      <c r="BZ32" s="46">
        <v>0</v>
      </c>
      <c r="CA32" s="46">
        <v>5677352</v>
      </c>
      <c r="CB32" s="46">
        <v>14970870</v>
      </c>
      <c r="CC32" s="46">
        <v>0</v>
      </c>
      <c r="CD32" s="46">
        <v>0</v>
      </c>
      <c r="CE32" s="46">
        <v>0</v>
      </c>
      <c r="CF32" s="46">
        <v>0</v>
      </c>
      <c r="CG32" s="46">
        <v>0</v>
      </c>
      <c r="CH32" s="46">
        <v>0</v>
      </c>
      <c r="CI32" s="46">
        <v>0</v>
      </c>
      <c r="CJ32" s="46">
        <v>0</v>
      </c>
      <c r="CK32" s="46">
        <v>0</v>
      </c>
      <c r="CL32" s="46">
        <v>0</v>
      </c>
      <c r="CM32" s="46">
        <v>0</v>
      </c>
      <c r="CN32" s="46">
        <v>0</v>
      </c>
      <c r="CO32" s="46">
        <v>0</v>
      </c>
      <c r="CP32" s="46">
        <v>0</v>
      </c>
      <c r="CQ32" s="46">
        <v>0</v>
      </c>
      <c r="CR32" s="46">
        <v>0</v>
      </c>
      <c r="CS32" s="46">
        <v>0</v>
      </c>
      <c r="CT32" s="46">
        <v>0</v>
      </c>
      <c r="CU32" s="46">
        <v>0</v>
      </c>
      <c r="CV32" s="46">
        <v>0</v>
      </c>
      <c r="CW32" s="46">
        <v>0</v>
      </c>
      <c r="CX32" s="46">
        <v>0</v>
      </c>
      <c r="CY32" s="46">
        <v>0</v>
      </c>
      <c r="CZ32" s="46">
        <v>0</v>
      </c>
      <c r="DA32" s="46">
        <v>0</v>
      </c>
      <c r="DB32" s="46">
        <v>-255261</v>
      </c>
      <c r="DC32" s="46">
        <v>-742229</v>
      </c>
      <c r="DD32" s="46">
        <v>0</v>
      </c>
      <c r="DE32" s="46">
        <v>0</v>
      </c>
      <c r="DF32" s="46">
        <v>0</v>
      </c>
      <c r="DG32" s="46">
        <v>0</v>
      </c>
      <c r="DH32" s="46">
        <v>0</v>
      </c>
      <c r="DI32" s="46">
        <v>0</v>
      </c>
      <c r="DJ32" s="46">
        <v>0</v>
      </c>
      <c r="DK32" s="46">
        <v>0</v>
      </c>
      <c r="DL32" s="46">
        <v>0</v>
      </c>
      <c r="DM32" s="46">
        <v>0</v>
      </c>
      <c r="DN32" s="46">
        <v>0</v>
      </c>
      <c r="DO32" s="46">
        <v>0</v>
      </c>
      <c r="DP32" s="46">
        <v>0</v>
      </c>
      <c r="DQ32" s="46">
        <v>0</v>
      </c>
      <c r="DR32" s="46">
        <v>0</v>
      </c>
      <c r="DS32" s="46">
        <v>0</v>
      </c>
      <c r="DT32" s="46">
        <v>-3209196</v>
      </c>
      <c r="DU32" s="46">
        <v>-6056665</v>
      </c>
      <c r="DV32" s="46">
        <v>0</v>
      </c>
      <c r="DW32" s="46">
        <v>0</v>
      </c>
      <c r="DX32" s="46">
        <v>0</v>
      </c>
      <c r="DY32" s="46">
        <v>0</v>
      </c>
      <c r="DZ32" s="46">
        <v>0</v>
      </c>
      <c r="EA32" s="46">
        <v>0</v>
      </c>
      <c r="EB32" s="46">
        <v>0</v>
      </c>
      <c r="EC32" s="46">
        <v>0</v>
      </c>
      <c r="ED32" s="46">
        <v>0</v>
      </c>
      <c r="EE32" s="46">
        <v>0</v>
      </c>
      <c r="EF32" s="46">
        <v>0</v>
      </c>
      <c r="EG32" s="46">
        <v>0</v>
      </c>
      <c r="EH32" s="46">
        <v>0</v>
      </c>
      <c r="EI32" s="46">
        <v>0</v>
      </c>
      <c r="EJ32" s="46">
        <v>0</v>
      </c>
      <c r="EK32" s="46">
        <v>0</v>
      </c>
      <c r="EL32" s="46">
        <v>0</v>
      </c>
      <c r="EM32" s="46">
        <v>0</v>
      </c>
      <c r="EN32" s="46">
        <v>0</v>
      </c>
      <c r="EO32" s="46">
        <v>0</v>
      </c>
      <c r="EP32" s="46">
        <v>0</v>
      </c>
      <c r="EQ32" s="46">
        <v>0</v>
      </c>
      <c r="ER32" s="46">
        <v>0</v>
      </c>
      <c r="ES32" s="46">
        <v>0</v>
      </c>
      <c r="ET32" s="46">
        <v>0</v>
      </c>
      <c r="EU32" s="46">
        <v>0</v>
      </c>
      <c r="EV32" s="46">
        <v>0</v>
      </c>
      <c r="EW32" s="46">
        <v>0</v>
      </c>
      <c r="EX32" s="46">
        <v>0</v>
      </c>
      <c r="EY32" s="46">
        <v>0</v>
      </c>
      <c r="EZ32" s="46">
        <v>0</v>
      </c>
      <c r="FA32" s="46">
        <v>0</v>
      </c>
      <c r="FB32" s="46">
        <v>0</v>
      </c>
      <c r="FC32" s="46">
        <v>0</v>
      </c>
      <c r="FD32" s="46">
        <v>0</v>
      </c>
      <c r="FE32" s="46">
        <v>0</v>
      </c>
      <c r="FF32" s="46">
        <v>0</v>
      </c>
      <c r="FG32" s="46">
        <v>0</v>
      </c>
      <c r="FH32" s="46">
        <v>0</v>
      </c>
      <c r="FI32" s="46">
        <v>0</v>
      </c>
      <c r="FJ32" s="46">
        <v>0</v>
      </c>
      <c r="FK32" s="46">
        <v>0</v>
      </c>
      <c r="FL32" s="46">
        <v>0</v>
      </c>
      <c r="FM32" s="46">
        <v>2265</v>
      </c>
      <c r="FN32" s="46">
        <v>5000268</v>
      </c>
      <c r="FO32" s="46">
        <v>3771794</v>
      </c>
      <c r="FP32" s="46">
        <v>0</v>
      </c>
      <c r="FQ32" s="46">
        <v>0</v>
      </c>
      <c r="FR32" s="46">
        <v>0</v>
      </c>
      <c r="FS32" s="46">
        <v>0</v>
      </c>
      <c r="FT32" s="46">
        <v>0</v>
      </c>
      <c r="FU32" s="46">
        <v>0</v>
      </c>
      <c r="FV32" s="46">
        <v>0</v>
      </c>
      <c r="FW32" s="46">
        <v>0</v>
      </c>
      <c r="FX32" s="46">
        <v>0</v>
      </c>
      <c r="FY32" s="46">
        <v>0</v>
      </c>
      <c r="FZ32" s="46">
        <v>0</v>
      </c>
      <c r="GA32" s="46">
        <v>0</v>
      </c>
      <c r="GB32" s="46">
        <v>0</v>
      </c>
      <c r="GC32" s="46">
        <v>0</v>
      </c>
      <c r="GD32" s="46">
        <v>0</v>
      </c>
      <c r="GE32" s="46">
        <v>0</v>
      </c>
      <c r="GF32" s="46">
        <v>0</v>
      </c>
      <c r="GG32" s="46">
        <v>0</v>
      </c>
      <c r="GH32" s="46">
        <v>0</v>
      </c>
      <c r="GI32" s="46">
        <v>0</v>
      </c>
      <c r="GJ32" s="46">
        <v>0</v>
      </c>
      <c r="GK32" s="46">
        <v>0</v>
      </c>
      <c r="GL32" s="46">
        <v>0</v>
      </c>
      <c r="GM32" s="46">
        <v>0</v>
      </c>
      <c r="GN32" s="46">
        <v>-92</v>
      </c>
      <c r="GO32" s="46">
        <v>-247904</v>
      </c>
      <c r="GP32" s="46">
        <v>-181990</v>
      </c>
      <c r="GQ32" s="46">
        <v>0</v>
      </c>
      <c r="GR32" s="46">
        <v>0</v>
      </c>
      <c r="GS32" s="46">
        <v>0</v>
      </c>
      <c r="GT32" s="46">
        <v>0</v>
      </c>
      <c r="GU32" s="46">
        <v>0</v>
      </c>
      <c r="GV32" s="46">
        <v>0</v>
      </c>
      <c r="GW32" s="46">
        <v>0</v>
      </c>
      <c r="GX32" s="46">
        <v>0</v>
      </c>
      <c r="GY32" s="46">
        <v>0</v>
      </c>
      <c r="GZ32" s="46">
        <v>0</v>
      </c>
      <c r="HA32" s="46">
        <v>0</v>
      </c>
      <c r="HB32" s="46">
        <v>0</v>
      </c>
      <c r="HC32" s="46">
        <v>0</v>
      </c>
      <c r="HD32" s="46">
        <v>0</v>
      </c>
      <c r="HE32" s="46">
        <v>0</v>
      </c>
      <c r="HF32" s="46">
        <v>-1153</v>
      </c>
      <c r="HG32" s="46">
        <v>-2022925</v>
      </c>
      <c r="HH32" s="46">
        <v>-2359610</v>
      </c>
      <c r="HI32" s="46">
        <v>0</v>
      </c>
      <c r="HJ32" s="46">
        <v>0</v>
      </c>
      <c r="HK32" s="46">
        <v>0</v>
      </c>
      <c r="HL32" s="46">
        <v>0</v>
      </c>
      <c r="HM32" s="46">
        <v>0</v>
      </c>
      <c r="HN32" s="46">
        <v>0</v>
      </c>
      <c r="HO32" s="46">
        <v>0</v>
      </c>
      <c r="HP32" s="46">
        <v>0</v>
      </c>
      <c r="HQ32" s="46">
        <v>0</v>
      </c>
      <c r="HR32" s="46">
        <v>7026568</v>
      </c>
      <c r="HS32" s="46">
        <v>0</v>
      </c>
      <c r="HT32" s="46">
        <v>0</v>
      </c>
      <c r="HU32" s="46">
        <v>0</v>
      </c>
      <c r="HV32" s="46">
        <v>0</v>
      </c>
      <c r="HW32" s="46">
        <v>0</v>
      </c>
      <c r="HX32" s="46">
        <v>0</v>
      </c>
      <c r="HY32" s="46">
        <v>0</v>
      </c>
      <c r="HZ32" s="46">
        <v>0</v>
      </c>
      <c r="IA32" s="46">
        <v>0</v>
      </c>
      <c r="IB32" s="46">
        <v>0</v>
      </c>
      <c r="IC32" s="46">
        <v>0</v>
      </c>
      <c r="ID32" s="46">
        <v>0</v>
      </c>
      <c r="IE32" s="46">
        <v>0</v>
      </c>
      <c r="IF32" s="46">
        <v>0</v>
      </c>
      <c r="IG32" s="46">
        <v>0</v>
      </c>
      <c r="IH32" s="46">
        <v>0</v>
      </c>
      <c r="II32" s="46">
        <v>0</v>
      </c>
      <c r="IJ32" s="46">
        <v>0</v>
      </c>
      <c r="IK32" s="46">
        <v>0</v>
      </c>
      <c r="IL32" s="46">
        <v>0</v>
      </c>
      <c r="IM32" s="46">
        <v>0</v>
      </c>
      <c r="IN32" s="46">
        <v>0</v>
      </c>
      <c r="IO32" s="46">
        <v>0</v>
      </c>
      <c r="IP32" s="46">
        <v>157619</v>
      </c>
      <c r="IQ32" s="46">
        <v>277974</v>
      </c>
      <c r="IR32" s="46">
        <v>0</v>
      </c>
      <c r="IS32" s="46">
        <v>183</v>
      </c>
      <c r="IT32" s="46">
        <v>0</v>
      </c>
      <c r="IU32" s="46">
        <v>1168655</v>
      </c>
      <c r="IV32" s="46">
        <v>0</v>
      </c>
      <c r="IW32" s="46">
        <v>0</v>
      </c>
      <c r="IX32" s="46">
        <v>0</v>
      </c>
      <c r="IY32" s="46">
        <v>0</v>
      </c>
      <c r="IZ32" s="46">
        <v>0</v>
      </c>
      <c r="JA32" s="46">
        <v>0</v>
      </c>
      <c r="JB32" s="46">
        <v>0</v>
      </c>
      <c r="JC32" s="46">
        <v>0</v>
      </c>
      <c r="JD32" s="46">
        <v>0</v>
      </c>
      <c r="JE32" s="46">
        <v>0</v>
      </c>
      <c r="JF32" s="46">
        <v>0</v>
      </c>
      <c r="JG32" s="46">
        <v>0</v>
      </c>
      <c r="JH32" s="46">
        <v>0</v>
      </c>
      <c r="JI32" s="46">
        <v>500</v>
      </c>
      <c r="JJ32" s="46">
        <v>7485</v>
      </c>
      <c r="JK32" s="46">
        <v>458275</v>
      </c>
      <c r="JL32" s="46">
        <v>0</v>
      </c>
      <c r="JM32" s="46">
        <v>550</v>
      </c>
      <c r="JN32" s="46">
        <v>0</v>
      </c>
      <c r="JO32" s="46">
        <v>0</v>
      </c>
      <c r="JP32" s="46">
        <v>0</v>
      </c>
      <c r="JQ32" s="46">
        <v>0</v>
      </c>
      <c r="JR32" s="46">
        <v>411101</v>
      </c>
      <c r="JS32" s="46">
        <v>0</v>
      </c>
      <c r="JT32" s="46">
        <v>0</v>
      </c>
      <c r="JU32" s="46">
        <v>0</v>
      </c>
      <c r="JV32" s="46">
        <v>0</v>
      </c>
      <c r="JW32" s="46">
        <v>0</v>
      </c>
      <c r="JX32" s="46">
        <v>0</v>
      </c>
      <c r="JY32" s="46">
        <v>0</v>
      </c>
      <c r="JZ32" s="46">
        <v>0</v>
      </c>
      <c r="KA32" s="46">
        <v>0</v>
      </c>
      <c r="KB32" s="46">
        <v>3248092</v>
      </c>
      <c r="KC32" s="46">
        <v>0</v>
      </c>
      <c r="KD32" s="46">
        <v>0</v>
      </c>
      <c r="KE32" s="46">
        <v>0</v>
      </c>
      <c r="KF32" s="46">
        <v>0</v>
      </c>
      <c r="KG32" s="46">
        <v>0</v>
      </c>
      <c r="KH32" s="46">
        <v>0</v>
      </c>
      <c r="KI32" s="46">
        <v>0</v>
      </c>
      <c r="KJ32" s="46">
        <v>0</v>
      </c>
      <c r="KK32" s="46">
        <v>0</v>
      </c>
      <c r="KL32" s="46">
        <v>0</v>
      </c>
      <c r="KM32" s="46">
        <v>0</v>
      </c>
      <c r="KN32" s="46">
        <v>0</v>
      </c>
      <c r="KO32" s="46">
        <v>0</v>
      </c>
      <c r="KP32" s="46">
        <v>0</v>
      </c>
      <c r="KQ32" s="46">
        <v>33094</v>
      </c>
      <c r="KR32" s="46">
        <v>17971063</v>
      </c>
      <c r="KS32" s="46">
        <v>1039580</v>
      </c>
      <c r="KT32" s="46">
        <v>0</v>
      </c>
      <c r="KU32" s="46">
        <v>248793</v>
      </c>
      <c r="KV32" s="46">
        <v>0</v>
      </c>
      <c r="KW32" s="46">
        <v>0</v>
      </c>
      <c r="KX32" s="46">
        <v>0</v>
      </c>
      <c r="KY32" s="46">
        <v>0</v>
      </c>
      <c r="KZ32" s="46">
        <v>0</v>
      </c>
      <c r="LA32" s="46">
        <v>191980</v>
      </c>
      <c r="LB32" s="46">
        <v>426</v>
      </c>
      <c r="LC32" s="46">
        <v>0</v>
      </c>
      <c r="LD32" s="46">
        <v>165946</v>
      </c>
      <c r="LE32" s="46">
        <v>0</v>
      </c>
      <c r="LF32" s="46">
        <v>0</v>
      </c>
      <c r="LG32" s="46">
        <v>0</v>
      </c>
      <c r="LH32" s="46">
        <v>0</v>
      </c>
      <c r="LI32" s="46">
        <v>0</v>
      </c>
      <c r="LJ32" s="46">
        <v>255020</v>
      </c>
      <c r="LK32" s="46">
        <v>46955</v>
      </c>
      <c r="LL32" s="46">
        <v>9408</v>
      </c>
      <c r="LM32" s="46">
        <v>309206</v>
      </c>
      <c r="LN32" s="46">
        <v>0</v>
      </c>
      <c r="LO32" s="46">
        <v>0</v>
      </c>
      <c r="LP32" s="46">
        <v>0</v>
      </c>
      <c r="LQ32" s="46">
        <v>0</v>
      </c>
      <c r="LR32" s="46">
        <v>0</v>
      </c>
      <c r="LS32" s="46">
        <v>0</v>
      </c>
      <c r="LT32" s="46">
        <v>0</v>
      </c>
      <c r="LU32" s="46">
        <v>0</v>
      </c>
      <c r="LV32" s="46">
        <v>0</v>
      </c>
      <c r="LW32" s="46">
        <v>0</v>
      </c>
      <c r="LX32" s="46">
        <v>0</v>
      </c>
      <c r="LY32" s="46">
        <v>0</v>
      </c>
      <c r="LZ32" s="46">
        <v>0</v>
      </c>
      <c r="MA32" s="46">
        <v>0</v>
      </c>
      <c r="MB32" s="46">
        <v>3177580</v>
      </c>
      <c r="MC32" s="46">
        <v>2755724</v>
      </c>
      <c r="MD32" s="46">
        <v>26732</v>
      </c>
      <c r="ME32" s="46">
        <v>371471</v>
      </c>
      <c r="MF32" s="46">
        <v>0</v>
      </c>
      <c r="MG32" s="46">
        <v>0</v>
      </c>
      <c r="MH32" s="46">
        <v>0</v>
      </c>
      <c r="MI32" s="46">
        <v>0</v>
      </c>
      <c r="MJ32" s="46">
        <v>0</v>
      </c>
      <c r="MK32" s="46">
        <v>1078469</v>
      </c>
      <c r="ML32" s="46">
        <v>3293105</v>
      </c>
      <c r="MM32" s="46">
        <v>1747748</v>
      </c>
      <c r="MN32" s="46">
        <v>26679</v>
      </c>
      <c r="MO32" s="46">
        <v>18696</v>
      </c>
      <c r="MP32" s="46">
        <v>0</v>
      </c>
      <c r="MQ32" s="46">
        <v>0</v>
      </c>
      <c r="MR32" s="46">
        <v>0</v>
      </c>
      <c r="MS32" s="46">
        <v>0</v>
      </c>
      <c r="MT32" s="46">
        <v>2918539</v>
      </c>
      <c r="MU32" s="46">
        <v>3126411</v>
      </c>
      <c r="MV32" s="46">
        <v>37289</v>
      </c>
      <c r="MW32" s="46">
        <v>91813</v>
      </c>
      <c r="MX32" s="46">
        <v>0</v>
      </c>
      <c r="MY32" s="46">
        <v>0</v>
      </c>
      <c r="MZ32" s="46">
        <v>0</v>
      </c>
      <c r="NA32" s="46">
        <v>0</v>
      </c>
      <c r="NB32" s="46">
        <v>0</v>
      </c>
      <c r="NC32" s="46">
        <v>864320</v>
      </c>
      <c r="ND32" s="46">
        <v>2421679</v>
      </c>
      <c r="NE32" s="46">
        <v>12000</v>
      </c>
      <c r="NF32" s="46">
        <v>387</v>
      </c>
      <c r="NG32" s="46">
        <v>0</v>
      </c>
      <c r="NH32" s="46">
        <v>0</v>
      </c>
      <c r="NI32" s="46">
        <v>0</v>
      </c>
      <c r="NJ32" s="46">
        <v>0</v>
      </c>
      <c r="NK32" s="46">
        <v>0</v>
      </c>
      <c r="NL32" s="46">
        <v>34739</v>
      </c>
      <c r="NM32" s="46">
        <v>476220</v>
      </c>
      <c r="NN32" s="46">
        <v>41513</v>
      </c>
      <c r="NO32" s="46">
        <v>-1080582</v>
      </c>
      <c r="NP32" s="46">
        <v>0</v>
      </c>
      <c r="NQ32" s="46">
        <v>0</v>
      </c>
      <c r="NR32" s="46">
        <v>0</v>
      </c>
      <c r="NS32" s="46">
        <v>0</v>
      </c>
      <c r="NT32" s="46">
        <v>0</v>
      </c>
      <c r="NU32" s="46">
        <v>0</v>
      </c>
      <c r="NV32" s="46">
        <v>0</v>
      </c>
      <c r="NW32" s="46">
        <v>2603731</v>
      </c>
      <c r="NX32" s="46">
        <v>111077</v>
      </c>
      <c r="NY32" s="46">
        <v>0</v>
      </c>
      <c r="NZ32" s="46">
        <v>0</v>
      </c>
      <c r="OA32" s="46">
        <v>0</v>
      </c>
      <c r="OB32" s="46">
        <v>0</v>
      </c>
      <c r="OC32" s="46">
        <v>0</v>
      </c>
      <c r="OD32" s="46">
        <v>276627</v>
      </c>
      <c r="OE32" s="46">
        <v>7317</v>
      </c>
      <c r="OF32" s="46">
        <v>0</v>
      </c>
      <c r="OG32" s="46">
        <v>52759</v>
      </c>
      <c r="OH32" s="46">
        <v>0</v>
      </c>
      <c r="OI32" s="46">
        <v>0</v>
      </c>
      <c r="OJ32" s="46">
        <v>0</v>
      </c>
      <c r="OK32" s="46">
        <v>0</v>
      </c>
      <c r="OL32" s="46">
        <v>0</v>
      </c>
      <c r="OM32" s="46">
        <v>0</v>
      </c>
      <c r="ON32" s="46">
        <v>21089</v>
      </c>
      <c r="OO32" s="46">
        <v>5964</v>
      </c>
      <c r="OP32" s="46">
        <v>0</v>
      </c>
      <c r="OQ32" s="46">
        <v>0</v>
      </c>
      <c r="OR32" s="46">
        <v>0</v>
      </c>
      <c r="OS32" s="46">
        <v>1637603</v>
      </c>
      <c r="OT32" s="46">
        <v>0</v>
      </c>
      <c r="OU32" s="46">
        <v>16630</v>
      </c>
      <c r="OV32" s="46">
        <v>0</v>
      </c>
      <c r="OW32" s="46">
        <v>0</v>
      </c>
      <c r="OX32" s="46">
        <v>0</v>
      </c>
      <c r="OY32" s="46">
        <v>0</v>
      </c>
      <c r="OZ32" s="46">
        <v>0</v>
      </c>
      <c r="PA32" s="46">
        <v>0</v>
      </c>
      <c r="PB32" s="46">
        <v>-7967917</v>
      </c>
      <c r="PC32" s="46">
        <v>0</v>
      </c>
      <c r="PD32" s="46">
        <v>0</v>
      </c>
      <c r="PE32" s="46">
        <v>1135474</v>
      </c>
      <c r="PF32" s="46">
        <v>6049564</v>
      </c>
      <c r="PG32" s="46">
        <v>-1428114</v>
      </c>
      <c r="PH32" s="46">
        <v>-9786849</v>
      </c>
      <c r="PI32" s="46">
        <v>56325</v>
      </c>
      <c r="PJ32" s="46">
        <v>-626949</v>
      </c>
      <c r="PK32" s="46">
        <v>8002012</v>
      </c>
      <c r="PL32" s="46">
        <v>6357366</v>
      </c>
      <c r="PM32" s="46">
        <v>-602711</v>
      </c>
      <c r="PN32" s="46">
        <v>0</v>
      </c>
      <c r="PO32" s="46">
        <v>0</v>
      </c>
      <c r="PP32" s="46">
        <v>0</v>
      </c>
      <c r="PQ32" s="46">
        <v>0</v>
      </c>
      <c r="PR32" s="46">
        <v>0</v>
      </c>
      <c r="PS32" s="46">
        <v>0</v>
      </c>
      <c r="PT32" s="46">
        <v>14490000</v>
      </c>
      <c r="PU32" s="46">
        <v>0</v>
      </c>
      <c r="PV32" s="46">
        <v>0</v>
      </c>
      <c r="PW32" s="46">
        <v>0</v>
      </c>
      <c r="PX32" s="46">
        <v>0</v>
      </c>
      <c r="PY32" s="46">
        <v>0</v>
      </c>
      <c r="PZ32" s="46">
        <v>0</v>
      </c>
      <c r="QA32" s="46">
        <v>0</v>
      </c>
      <c r="QB32" s="46">
        <v>0</v>
      </c>
      <c r="QC32" s="46">
        <v>0</v>
      </c>
      <c r="QD32" s="46">
        <v>-12748858</v>
      </c>
      <c r="QE32" s="46">
        <v>0</v>
      </c>
      <c r="QF32" s="46">
        <v>0</v>
      </c>
      <c r="QG32" s="46">
        <v>13932</v>
      </c>
      <c r="QH32" s="46">
        <v>0</v>
      </c>
      <c r="QI32" s="46">
        <v>0</v>
      </c>
      <c r="QJ32" s="46">
        <v>0</v>
      </c>
      <c r="QK32" s="46">
        <v>212495</v>
      </c>
      <c r="QL32" s="46">
        <v>0</v>
      </c>
      <c r="QM32" s="46">
        <v>0</v>
      </c>
      <c r="QN32" s="46">
        <v>0</v>
      </c>
      <c r="QO32" s="46">
        <v>0</v>
      </c>
      <c r="QP32" s="46">
        <v>0</v>
      </c>
      <c r="QQ32" s="46">
        <v>0</v>
      </c>
      <c r="QR32" s="46">
        <v>0</v>
      </c>
      <c r="QS32" s="46">
        <v>0</v>
      </c>
      <c r="QT32" s="46">
        <v>62365</v>
      </c>
      <c r="QU32" s="46">
        <v>0</v>
      </c>
      <c r="QV32" s="46">
        <v>0</v>
      </c>
      <c r="QW32" s="46">
        <v>0</v>
      </c>
      <c r="QX32" s="46">
        <v>0</v>
      </c>
      <c r="QY32" s="46">
        <v>0</v>
      </c>
      <c r="QZ32" s="46">
        <v>0</v>
      </c>
      <c r="RA32" s="46">
        <v>0</v>
      </c>
      <c r="RB32" s="46">
        <v>0</v>
      </c>
      <c r="RC32" s="46">
        <v>0</v>
      </c>
      <c r="RD32" s="46">
        <v>-14490000</v>
      </c>
      <c r="RE32" s="46">
        <v>6377000</v>
      </c>
      <c r="RF32" s="46">
        <v>0</v>
      </c>
      <c r="RG32" s="46">
        <v>0</v>
      </c>
      <c r="RH32" s="46">
        <v>0</v>
      </c>
      <c r="RI32" s="46">
        <v>0</v>
      </c>
      <c r="RJ32" s="46">
        <v>0</v>
      </c>
      <c r="RK32" s="46">
        <v>0</v>
      </c>
      <c r="RL32" s="46">
        <v>0</v>
      </c>
      <c r="RM32" s="46">
        <v>0</v>
      </c>
      <c r="RN32" s="46">
        <v>0</v>
      </c>
      <c r="RO32" s="46">
        <v>-7919615</v>
      </c>
      <c r="RP32" s="46">
        <v>0</v>
      </c>
      <c r="RQ32" s="46">
        <v>0</v>
      </c>
      <c r="RR32" s="46">
        <v>0</v>
      </c>
      <c r="RS32" s="46">
        <v>0</v>
      </c>
      <c r="RT32" s="46">
        <v>0</v>
      </c>
      <c r="RU32" s="46">
        <v>0</v>
      </c>
      <c r="RV32" s="46">
        <v>0</v>
      </c>
      <c r="RW32" s="46">
        <v>0</v>
      </c>
      <c r="RX32" s="46">
        <v>0</v>
      </c>
      <c r="RY32" s="46">
        <v>0</v>
      </c>
      <c r="RZ32" s="46">
        <v>0</v>
      </c>
      <c r="SA32" s="46">
        <v>0</v>
      </c>
      <c r="SB32" s="46">
        <v>0</v>
      </c>
      <c r="SC32" s="46">
        <v>0</v>
      </c>
      <c r="SD32" s="46">
        <v>0</v>
      </c>
      <c r="SE32" s="46">
        <v>0</v>
      </c>
      <c r="SF32" s="46">
        <v>0</v>
      </c>
      <c r="SG32" s="46">
        <v>0</v>
      </c>
      <c r="SH32" s="46">
        <v>0</v>
      </c>
      <c r="SI32" s="46">
        <v>0</v>
      </c>
      <c r="SJ32" s="46">
        <v>0</v>
      </c>
      <c r="SK32" s="46">
        <v>0</v>
      </c>
      <c r="SL32" s="46">
        <v>0</v>
      </c>
      <c r="SM32" s="46">
        <v>0</v>
      </c>
      <c r="SN32" s="46">
        <v>0</v>
      </c>
      <c r="SO32" s="46">
        <v>0</v>
      </c>
      <c r="SP32" s="46">
        <v>0</v>
      </c>
      <c r="SQ32" s="46">
        <v>276627</v>
      </c>
      <c r="SR32" s="46">
        <v>7317</v>
      </c>
      <c r="SS32" s="46">
        <v>0</v>
      </c>
      <c r="ST32" s="46">
        <v>52759</v>
      </c>
      <c r="SU32" s="46">
        <v>0</v>
      </c>
      <c r="SV32" s="46">
        <v>0</v>
      </c>
      <c r="SW32" s="46">
        <v>7967917</v>
      </c>
      <c r="SX32" s="46">
        <v>0</v>
      </c>
      <c r="SY32" s="46">
        <v>0</v>
      </c>
      <c r="SZ32" s="46">
        <v>20854</v>
      </c>
      <c r="TA32" s="46">
        <v>0</v>
      </c>
      <c r="TB32" s="46">
        <v>0</v>
      </c>
      <c r="TC32" s="46">
        <v>0</v>
      </c>
      <c r="TD32" s="46">
        <v>116179</v>
      </c>
      <c r="TE32" s="46">
        <v>0</v>
      </c>
      <c r="TF32" s="46">
        <v>134748</v>
      </c>
      <c r="TG32" s="46">
        <v>64922</v>
      </c>
      <c r="TH32" s="46">
        <v>0</v>
      </c>
      <c r="TI32" s="46">
        <v>0</v>
      </c>
      <c r="TJ32" s="46">
        <v>1059538</v>
      </c>
      <c r="TK32" s="46">
        <v>0</v>
      </c>
      <c r="TL32" s="46">
        <v>0</v>
      </c>
      <c r="TM32" s="46">
        <v>0</v>
      </c>
      <c r="TN32" s="46">
        <v>0</v>
      </c>
      <c r="TO32" s="46">
        <v>0</v>
      </c>
      <c r="TP32" s="46">
        <v>0</v>
      </c>
      <c r="TQ32" s="46">
        <v>0</v>
      </c>
      <c r="TR32" s="46">
        <v>0</v>
      </c>
      <c r="TS32" s="46">
        <v>0</v>
      </c>
      <c r="TT32" s="46">
        <v>0</v>
      </c>
      <c r="TU32" s="46">
        <v>0</v>
      </c>
      <c r="TV32" s="46">
        <v>0</v>
      </c>
      <c r="TW32" s="46">
        <v>0</v>
      </c>
      <c r="TX32" s="46">
        <v>0</v>
      </c>
      <c r="TY32" s="46">
        <v>0</v>
      </c>
      <c r="TZ32" s="46">
        <v>0</v>
      </c>
      <c r="UA32" s="46">
        <v>0</v>
      </c>
      <c r="UB32" s="46">
        <v>0</v>
      </c>
      <c r="UC32" s="46">
        <v>0</v>
      </c>
      <c r="UD32" s="46">
        <v>0</v>
      </c>
      <c r="UE32" s="46">
        <v>19259436</v>
      </c>
      <c r="UF32" s="46">
        <v>358352</v>
      </c>
      <c r="UG32" s="46">
        <v>620589</v>
      </c>
      <c r="UH32" s="46">
        <v>0</v>
      </c>
      <c r="UI32" s="46">
        <v>6331507</v>
      </c>
      <c r="UJ32" s="46">
        <v>6164697</v>
      </c>
      <c r="UK32" s="46">
        <v>6174052</v>
      </c>
      <c r="UL32" s="46">
        <v>3298386</v>
      </c>
      <c r="UM32" s="46">
        <v>-528110</v>
      </c>
      <c r="UN32" s="46">
        <v>2714808</v>
      </c>
      <c r="UO32"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336703</v>
      </c>
      <c r="UP32" s="46">
        <f>SUM(Input[[#This Row],[Oth Exp E&amp;G]],Input[[#This Row],[Oth Exp Desg]],Input[[#This Row],[Oth Exp Aux]],Input[[#This Row],[Oth Exp R Exp]],Input[[#This Row],[Oth Exp Loan]],Input[[#This Row],[Oth Exp Annuity]],Input[[#This Row],[Oth Exp Unexp]],Input[[#This Row],[Oth Exp R of Ind]],Input[[#This Row],[Oth Exp Inv in P]])</f>
        <v>1681286</v>
      </c>
      <c r="UQ32" s="46"/>
      <c r="UR32" s="46"/>
      <c r="US32" s="8" t="s">
        <v>862</v>
      </c>
      <c r="UT32" s="47">
        <v>3615704873</v>
      </c>
      <c r="UU32" s="8" t="s">
        <v>76</v>
      </c>
      <c r="UV32" s="8" t="s">
        <v>863</v>
      </c>
      <c r="UW32" s="47">
        <v>3615704815</v>
      </c>
      <c r="UX32" s="8" t="s">
        <v>864</v>
      </c>
      <c r="UY32" s="51" cm="1">
        <f t="array" ref="UY32">IFERROR(_xlfn.IFS(Input[[#This Row],[Type]]="HRI",SUMIFS('FTSE | FTFE'!$P$8:$P$77,'FTSE | FTFE'!$H$8:$H$77,A32),Input[[#This Row],[Type]]="UNIV",SUMIFS('FTSE | FTFE'!$P$104:$P$139,'FTSE | FTFE'!$H$104:$H$139,A32),OR(Input[[#This Row],[Type]]="TSTC",Input[[#This Row],[Type]]="LSC"),SUMIFS('FTSE | FTFE'!$O$88:$O$96,'FTSE | FTFE'!$H$88:$H$96,A32),Input[[#This Row],[Type]]="AHM",SUMIFS(Hidden!$H$42:$H$45,Hidden!$G$42:$G$45,A32)),"N/A")</f>
        <v>2681</v>
      </c>
      <c r="UZ32" s="51" cm="1">
        <f t="array" ref="UZ32">IFERROR(_xlfn.IFS(Input[[#This Row],[Type]]="HRI",SUMIFS('FTSE | FTFE'!$Q$8:$Q$77,'FTSE | FTFE'!$H$8:$H$77,A32),Input[[#This Row],[Type]]="UNIV",SUMIFS('FTSE | FTFE'!$Q$104:$Q$139,'FTSE | FTFE'!$H$104:$H$139,A32),OR(Input[[#This Row],[Type]]="TSTC",Input[[#This Row],[Type]]="LSC"),SUMIFS('FTSE | FTFE'!$P$88:$P$96,'FTSE | FTFE'!$H$88:$H$96,A32)),"N/A")</f>
        <v>96</v>
      </c>
      <c r="VA3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23112187</v>
      </c>
      <c r="VB3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3649703</v>
      </c>
      <c r="VC32" s="46">
        <f>SUM(Input[[#This Row],[Fed G&amp;C E&amp;G]],Input[[#This Row],[Fed G&amp;C Desg]],Input[[#This Row],[Fed G&amp;C R Exp]],Input[[#This Row],[Fed G&amp;C Loan]],Input[[#This Row],[Fed G&amp;C Annuity]],Input[[#This Row],[Fed G&amp;C Unexp]],Input[[#This Row],[Fed G&amp;C R of Ind]],Input[[#This Row],[Fed G&amp;C Inv in P]])</f>
        <v>7026568</v>
      </c>
      <c r="VD3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2507951</v>
      </c>
      <c r="VE3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10384871</v>
      </c>
      <c r="VF3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2730459</v>
      </c>
      <c r="VG32" s="46">
        <f>SUM(Input[[#This Row],[Oth Inc E&amp;G]],Input[[#This Row],[Oth Exp Desg]],Input[[#This Row],[Oth Exp R Exp]],Input[[#This Row],[Oth Exp Loan]],Input[[#This Row],[Oth Exp Annuity]],Input[[#This Row],[Oth Exp Unexp]],Input[[#This Row],[Oth Exp R of Ind]],Input[[#This Row],[Oth Exp Inv in P]])</f>
        <v>1675322</v>
      </c>
      <c r="VH32" s="46">
        <f>SUM(Input[[#This Row],[Instr E&amp;G]],Input[[#This Row],[Instr Desg]],Input[[#This Row],[Instr R Exp]],Input[[#This Row],[Instr Loan]],Input[[#This Row],[Instr Annuity]],Input[[#This Row],[Instr Unexp]],Input[[#This Row],[Instr R of Ind]],Input[[#This Row],[Instr Inv in P]])</f>
        <v>19259436</v>
      </c>
      <c r="VI32" s="46">
        <f>SUM(Input[[#This Row],[Res E&amp;G]],Input[[#This Row],[Res Desg]],Input[[#This Row],[Res R Exp]],Input[[#This Row],[Res Loan]],Input[[#This Row],[Res Annuity]],Input[[#This Row],[Res Unexp]],Input[[#This Row],[Res R of Ind]],Input[[#This Row],[Res Inv in P]])</f>
        <v>358352</v>
      </c>
      <c r="VJ32" s="46">
        <f>SUM(Input[[#This Row],[Acad Sup E&amp;G]],Input[[#This Row],[Acad Sup Desg]],Input[[#This Row],[Acad Sup R Exp]],Input[[#This Row],[Acad Sup Loan]],Input[[#This Row],[Acad Sup Annuity]],Input[[#This Row],[Acad Sup Unexp]],Input[[#This Row],[Acad Sup R of Ind]],Input[[#This Row],[Acad Sup Inv in P]])</f>
        <v>6304775</v>
      </c>
      <c r="VK32" s="46">
        <f>SUM(Input[[#This Row],[Stu Svc E&amp;G]],Input[[#This Row],[Stu Svc Desg]],Input[[#This Row],[Stu Svc R Exp]],Input[[#This Row],[Stu Svc Loan]],Input[[#This Row],[Stu Svc Annuity]],Input[[#This Row],[Stu Svc Unexp]],Input[[#This Row],[Stu Svc R of Ind]],Input[[#This Row],[Stu Svc Inv in P]])</f>
        <v>4416949</v>
      </c>
      <c r="VL32" s="46">
        <f>SUM(Input[[#This Row],[Inst. Spt E&amp;G]],Input[[#This Row],[Inst. Spt Desg]],Input[[#This Row],[Inst. Spt R Exp]],Input[[#This Row],[Inst. Spt Loan]],Input[[#This Row],[Inst. Spt Annuity]],Input[[#This Row],[Inst. Spt Unexp]],Input[[#This Row],[Inst. Spt R of Ind]],Input[[#This Row],[Inst. Spt Inv in P]])</f>
        <v>6136763</v>
      </c>
      <c r="VM32" s="46">
        <f>SUM(Input[[#This Row],[M&amp;O Plnt E&amp;G]],Input[[#This Row],[M&amp;O Plnt Desg]],Input[[#This Row],[M&amp;O Plnt R Exp]],Input[[#This Row],[M&amp;O Plnt Loan]],Input[[#This Row],[M&amp;O Plnt Annuity]],Input[[#This Row],[M&amp;O Plnt Unexp]],Input[[#This Row],[M&amp;O Plnt R of Ind]],Input[[#This Row],[M&amp;O Plnt Inv in P]])</f>
        <v>3286386</v>
      </c>
      <c r="VN32" s="46">
        <f>SUM(Input[[#This Row],[Schl &amp; Fell E&amp;G]],Input[[#This Row],[Schl &amp; Fell Desg]],Input[[#This Row],[Schl &amp; Fell R Exp]],Input[[#This Row],[Schl &amp; Fell Loan]],Input[[#This Row],[Schl &amp; Fell Annuity]],Input[[#This Row],[Schl &amp; Fell Unexp]],Input[[#This Row],[Schl &amp; Fell R of Ind]],Input[[#This Row],[Schl &amp; Fell Inv in P]])</f>
        <v>-569623</v>
      </c>
      <c r="VO32" s="46">
        <f>SUM(Input[[#This Row],[Cap Out fund E&amp;G]],Input[[#This Row],[Cap Out fund Desg]],Input[[#This Row],[Cap Out fund R Exp]],Input[[#This Row],[Cap Out fund Loan]],Input[[#This Row],[Cap Out fund Annuity]],Input[[#This Row],[Cap Out fund Unexp]],Input[[#This Row],[Cap Out fund R of Ind]],Input[[#This Row],[Cap Out fund Inv in P]])</f>
        <v>336703</v>
      </c>
      <c r="VP32" s="46">
        <f>SUM(Input[[#This Row],[Oth Exp E&amp;G]],Input[[#This Row],[Oth Exp Desg]],Input[[#This Row],[Oth Exp R Exp]],Input[[#This Row],[Oth Exp Loan]],Input[[#This Row],[Oth Exp Annuity]],Input[[#This Row],[Oth Exp Unexp]],Input[[#This Row],[Oth Exp R of Ind]],Input[[#This Row],[Oth Exp Inv in P]],Input[[#This Row],[Oth Exp Inv in P]])</f>
        <v>1691952</v>
      </c>
    </row>
    <row r="33" spans="1:588" ht="30" customHeight="1" x14ac:dyDescent="0.3">
      <c r="A33" s="15" t="s">
        <v>171</v>
      </c>
      <c r="B33" s="36" t="s">
        <v>123</v>
      </c>
      <c r="C33" s="36" t="s">
        <v>120</v>
      </c>
      <c r="D33" s="36">
        <v>400</v>
      </c>
      <c r="E33" s="36" t="s">
        <v>134</v>
      </c>
      <c r="F33" s="95" t="s">
        <v>106</v>
      </c>
      <c r="G33" s="46">
        <v>8061201</v>
      </c>
      <c r="H33" s="46">
        <v>0</v>
      </c>
      <c r="I33" s="46">
        <v>0</v>
      </c>
      <c r="J33" s="46">
        <v>0</v>
      </c>
      <c r="K33" s="46">
        <v>0</v>
      </c>
      <c r="L33" s="46">
        <v>0</v>
      </c>
      <c r="M33" s="46">
        <v>0</v>
      </c>
      <c r="N33" s="46">
        <v>0</v>
      </c>
      <c r="O33" s="46">
        <v>0</v>
      </c>
      <c r="P33" s="46">
        <v>0</v>
      </c>
      <c r="Q33" s="46">
        <v>0</v>
      </c>
      <c r="R33" s="46">
        <v>0</v>
      </c>
      <c r="S33" s="46">
        <v>0</v>
      </c>
      <c r="T33" s="46">
        <v>0</v>
      </c>
      <c r="U33" s="46">
        <v>0</v>
      </c>
      <c r="V33" s="46">
        <v>0</v>
      </c>
      <c r="W33" s="46">
        <v>0</v>
      </c>
      <c r="X33" s="46">
        <v>0</v>
      </c>
      <c r="Y33" s="46">
        <v>0</v>
      </c>
      <c r="Z33" s="46">
        <v>0</v>
      </c>
      <c r="AA33" s="46">
        <v>0</v>
      </c>
      <c r="AB33" s="46">
        <v>0</v>
      </c>
      <c r="AC33" s="46">
        <v>0</v>
      </c>
      <c r="AD33" s="46">
        <v>0</v>
      </c>
      <c r="AE33" s="46">
        <v>0</v>
      </c>
      <c r="AF33" s="46">
        <v>0</v>
      </c>
      <c r="AG33" s="46">
        <v>0</v>
      </c>
      <c r="AH33" s="46">
        <v>0</v>
      </c>
      <c r="AI33" s="46">
        <v>0</v>
      </c>
      <c r="AJ33" s="46">
        <v>0</v>
      </c>
      <c r="AK33" s="46">
        <v>0</v>
      </c>
      <c r="AL33" s="46">
        <v>0</v>
      </c>
      <c r="AM33" s="46">
        <v>0</v>
      </c>
      <c r="AN33" s="46">
        <v>0</v>
      </c>
      <c r="AO33" s="46">
        <v>0</v>
      </c>
      <c r="AP33" s="46">
        <v>0</v>
      </c>
      <c r="AQ33" s="46">
        <v>0</v>
      </c>
      <c r="AR33" s="46">
        <v>0</v>
      </c>
      <c r="AS33" s="46">
        <v>0</v>
      </c>
      <c r="AT33" s="46">
        <v>0</v>
      </c>
      <c r="AU33" s="46">
        <v>0</v>
      </c>
      <c r="AV33" s="46">
        <v>0</v>
      </c>
      <c r="AW33" s="46">
        <v>0</v>
      </c>
      <c r="AX33" s="46">
        <v>0</v>
      </c>
      <c r="AY33" s="46">
        <v>0</v>
      </c>
      <c r="AZ33" s="46">
        <v>0</v>
      </c>
      <c r="BA33" s="46">
        <v>0</v>
      </c>
      <c r="BB33" s="46">
        <v>0</v>
      </c>
      <c r="BC33" s="46">
        <v>0</v>
      </c>
      <c r="BD33" s="46">
        <v>0</v>
      </c>
      <c r="BE33" s="46">
        <v>0</v>
      </c>
      <c r="BF33" s="46">
        <v>0</v>
      </c>
      <c r="BG33" s="46">
        <v>0</v>
      </c>
      <c r="BH33" s="46">
        <v>0</v>
      </c>
      <c r="BI33" s="46">
        <v>0</v>
      </c>
      <c r="BJ33" s="46">
        <v>0</v>
      </c>
      <c r="BK33" s="46">
        <v>0</v>
      </c>
      <c r="BL33" s="46">
        <v>0</v>
      </c>
      <c r="BM33" s="46">
        <v>0</v>
      </c>
      <c r="BN33" s="46">
        <v>0</v>
      </c>
      <c r="BO33" s="46">
        <v>0</v>
      </c>
      <c r="BP33" s="46">
        <v>0</v>
      </c>
      <c r="BQ33" s="46">
        <v>0</v>
      </c>
      <c r="BR33" s="46">
        <v>0</v>
      </c>
      <c r="BS33" s="46">
        <v>0</v>
      </c>
      <c r="BT33" s="46">
        <v>0</v>
      </c>
      <c r="BU33" s="46">
        <v>0</v>
      </c>
      <c r="BV33" s="46">
        <v>0</v>
      </c>
      <c r="BW33" s="46">
        <v>0</v>
      </c>
      <c r="BX33" s="46">
        <v>0</v>
      </c>
      <c r="BY33" s="46">
        <v>0</v>
      </c>
      <c r="BZ33" s="46">
        <v>0</v>
      </c>
      <c r="CA33" s="46">
        <v>0</v>
      </c>
      <c r="CB33" s="46">
        <v>0</v>
      </c>
      <c r="CC33" s="46">
        <v>0</v>
      </c>
      <c r="CD33" s="46">
        <v>0</v>
      </c>
      <c r="CE33" s="46">
        <v>0</v>
      </c>
      <c r="CF33" s="46">
        <v>0</v>
      </c>
      <c r="CG33" s="46">
        <v>0</v>
      </c>
      <c r="CH33" s="46">
        <v>0</v>
      </c>
      <c r="CI33" s="46">
        <v>0</v>
      </c>
      <c r="CJ33" s="46">
        <v>0</v>
      </c>
      <c r="CK33" s="46">
        <v>0</v>
      </c>
      <c r="CL33" s="46">
        <v>0</v>
      </c>
      <c r="CM33" s="46">
        <v>0</v>
      </c>
      <c r="CN33" s="46">
        <v>0</v>
      </c>
      <c r="CO33" s="46">
        <v>0</v>
      </c>
      <c r="CP33" s="46">
        <v>0</v>
      </c>
      <c r="CQ33" s="46">
        <v>0</v>
      </c>
      <c r="CR33" s="46">
        <v>0</v>
      </c>
      <c r="CS33" s="46">
        <v>0</v>
      </c>
      <c r="CT33" s="46">
        <v>0</v>
      </c>
      <c r="CU33" s="46">
        <v>0</v>
      </c>
      <c r="CV33" s="46">
        <v>0</v>
      </c>
      <c r="CW33" s="46">
        <v>0</v>
      </c>
      <c r="CX33" s="46">
        <v>0</v>
      </c>
      <c r="CY33" s="46">
        <v>0</v>
      </c>
      <c r="CZ33" s="46">
        <v>0</v>
      </c>
      <c r="DA33" s="46">
        <v>0</v>
      </c>
      <c r="DB33" s="46">
        <v>0</v>
      </c>
      <c r="DC33" s="46">
        <v>0</v>
      </c>
      <c r="DD33" s="46">
        <v>0</v>
      </c>
      <c r="DE33" s="46">
        <v>0</v>
      </c>
      <c r="DF33" s="46">
        <v>0</v>
      </c>
      <c r="DG33" s="46">
        <v>0</v>
      </c>
      <c r="DH33" s="46">
        <v>0</v>
      </c>
      <c r="DI33" s="46">
        <v>0</v>
      </c>
      <c r="DJ33" s="46">
        <v>0</v>
      </c>
      <c r="DK33" s="46">
        <v>0</v>
      </c>
      <c r="DL33" s="46">
        <v>0</v>
      </c>
      <c r="DM33" s="46">
        <v>0</v>
      </c>
      <c r="DN33" s="46">
        <v>0</v>
      </c>
      <c r="DO33" s="46">
        <v>0</v>
      </c>
      <c r="DP33" s="46">
        <v>0</v>
      </c>
      <c r="DQ33" s="46">
        <v>0</v>
      </c>
      <c r="DR33" s="46">
        <v>0</v>
      </c>
      <c r="DS33" s="46">
        <v>0</v>
      </c>
      <c r="DT33" s="46">
        <v>0</v>
      </c>
      <c r="DU33" s="46">
        <v>0</v>
      </c>
      <c r="DV33" s="46">
        <v>0</v>
      </c>
      <c r="DW33" s="46">
        <v>0</v>
      </c>
      <c r="DX33" s="46">
        <v>0</v>
      </c>
      <c r="DY33" s="46">
        <v>0</v>
      </c>
      <c r="DZ33" s="46">
        <v>0</v>
      </c>
      <c r="EA33" s="46">
        <v>0</v>
      </c>
      <c r="EB33" s="46">
        <v>0</v>
      </c>
      <c r="EC33" s="46">
        <v>0</v>
      </c>
      <c r="ED33" s="46">
        <v>0</v>
      </c>
      <c r="EE33" s="46">
        <v>0</v>
      </c>
      <c r="EF33" s="46">
        <v>0</v>
      </c>
      <c r="EG33" s="46">
        <v>0</v>
      </c>
      <c r="EH33" s="46">
        <v>0</v>
      </c>
      <c r="EI33" s="46">
        <v>0</v>
      </c>
      <c r="EJ33" s="46">
        <v>0</v>
      </c>
      <c r="EK33" s="46">
        <v>0</v>
      </c>
      <c r="EL33" s="46">
        <v>0</v>
      </c>
      <c r="EM33" s="46">
        <v>0</v>
      </c>
      <c r="EN33" s="46">
        <v>0</v>
      </c>
      <c r="EO33" s="46">
        <v>0</v>
      </c>
      <c r="EP33" s="46">
        <v>0</v>
      </c>
      <c r="EQ33" s="46">
        <v>0</v>
      </c>
      <c r="ER33" s="46">
        <v>0</v>
      </c>
      <c r="ES33" s="46">
        <v>0</v>
      </c>
      <c r="ET33" s="46">
        <v>0</v>
      </c>
      <c r="EU33" s="46">
        <v>0</v>
      </c>
      <c r="EV33" s="46">
        <v>0</v>
      </c>
      <c r="EW33" s="46">
        <v>0</v>
      </c>
      <c r="EX33" s="46">
        <v>0</v>
      </c>
      <c r="EY33" s="46">
        <v>0</v>
      </c>
      <c r="EZ33" s="46">
        <v>0</v>
      </c>
      <c r="FA33" s="46">
        <v>0</v>
      </c>
      <c r="FB33" s="46">
        <v>0</v>
      </c>
      <c r="FC33" s="46">
        <v>0</v>
      </c>
      <c r="FD33" s="46">
        <v>0</v>
      </c>
      <c r="FE33" s="46">
        <v>0</v>
      </c>
      <c r="FF33" s="46">
        <v>0</v>
      </c>
      <c r="FG33" s="46">
        <v>0</v>
      </c>
      <c r="FH33" s="46">
        <v>0</v>
      </c>
      <c r="FI33" s="46">
        <v>0</v>
      </c>
      <c r="FJ33" s="46">
        <v>0</v>
      </c>
      <c r="FK33" s="46">
        <v>0</v>
      </c>
      <c r="FL33" s="46">
        <v>0</v>
      </c>
      <c r="FM33" s="46">
        <v>0</v>
      </c>
      <c r="FN33" s="46">
        <v>0</v>
      </c>
      <c r="FO33" s="46">
        <v>0</v>
      </c>
      <c r="FP33" s="46">
        <v>0</v>
      </c>
      <c r="FQ33" s="46">
        <v>0</v>
      </c>
      <c r="FR33" s="46">
        <v>0</v>
      </c>
      <c r="FS33" s="46">
        <v>0</v>
      </c>
      <c r="FT33" s="46">
        <v>0</v>
      </c>
      <c r="FU33" s="46">
        <v>0</v>
      </c>
      <c r="FV33" s="46">
        <v>0</v>
      </c>
      <c r="FW33" s="46">
        <v>0</v>
      </c>
      <c r="FX33" s="46">
        <v>0</v>
      </c>
      <c r="FY33" s="46">
        <v>0</v>
      </c>
      <c r="FZ33" s="46">
        <v>0</v>
      </c>
      <c r="GA33" s="46">
        <v>0</v>
      </c>
      <c r="GB33" s="46">
        <v>0</v>
      </c>
      <c r="GC33" s="46">
        <v>0</v>
      </c>
      <c r="GD33" s="46">
        <v>0</v>
      </c>
      <c r="GE33" s="46">
        <v>0</v>
      </c>
      <c r="GF33" s="46">
        <v>0</v>
      </c>
      <c r="GG33" s="46">
        <v>0</v>
      </c>
      <c r="GH33" s="46">
        <v>0</v>
      </c>
      <c r="GI33" s="46">
        <v>0</v>
      </c>
      <c r="GJ33" s="46">
        <v>0</v>
      </c>
      <c r="GK33" s="46">
        <v>0</v>
      </c>
      <c r="GL33" s="46">
        <v>0</v>
      </c>
      <c r="GM33" s="46">
        <v>0</v>
      </c>
      <c r="GN33" s="46">
        <v>0</v>
      </c>
      <c r="GO33" s="46">
        <v>0</v>
      </c>
      <c r="GP33" s="46">
        <v>0</v>
      </c>
      <c r="GQ33" s="46">
        <v>0</v>
      </c>
      <c r="GR33" s="46">
        <v>0</v>
      </c>
      <c r="GS33" s="46">
        <v>0</v>
      </c>
      <c r="GT33" s="46">
        <v>0</v>
      </c>
      <c r="GU33" s="46">
        <v>0</v>
      </c>
      <c r="GV33" s="46">
        <v>0</v>
      </c>
      <c r="GW33" s="46">
        <v>0</v>
      </c>
      <c r="GX33" s="46">
        <v>0</v>
      </c>
      <c r="GY33" s="46">
        <v>0</v>
      </c>
      <c r="GZ33" s="46">
        <v>0</v>
      </c>
      <c r="HA33" s="46">
        <v>0</v>
      </c>
      <c r="HB33" s="46">
        <v>0</v>
      </c>
      <c r="HC33" s="46">
        <v>0</v>
      </c>
      <c r="HD33" s="46">
        <v>0</v>
      </c>
      <c r="HE33" s="46">
        <v>0</v>
      </c>
      <c r="HF33" s="46">
        <v>0</v>
      </c>
      <c r="HG33" s="46">
        <v>0</v>
      </c>
      <c r="HH33" s="46">
        <v>0</v>
      </c>
      <c r="HI33" s="46">
        <v>0</v>
      </c>
      <c r="HJ33" s="46">
        <v>0</v>
      </c>
      <c r="HK33" s="46">
        <v>0</v>
      </c>
      <c r="HL33" s="46">
        <v>0</v>
      </c>
      <c r="HM33" s="46">
        <v>0</v>
      </c>
      <c r="HN33" s="46">
        <v>0</v>
      </c>
      <c r="HO33" s="46">
        <v>0</v>
      </c>
      <c r="HP33" s="46">
        <v>0</v>
      </c>
      <c r="HQ33" s="46">
        <v>0</v>
      </c>
      <c r="HR33" s="46">
        <v>0</v>
      </c>
      <c r="HS33" s="46">
        <v>0</v>
      </c>
      <c r="HT33" s="46">
        <v>0</v>
      </c>
      <c r="HU33" s="46">
        <v>0</v>
      </c>
      <c r="HV33" s="46">
        <v>0</v>
      </c>
      <c r="HW33" s="46">
        <v>0</v>
      </c>
      <c r="HX33" s="46">
        <v>0</v>
      </c>
      <c r="HY33" s="46">
        <v>0</v>
      </c>
      <c r="HZ33" s="46">
        <v>0</v>
      </c>
      <c r="IA33" s="46">
        <v>0</v>
      </c>
      <c r="IB33" s="46">
        <v>0</v>
      </c>
      <c r="IC33" s="46">
        <v>0</v>
      </c>
      <c r="ID33" s="46">
        <v>0</v>
      </c>
      <c r="IE33" s="46">
        <v>0</v>
      </c>
      <c r="IF33" s="46">
        <v>0</v>
      </c>
      <c r="IG33" s="46">
        <v>0</v>
      </c>
      <c r="IH33" s="46">
        <v>0</v>
      </c>
      <c r="II33" s="46">
        <v>0</v>
      </c>
      <c r="IJ33" s="46">
        <v>0</v>
      </c>
      <c r="IK33" s="46">
        <v>0</v>
      </c>
      <c r="IL33" s="46">
        <v>0</v>
      </c>
      <c r="IM33" s="46">
        <v>0</v>
      </c>
      <c r="IN33" s="46">
        <v>0</v>
      </c>
      <c r="IO33" s="46">
        <v>0</v>
      </c>
      <c r="IP33" s="46">
        <v>0</v>
      </c>
      <c r="IQ33" s="46">
        <v>1244418</v>
      </c>
      <c r="IR33" s="46">
        <v>0</v>
      </c>
      <c r="IS33" s="46">
        <v>0</v>
      </c>
      <c r="IT33" s="46">
        <v>0</v>
      </c>
      <c r="IU33" s="46">
        <v>0</v>
      </c>
      <c r="IV33" s="46">
        <v>0</v>
      </c>
      <c r="IW33" s="46">
        <v>0</v>
      </c>
      <c r="IX33" s="46">
        <v>3024607</v>
      </c>
      <c r="IY33" s="46">
        <v>0</v>
      </c>
      <c r="IZ33" s="46">
        <v>0</v>
      </c>
      <c r="JA33" s="46">
        <v>0</v>
      </c>
      <c r="JB33" s="46">
        <v>0</v>
      </c>
      <c r="JC33" s="46">
        <v>0</v>
      </c>
      <c r="JD33" s="46">
        <v>0</v>
      </c>
      <c r="JE33" s="46">
        <v>0</v>
      </c>
      <c r="JF33" s="46">
        <v>0</v>
      </c>
      <c r="JG33" s="46">
        <v>0</v>
      </c>
      <c r="JH33" s="46">
        <v>0</v>
      </c>
      <c r="JI33" s="46">
        <v>0</v>
      </c>
      <c r="JJ33" s="46">
        <v>0</v>
      </c>
      <c r="JK33" s="46">
        <v>0</v>
      </c>
      <c r="JL33" s="46">
        <v>0</v>
      </c>
      <c r="JM33" s="46">
        <v>0</v>
      </c>
      <c r="JN33" s="46">
        <v>0</v>
      </c>
      <c r="JO33" s="46">
        <v>0</v>
      </c>
      <c r="JP33" s="46">
        <v>0</v>
      </c>
      <c r="JQ33" s="46">
        <v>0</v>
      </c>
      <c r="JR33" s="46">
        <v>1111871</v>
      </c>
      <c r="JS33" s="46">
        <v>0</v>
      </c>
      <c r="JT33" s="46">
        <v>0</v>
      </c>
      <c r="JU33" s="46">
        <v>0</v>
      </c>
      <c r="JV33" s="46">
        <v>0</v>
      </c>
      <c r="JW33" s="46">
        <v>0</v>
      </c>
      <c r="JX33" s="46">
        <v>0</v>
      </c>
      <c r="JY33" s="46">
        <v>0</v>
      </c>
      <c r="JZ33" s="46">
        <v>0</v>
      </c>
      <c r="KA33" s="46">
        <v>0</v>
      </c>
      <c r="KB33" s="46">
        <v>2542927</v>
      </c>
      <c r="KC33" s="46">
        <v>0</v>
      </c>
      <c r="KD33" s="46">
        <v>0</v>
      </c>
      <c r="KE33" s="46">
        <v>0</v>
      </c>
      <c r="KF33" s="46">
        <v>0</v>
      </c>
      <c r="KG33" s="46">
        <v>0</v>
      </c>
      <c r="KH33" s="46">
        <v>0</v>
      </c>
      <c r="KI33" s="46">
        <v>0</v>
      </c>
      <c r="KJ33" s="46">
        <v>207791</v>
      </c>
      <c r="KK33" s="46">
        <v>0</v>
      </c>
      <c r="KL33" s="46">
        <v>0</v>
      </c>
      <c r="KM33" s="46">
        <v>0</v>
      </c>
      <c r="KN33" s="46">
        <v>0</v>
      </c>
      <c r="KO33" s="46">
        <v>0</v>
      </c>
      <c r="KP33" s="46">
        <v>0</v>
      </c>
      <c r="KQ33" s="46">
        <v>0</v>
      </c>
      <c r="KR33" s="46">
        <v>0</v>
      </c>
      <c r="KS33" s="46">
        <v>2917947</v>
      </c>
      <c r="KT33" s="46">
        <v>0</v>
      </c>
      <c r="KU33" s="46">
        <v>0</v>
      </c>
      <c r="KV33" s="46">
        <v>0</v>
      </c>
      <c r="KW33" s="46">
        <v>0</v>
      </c>
      <c r="KX33" s="46">
        <v>0</v>
      </c>
      <c r="KY33" s="46">
        <v>0</v>
      </c>
      <c r="KZ33" s="46">
        <v>0</v>
      </c>
      <c r="LA33" s="46">
        <v>0</v>
      </c>
      <c r="LB33" s="46">
        <v>769351</v>
      </c>
      <c r="LC33" s="46">
        <v>0</v>
      </c>
      <c r="LD33" s="46">
        <v>0</v>
      </c>
      <c r="LE33" s="46">
        <v>0</v>
      </c>
      <c r="LF33" s="46">
        <v>0</v>
      </c>
      <c r="LG33" s="46">
        <v>0</v>
      </c>
      <c r="LH33" s="46">
        <v>0</v>
      </c>
      <c r="LI33" s="46">
        <v>0</v>
      </c>
      <c r="LJ33" s="46">
        <v>0</v>
      </c>
      <c r="LK33" s="46">
        <v>406121</v>
      </c>
      <c r="LL33" s="46">
        <v>0</v>
      </c>
      <c r="LM33" s="46">
        <v>0</v>
      </c>
      <c r="LN33" s="46">
        <v>0</v>
      </c>
      <c r="LO33" s="46">
        <v>0</v>
      </c>
      <c r="LP33" s="46">
        <v>0</v>
      </c>
      <c r="LQ33" s="46">
        <v>0</v>
      </c>
      <c r="LR33" s="46">
        <v>0</v>
      </c>
      <c r="LS33" s="46">
        <v>0</v>
      </c>
      <c r="LT33" s="46">
        <v>0</v>
      </c>
      <c r="LU33" s="46">
        <v>0</v>
      </c>
      <c r="LV33" s="46">
        <v>0</v>
      </c>
      <c r="LW33" s="46">
        <v>0</v>
      </c>
      <c r="LX33" s="46">
        <v>0</v>
      </c>
      <c r="LY33" s="46">
        <v>0</v>
      </c>
      <c r="LZ33" s="46">
        <v>0</v>
      </c>
      <c r="MA33" s="46">
        <v>0</v>
      </c>
      <c r="MB33" s="46">
        <v>0</v>
      </c>
      <c r="MC33" s="46">
        <v>1259125</v>
      </c>
      <c r="MD33" s="46">
        <v>0</v>
      </c>
      <c r="ME33" s="46">
        <v>0</v>
      </c>
      <c r="MF33" s="46">
        <v>0</v>
      </c>
      <c r="MG33" s="46">
        <v>0</v>
      </c>
      <c r="MH33" s="46">
        <v>0</v>
      </c>
      <c r="MI33" s="46">
        <v>0</v>
      </c>
      <c r="MJ33" s="46">
        <v>0</v>
      </c>
      <c r="MK33" s="46">
        <v>0</v>
      </c>
      <c r="ML33" s="46">
        <v>1297040</v>
      </c>
      <c r="MM33" s="46">
        <v>0</v>
      </c>
      <c r="MN33" s="46">
        <v>0</v>
      </c>
      <c r="MO33" s="46">
        <v>0</v>
      </c>
      <c r="MP33" s="46">
        <v>0</v>
      </c>
      <c r="MQ33" s="46">
        <v>0</v>
      </c>
      <c r="MR33" s="46">
        <v>0</v>
      </c>
      <c r="MS33" s="46">
        <v>0</v>
      </c>
      <c r="MT33" s="46">
        <v>9139788</v>
      </c>
      <c r="MU33" s="46">
        <v>51861603</v>
      </c>
      <c r="MV33" s="46">
        <v>0</v>
      </c>
      <c r="MW33" s="46">
        <v>0</v>
      </c>
      <c r="MX33" s="46">
        <v>0</v>
      </c>
      <c r="MY33" s="46">
        <v>0</v>
      </c>
      <c r="MZ33" s="46">
        <v>0</v>
      </c>
      <c r="NA33" s="46">
        <v>0</v>
      </c>
      <c r="NB33" s="46">
        <v>4356</v>
      </c>
      <c r="NC33" s="46">
        <v>141823</v>
      </c>
      <c r="ND33" s="46">
        <v>3448699</v>
      </c>
      <c r="NE33" s="46">
        <v>0</v>
      </c>
      <c r="NF33" s="46">
        <v>0</v>
      </c>
      <c r="NG33" s="46">
        <v>0</v>
      </c>
      <c r="NH33" s="46">
        <v>0</v>
      </c>
      <c r="NI33" s="46">
        <v>0</v>
      </c>
      <c r="NJ33" s="46">
        <v>0</v>
      </c>
      <c r="NK33" s="46">
        <v>397717</v>
      </c>
      <c r="NL33" s="46">
        <v>0</v>
      </c>
      <c r="NM33" s="46">
        <v>0</v>
      </c>
      <c r="NN33" s="46">
        <v>0</v>
      </c>
      <c r="NO33" s="46">
        <v>0</v>
      </c>
      <c r="NP33" s="46">
        <v>0</v>
      </c>
      <c r="NQ33" s="46">
        <v>0</v>
      </c>
      <c r="NR33" s="46">
        <v>0</v>
      </c>
      <c r="NS33" s="46">
        <v>0</v>
      </c>
      <c r="NT33" s="46">
        <v>0</v>
      </c>
      <c r="NU33" s="46">
        <v>0</v>
      </c>
      <c r="NV33" s="46">
        <v>0</v>
      </c>
      <c r="NW33" s="46">
        <v>2416795</v>
      </c>
      <c r="NX33" s="46">
        <v>0</v>
      </c>
      <c r="NY33" s="46">
        <v>0</v>
      </c>
      <c r="NZ33" s="46">
        <v>0</v>
      </c>
      <c r="OA33" s="46">
        <v>0</v>
      </c>
      <c r="OB33" s="46">
        <v>0</v>
      </c>
      <c r="OC33" s="46">
        <v>0</v>
      </c>
      <c r="OD33" s="46">
        <v>0</v>
      </c>
      <c r="OE33" s="46">
        <v>766565</v>
      </c>
      <c r="OF33" s="46">
        <v>0</v>
      </c>
      <c r="OG33" s="46">
        <v>0</v>
      </c>
      <c r="OH33" s="46">
        <v>0</v>
      </c>
      <c r="OI33" s="46">
        <v>0</v>
      </c>
      <c r="OJ33" s="46">
        <v>0</v>
      </c>
      <c r="OK33" s="46">
        <v>0</v>
      </c>
      <c r="OL33" s="46">
        <v>0</v>
      </c>
      <c r="OM33" s="46">
        <v>0</v>
      </c>
      <c r="ON33" s="46">
        <v>451750</v>
      </c>
      <c r="OO33" s="46">
        <v>10298</v>
      </c>
      <c r="OP33" s="46">
        <v>0</v>
      </c>
      <c r="OQ33" s="46">
        <v>0</v>
      </c>
      <c r="OR33" s="46">
        <v>0</v>
      </c>
      <c r="OS33" s="46">
        <v>0</v>
      </c>
      <c r="OT33" s="46">
        <v>2072734</v>
      </c>
      <c r="OU33" s="46">
        <v>0</v>
      </c>
      <c r="OV33" s="46">
        <v>0</v>
      </c>
      <c r="OW33" s="46">
        <v>0</v>
      </c>
      <c r="OX33" s="46">
        <v>0</v>
      </c>
      <c r="OY33" s="46">
        <v>0</v>
      </c>
      <c r="OZ33" s="46">
        <v>0</v>
      </c>
      <c r="PA33" s="46">
        <v>0</v>
      </c>
      <c r="PB33" s="46">
        <v>0</v>
      </c>
      <c r="PC33" s="46">
        <v>0</v>
      </c>
      <c r="PD33" s="46">
        <v>-95797507</v>
      </c>
      <c r="PE33" s="46">
        <v>1926408</v>
      </c>
      <c r="PF33" s="46">
        <v>60819829</v>
      </c>
      <c r="PG33" s="46">
        <v>331819</v>
      </c>
      <c r="PH33" s="46">
        <v>0</v>
      </c>
      <c r="PI33" s="46">
        <v>0</v>
      </c>
      <c r="PJ33" s="46">
        <v>0</v>
      </c>
      <c r="PK33" s="46">
        <v>0</v>
      </c>
      <c r="PL33" s="46">
        <v>35290308</v>
      </c>
      <c r="PM33" s="46">
        <v>65802473</v>
      </c>
      <c r="PN33" s="46">
        <v>0</v>
      </c>
      <c r="PO33" s="46">
        <v>0</v>
      </c>
      <c r="PP33" s="46">
        <v>0</v>
      </c>
      <c r="PQ33" s="46">
        <v>0</v>
      </c>
      <c r="PR33" s="46">
        <v>0</v>
      </c>
      <c r="PS33" s="46">
        <v>0</v>
      </c>
      <c r="PT33" s="46">
        <v>0</v>
      </c>
      <c r="PU33" s="46">
        <v>0</v>
      </c>
      <c r="PV33" s="46">
        <v>0</v>
      </c>
      <c r="PW33" s="46">
        <v>0</v>
      </c>
      <c r="PX33" s="46">
        <v>-22411</v>
      </c>
      <c r="PY33" s="46">
        <v>0</v>
      </c>
      <c r="PZ33" s="46">
        <v>0</v>
      </c>
      <c r="QA33" s="46">
        <v>0</v>
      </c>
      <c r="QB33" s="46">
        <v>0</v>
      </c>
      <c r="QC33" s="46">
        <v>0</v>
      </c>
      <c r="QD33" s="46">
        <v>-34134827</v>
      </c>
      <c r="QE33" s="46">
        <v>3721077</v>
      </c>
      <c r="QF33" s="46">
        <v>0</v>
      </c>
      <c r="QG33" s="46">
        <v>560907</v>
      </c>
      <c r="QH33" s="46">
        <v>0</v>
      </c>
      <c r="QI33" s="46">
        <v>0</v>
      </c>
      <c r="QJ33" s="46">
        <v>0</v>
      </c>
      <c r="QK33" s="46">
        <v>0</v>
      </c>
      <c r="QL33" s="46">
        <v>0</v>
      </c>
      <c r="QM33" s="46">
        <v>0</v>
      </c>
      <c r="QN33" s="46">
        <v>0</v>
      </c>
      <c r="QO33" s="46">
        <v>0</v>
      </c>
      <c r="QP33" s="46">
        <v>0</v>
      </c>
      <c r="QQ33" s="46">
        <v>0</v>
      </c>
      <c r="QR33" s="46">
        <v>0</v>
      </c>
      <c r="QS33" s="46">
        <v>0</v>
      </c>
      <c r="QT33" s="46">
        <v>0</v>
      </c>
      <c r="QU33" s="46">
        <v>0</v>
      </c>
      <c r="QV33" s="46">
        <v>0</v>
      </c>
      <c r="QW33" s="46">
        <v>0</v>
      </c>
      <c r="QX33" s="46">
        <v>0</v>
      </c>
      <c r="QY33" s="46">
        <v>0</v>
      </c>
      <c r="QZ33" s="46">
        <v>0</v>
      </c>
      <c r="RA33" s="46">
        <v>0</v>
      </c>
      <c r="RB33" s="46">
        <v>0</v>
      </c>
      <c r="RC33" s="46">
        <v>0</v>
      </c>
      <c r="RD33" s="46">
        <v>0</v>
      </c>
      <c r="RE33" s="46">
        <v>0</v>
      </c>
      <c r="RF33" s="46">
        <v>0</v>
      </c>
      <c r="RG33" s="46">
        <v>0</v>
      </c>
      <c r="RH33" s="46">
        <v>0</v>
      </c>
      <c r="RI33" s="46">
        <v>0</v>
      </c>
      <c r="RJ33" s="46">
        <v>0</v>
      </c>
      <c r="RK33" s="46">
        <v>0</v>
      </c>
      <c r="RL33" s="46">
        <v>0</v>
      </c>
      <c r="RM33" s="46">
        <v>0</v>
      </c>
      <c r="RN33" s="46">
        <v>0</v>
      </c>
      <c r="RO33" s="46">
        <v>-7822214</v>
      </c>
      <c r="RP33" s="46">
        <v>0</v>
      </c>
      <c r="RQ33" s="46">
        <v>0</v>
      </c>
      <c r="RR33" s="46">
        <v>0</v>
      </c>
      <c r="RS33" s="46">
        <v>0</v>
      </c>
      <c r="RT33" s="46">
        <v>0</v>
      </c>
      <c r="RU33" s="46">
        <v>0</v>
      </c>
      <c r="RV33" s="46">
        <v>0</v>
      </c>
      <c r="RW33" s="46">
        <v>0</v>
      </c>
      <c r="RX33" s="46">
        <v>-1376135</v>
      </c>
      <c r="RY33" s="46">
        <v>0</v>
      </c>
      <c r="RZ33" s="46">
        <v>0</v>
      </c>
      <c r="SA33" s="46">
        <v>0</v>
      </c>
      <c r="SB33" s="46">
        <v>0</v>
      </c>
      <c r="SC33" s="46">
        <v>0</v>
      </c>
      <c r="SD33" s="46">
        <v>0</v>
      </c>
      <c r="SE33" s="46">
        <v>0</v>
      </c>
      <c r="SF33" s="46">
        <v>0</v>
      </c>
      <c r="SG33" s="46">
        <v>0</v>
      </c>
      <c r="SH33" s="46">
        <v>0</v>
      </c>
      <c r="SI33" s="46">
        <v>0</v>
      </c>
      <c r="SJ33" s="46">
        <v>0</v>
      </c>
      <c r="SK33" s="46">
        <v>0</v>
      </c>
      <c r="SL33" s="46">
        <v>0</v>
      </c>
      <c r="SM33" s="46">
        <v>0</v>
      </c>
      <c r="SN33" s="46">
        <v>0</v>
      </c>
      <c r="SO33" s="46">
        <v>0</v>
      </c>
      <c r="SP33" s="46">
        <v>155596</v>
      </c>
      <c r="SQ33" s="46">
        <v>0</v>
      </c>
      <c r="SR33" s="46">
        <v>0</v>
      </c>
      <c r="SS33" s="46">
        <v>0</v>
      </c>
      <c r="ST33" s="46">
        <v>0</v>
      </c>
      <c r="SU33" s="46">
        <v>0</v>
      </c>
      <c r="SV33" s="46">
        <v>0</v>
      </c>
      <c r="SW33" s="46">
        <v>0</v>
      </c>
      <c r="SX33" s="46">
        <v>0</v>
      </c>
      <c r="SY33" s="46">
        <v>96564072</v>
      </c>
      <c r="SZ33" s="46">
        <v>0</v>
      </c>
      <c r="TA33" s="46">
        <v>0</v>
      </c>
      <c r="TB33" s="46">
        <v>0</v>
      </c>
      <c r="TC33" s="46">
        <v>0</v>
      </c>
      <c r="TD33" s="46">
        <v>0</v>
      </c>
      <c r="TE33" s="46">
        <v>0</v>
      </c>
      <c r="TF33" s="46">
        <v>0</v>
      </c>
      <c r="TG33" s="46">
        <v>766565</v>
      </c>
      <c r="TH33" s="46">
        <v>0</v>
      </c>
      <c r="TI33" s="46">
        <v>0</v>
      </c>
      <c r="TJ33" s="46">
        <v>0</v>
      </c>
      <c r="TK33" s="46">
        <v>0</v>
      </c>
      <c r="TL33" s="46">
        <v>0</v>
      </c>
      <c r="TM33" s="46">
        <v>0</v>
      </c>
      <c r="TN33" s="46">
        <v>0</v>
      </c>
      <c r="TO33" s="46">
        <v>0</v>
      </c>
      <c r="TP33" s="46">
        <v>0</v>
      </c>
      <c r="TQ33" s="46">
        <v>0</v>
      </c>
      <c r="TR33" s="46">
        <v>0</v>
      </c>
      <c r="TS33" s="46">
        <v>0</v>
      </c>
      <c r="TT33" s="46">
        <v>0</v>
      </c>
      <c r="TU33" s="46">
        <v>0</v>
      </c>
      <c r="TV33" s="46">
        <v>0</v>
      </c>
      <c r="TW33" s="46">
        <v>0</v>
      </c>
      <c r="TX33" s="46">
        <v>0</v>
      </c>
      <c r="TY33" s="46">
        <v>0</v>
      </c>
      <c r="TZ33" s="46">
        <v>0</v>
      </c>
      <c r="UA33" s="46">
        <v>0</v>
      </c>
      <c r="UB33" s="46">
        <v>0</v>
      </c>
      <c r="UC33" s="46">
        <v>0</v>
      </c>
      <c r="UD33" s="46">
        <v>0</v>
      </c>
      <c r="UE33" s="46">
        <v>2917947</v>
      </c>
      <c r="UF33" s="46">
        <v>769351</v>
      </c>
      <c r="UG33" s="46">
        <v>406121</v>
      </c>
      <c r="UH33" s="46">
        <v>0</v>
      </c>
      <c r="UI33" s="46">
        <v>1259125</v>
      </c>
      <c r="UJ33" s="46">
        <v>1297040</v>
      </c>
      <c r="UK33" s="46">
        <v>61005747</v>
      </c>
      <c r="UL33" s="46">
        <v>3988239</v>
      </c>
      <c r="UM33" s="46">
        <v>0</v>
      </c>
      <c r="UN33" s="46">
        <v>2416795</v>
      </c>
      <c r="UO33" s="46" t="s">
        <v>106</v>
      </c>
      <c r="UP33" s="46" t="s">
        <v>106</v>
      </c>
      <c r="UQ33" s="46"/>
      <c r="UR33" s="46"/>
      <c r="US33" s="8" t="s">
        <v>1254</v>
      </c>
      <c r="UT33" s="47">
        <v>9403695097</v>
      </c>
      <c r="UU33" s="8" t="s">
        <v>1255</v>
      </c>
      <c r="UV33" s="8" t="s">
        <v>1256</v>
      </c>
      <c r="UW33" s="47" t="s">
        <v>1257</v>
      </c>
      <c r="UX33" s="8" t="s">
        <v>1258</v>
      </c>
      <c r="UY33" s="51" t="str" cm="1">
        <f t="array" ref="UY33">IFERROR(_xlfn.IFS(Input[[#This Row],[Type]]="HRI",SUMIFS('FTSE | FTFE'!$P$8:$P$77,'FTSE | FTFE'!$H$8:$H$77,A33),Input[[#This Row],[Type]]="UNIV",SUMIFS('FTSE | FTFE'!$P$104:$P$139,'FTSE | FTFE'!$H$104:$H$139,A33),OR(Input[[#This Row],[Type]]="TSTC",Input[[#This Row],[Type]]="LSC"),SUMIFS('FTSE | FTFE'!$O$88:$O$96,'FTSE | FTFE'!$H$88:$H$96,A33),Input[[#This Row],[Type]]="AHM",SUMIFS(Hidden!$H$42:$H$45,Hidden!$G$42:$G$45,A33)),"N/A")</f>
        <v>N/A</v>
      </c>
      <c r="UZ33" s="51" t="str" cm="1">
        <f t="array" ref="UZ33">IFERROR(_xlfn.IFS(Input[[#This Row],[Type]]="HRI",SUMIFS('FTSE | FTFE'!$Q$8:$Q$77,'FTSE | FTFE'!$H$8:$H$77,A33),Input[[#This Row],[Type]]="UNIV",SUMIFS('FTSE | FTFE'!$Q$104:$Q$139,'FTSE | FTFE'!$H$104:$H$139,A33),OR(Input[[#This Row],[Type]]="TSTC",Input[[#This Row],[Type]]="LSC"),SUMIFS('FTSE | FTFE'!$P$88:$P$96,'FTSE | FTFE'!$H$88:$H$96,A33)),"N/A")</f>
        <v>N/A</v>
      </c>
      <c r="VA3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8061201</v>
      </c>
      <c r="VB3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33" s="46">
        <f>SUM(Input[[#This Row],[Fed G&amp;C E&amp;G]],Input[[#This Row],[Fed G&amp;C Desg]],Input[[#This Row],[Fed G&amp;C R Exp]],Input[[#This Row],[Fed G&amp;C Loan]],Input[[#This Row],[Fed G&amp;C Annuity]],Input[[#This Row],[Fed G&amp;C Unexp]],Input[[#This Row],[Fed G&amp;C R of Ind]],Input[[#This Row],[Fed G&amp;C Inv in P]])</f>
        <v>0</v>
      </c>
      <c r="VD3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5588687</v>
      </c>
      <c r="VE3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3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33" s="46">
        <f>SUM(Input[[#This Row],[Oth Inc E&amp;G]],Input[[#This Row],[Oth Exp Desg]],Input[[#This Row],[Oth Exp R Exp]],Input[[#This Row],[Oth Exp Loan]],Input[[#This Row],[Oth Exp Annuity]],Input[[#This Row],[Oth Exp Unexp]],Input[[#This Row],[Oth Exp R of Ind]],Input[[#This Row],[Oth Exp Inv in P]])</f>
        <v>2524484</v>
      </c>
      <c r="VH33" s="46">
        <f>SUM(Input[[#This Row],[Instr E&amp;G]],Input[[#This Row],[Instr Desg]],Input[[#This Row],[Instr R Exp]],Input[[#This Row],[Instr Loan]],Input[[#This Row],[Instr Annuity]],Input[[#This Row],[Instr Unexp]],Input[[#This Row],[Instr R of Ind]],Input[[#This Row],[Instr Inv in P]])</f>
        <v>2917947</v>
      </c>
      <c r="VI33" s="46">
        <f>SUM(Input[[#This Row],[Res E&amp;G]],Input[[#This Row],[Res Desg]],Input[[#This Row],[Res R Exp]],Input[[#This Row],[Res Loan]],Input[[#This Row],[Res Annuity]],Input[[#This Row],[Res Unexp]],Input[[#This Row],[Res R of Ind]],Input[[#This Row],[Res Inv in P]])</f>
        <v>769351</v>
      </c>
      <c r="VJ33" s="46">
        <f>SUM(Input[[#This Row],[Acad Sup E&amp;G]],Input[[#This Row],[Acad Sup Desg]],Input[[#This Row],[Acad Sup R Exp]],Input[[#This Row],[Acad Sup Loan]],Input[[#This Row],[Acad Sup Annuity]],Input[[#This Row],[Acad Sup Unexp]],Input[[#This Row],[Acad Sup R of Ind]],Input[[#This Row],[Acad Sup Inv in P]])</f>
        <v>1259125</v>
      </c>
      <c r="VK33" s="46">
        <f>SUM(Input[[#This Row],[Stu Svc E&amp;G]],Input[[#This Row],[Stu Svc Desg]],Input[[#This Row],[Stu Svc R Exp]],Input[[#This Row],[Stu Svc Loan]],Input[[#This Row],[Stu Svc Annuity]],Input[[#This Row],[Stu Svc Unexp]],Input[[#This Row],[Stu Svc R of Ind]],Input[[#This Row],[Stu Svc Inv in P]])</f>
        <v>1297040</v>
      </c>
      <c r="VL33" s="46">
        <f>SUM(Input[[#This Row],[Inst. Spt E&amp;G]],Input[[#This Row],[Inst. Spt Desg]],Input[[#This Row],[Inst. Spt R Exp]],Input[[#This Row],[Inst. Spt Loan]],Input[[#This Row],[Inst. Spt Annuity]],Input[[#This Row],[Inst. Spt Unexp]],Input[[#This Row],[Inst. Spt R of Ind]],Input[[#This Row],[Inst. Spt Inv in P]])</f>
        <v>61005747</v>
      </c>
      <c r="VM33" s="46">
        <f>SUM(Input[[#This Row],[M&amp;O Plnt E&amp;G]],Input[[#This Row],[M&amp;O Plnt Desg]],Input[[#This Row],[M&amp;O Plnt R Exp]],Input[[#This Row],[M&amp;O Plnt Loan]],Input[[#This Row],[M&amp;O Plnt Annuity]],Input[[#This Row],[M&amp;O Plnt Unexp]],Input[[#This Row],[M&amp;O Plnt R of Ind]],Input[[#This Row],[M&amp;O Plnt Inv in P]])</f>
        <v>3988239</v>
      </c>
      <c r="VN33"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33" s="46">
        <f>SUM(Input[[#This Row],[Cap Out fund E&amp;G]],Input[[#This Row],[Cap Out fund Desg]],Input[[#This Row],[Cap Out fund R Exp]],Input[[#This Row],[Cap Out fund Loan]],Input[[#This Row],[Cap Out fund Annuity]],Input[[#This Row],[Cap Out fund Unexp]],Input[[#This Row],[Cap Out fund R of Ind]],Input[[#This Row],[Cap Out fund Inv in P]])</f>
        <v>766565</v>
      </c>
      <c r="VP33" s="46">
        <f>SUM(Input[[#This Row],[Oth Exp E&amp;G]],Input[[#This Row],[Oth Exp Desg]],Input[[#This Row],[Oth Exp R Exp]],Input[[#This Row],[Oth Exp Loan]],Input[[#This Row],[Oth Exp Annuity]],Input[[#This Row],[Oth Exp Unexp]],Input[[#This Row],[Oth Exp R of Ind]],Input[[#This Row],[Oth Exp Inv in P]],Input[[#This Row],[Oth Exp Inv in P]])</f>
        <v>2524484</v>
      </c>
    </row>
    <row r="34" spans="1:588" ht="30" customHeight="1" x14ac:dyDescent="0.3">
      <c r="A34" s="15" t="s">
        <v>62</v>
      </c>
      <c r="B34" s="36" t="s">
        <v>123</v>
      </c>
      <c r="C34" s="36" t="s">
        <v>110</v>
      </c>
      <c r="D34" s="36">
        <v>401</v>
      </c>
      <c r="E34" s="36" t="s">
        <v>133</v>
      </c>
      <c r="F34" s="95" cm="1">
        <f t="array" ref="F34">IFERROR(_xlfn.IFS(Input[[#This Row],[Type]]="HRI",SUMIFS('FTSE | FTFE'!$I$8:$I$77,'FTSE | FTFE'!$H$8:$H$77,A34),Input[[#This Row],[Type]]="UNIV",SUMIFS('FTSE | FTFE'!$I$104:$I$139,'FTSE | FTFE'!$H$104:$H$139,A34),OR(Input[[#This Row],[Type]]="TSTC",Input[[#This Row],[Type]]="LSC"),SUMIFS('FTSE | FTFE'!$I$88:$I$96,'FTSE | FTFE'!$H$88:$H$96,A34)),"N/A")</f>
        <v>3594</v>
      </c>
      <c r="G34" s="46">
        <v>178929163</v>
      </c>
      <c r="H34" s="46">
        <v>0</v>
      </c>
      <c r="I34" s="46">
        <v>0</v>
      </c>
      <c r="J34" s="46">
        <v>0</v>
      </c>
      <c r="K34" s="46">
        <v>0</v>
      </c>
      <c r="L34" s="46">
        <v>0</v>
      </c>
      <c r="M34" s="46">
        <v>0</v>
      </c>
      <c r="N34" s="46">
        <v>0</v>
      </c>
      <c r="O34" s="46">
        <v>0</v>
      </c>
      <c r="P34" s="46">
        <v>38352386</v>
      </c>
      <c r="Q34" s="46">
        <v>60984894</v>
      </c>
      <c r="R34" s="46">
        <v>0</v>
      </c>
      <c r="S34" s="46">
        <v>1643490</v>
      </c>
      <c r="T34" s="46">
        <v>0</v>
      </c>
      <c r="U34" s="46">
        <v>0</v>
      </c>
      <c r="V34" s="46">
        <v>0</v>
      </c>
      <c r="W34" s="46">
        <v>0</v>
      </c>
      <c r="X34" s="46">
        <v>0</v>
      </c>
      <c r="Y34" s="46">
        <v>38473304</v>
      </c>
      <c r="Z34" s="46">
        <v>0</v>
      </c>
      <c r="AA34" s="46">
        <v>0</v>
      </c>
      <c r="AB34" s="46">
        <v>0</v>
      </c>
      <c r="AC34" s="46">
        <v>0</v>
      </c>
      <c r="AD34" s="46">
        <v>0</v>
      </c>
      <c r="AE34" s="46">
        <v>0</v>
      </c>
      <c r="AF34" s="46">
        <v>0</v>
      </c>
      <c r="AG34" s="46">
        <v>0</v>
      </c>
      <c r="AH34" s="46">
        <v>0</v>
      </c>
      <c r="AI34" s="46">
        <v>0</v>
      </c>
      <c r="AJ34" s="46">
        <v>0</v>
      </c>
      <c r="AK34" s="46">
        <v>0</v>
      </c>
      <c r="AL34" s="46">
        <v>0</v>
      </c>
      <c r="AM34" s="46">
        <v>0</v>
      </c>
      <c r="AN34" s="46">
        <v>0</v>
      </c>
      <c r="AO34" s="46">
        <v>0</v>
      </c>
      <c r="AP34" s="46">
        <v>0</v>
      </c>
      <c r="AQ34" s="46">
        <v>-29564059</v>
      </c>
      <c r="AR34" s="46">
        <v>-59290</v>
      </c>
      <c r="AS34" s="46">
        <v>0</v>
      </c>
      <c r="AT34" s="46">
        <v>0</v>
      </c>
      <c r="AU34" s="46">
        <v>0</v>
      </c>
      <c r="AV34" s="46">
        <v>0</v>
      </c>
      <c r="AW34" s="46">
        <v>0</v>
      </c>
      <c r="AX34" s="46">
        <v>0</v>
      </c>
      <c r="AY34" s="46">
        <v>0</v>
      </c>
      <c r="AZ34" s="46">
        <v>-179734</v>
      </c>
      <c r="BA34" s="46">
        <v>-3224187</v>
      </c>
      <c r="BB34" s="46">
        <v>0</v>
      </c>
      <c r="BC34" s="46">
        <v>0</v>
      </c>
      <c r="BD34" s="46">
        <v>0</v>
      </c>
      <c r="BE34" s="46">
        <v>0</v>
      </c>
      <c r="BF34" s="46">
        <v>0</v>
      </c>
      <c r="BG34" s="46">
        <v>0</v>
      </c>
      <c r="BH34" s="46">
        <v>0</v>
      </c>
      <c r="BI34" s="46">
        <v>-10242742</v>
      </c>
      <c r="BJ34" s="46">
        <v>-12525638</v>
      </c>
      <c r="BK34" s="46">
        <v>0</v>
      </c>
      <c r="BL34" s="46">
        <v>0</v>
      </c>
      <c r="BM34" s="46">
        <v>0</v>
      </c>
      <c r="BN34" s="46">
        <v>0</v>
      </c>
      <c r="BO34" s="46">
        <v>0</v>
      </c>
      <c r="BP34" s="46">
        <v>0</v>
      </c>
      <c r="BQ34" s="46">
        <v>0</v>
      </c>
      <c r="BR34" s="46">
        <v>-861424</v>
      </c>
      <c r="BS34" s="46">
        <v>-1036193</v>
      </c>
      <c r="BT34" s="46">
        <v>0</v>
      </c>
      <c r="BU34" s="46">
        <v>0</v>
      </c>
      <c r="BV34" s="46">
        <v>0</v>
      </c>
      <c r="BW34" s="46">
        <v>0</v>
      </c>
      <c r="BX34" s="46">
        <v>0</v>
      </c>
      <c r="BY34" s="46">
        <v>0</v>
      </c>
      <c r="BZ34" s="46">
        <v>0</v>
      </c>
      <c r="CA34" s="46">
        <v>103397436</v>
      </c>
      <c r="CB34" s="46">
        <v>297408825</v>
      </c>
      <c r="CC34" s="46">
        <v>0</v>
      </c>
      <c r="CD34" s="46">
        <v>0</v>
      </c>
      <c r="CE34" s="46">
        <v>0</v>
      </c>
      <c r="CF34" s="46">
        <v>0</v>
      </c>
      <c r="CG34" s="46">
        <v>0</v>
      </c>
      <c r="CH34" s="46">
        <v>0</v>
      </c>
      <c r="CI34" s="46">
        <v>0</v>
      </c>
      <c r="CJ34" s="46">
        <v>0</v>
      </c>
      <c r="CK34" s="46">
        <v>0</v>
      </c>
      <c r="CL34" s="46">
        <v>0</v>
      </c>
      <c r="CM34" s="46">
        <v>0</v>
      </c>
      <c r="CN34" s="46">
        <v>0</v>
      </c>
      <c r="CO34" s="46">
        <v>0</v>
      </c>
      <c r="CP34" s="46">
        <v>0</v>
      </c>
      <c r="CQ34" s="46">
        <v>0</v>
      </c>
      <c r="CR34" s="46">
        <v>0</v>
      </c>
      <c r="CS34" s="46">
        <v>0</v>
      </c>
      <c r="CT34" s="46">
        <v>0</v>
      </c>
      <c r="CU34" s="46">
        <v>0</v>
      </c>
      <c r="CV34" s="46">
        <v>0</v>
      </c>
      <c r="CW34" s="46">
        <v>0</v>
      </c>
      <c r="CX34" s="46">
        <v>0</v>
      </c>
      <c r="CY34" s="46">
        <v>0</v>
      </c>
      <c r="CZ34" s="46">
        <v>0</v>
      </c>
      <c r="DA34" s="46">
        <v>0</v>
      </c>
      <c r="DB34" s="46">
        <v>0</v>
      </c>
      <c r="DC34" s="46">
        <v>0</v>
      </c>
      <c r="DD34" s="46">
        <v>0</v>
      </c>
      <c r="DE34" s="46">
        <v>0</v>
      </c>
      <c r="DF34" s="46">
        <v>0</v>
      </c>
      <c r="DG34" s="46">
        <v>0</v>
      </c>
      <c r="DH34" s="46">
        <v>0</v>
      </c>
      <c r="DI34" s="46">
        <v>0</v>
      </c>
      <c r="DJ34" s="46">
        <v>0</v>
      </c>
      <c r="DK34" s="46">
        <v>0</v>
      </c>
      <c r="DL34" s="46">
        <v>0</v>
      </c>
      <c r="DM34" s="46">
        <v>0</v>
      </c>
      <c r="DN34" s="46">
        <v>0</v>
      </c>
      <c r="DO34" s="46">
        <v>0</v>
      </c>
      <c r="DP34" s="46">
        <v>0</v>
      </c>
      <c r="DQ34" s="46">
        <v>0</v>
      </c>
      <c r="DR34" s="46">
        <v>0</v>
      </c>
      <c r="DS34" s="46">
        <v>0</v>
      </c>
      <c r="DT34" s="46">
        <v>-44374109</v>
      </c>
      <c r="DU34" s="46">
        <v>-17995934</v>
      </c>
      <c r="DV34" s="46">
        <v>0</v>
      </c>
      <c r="DW34" s="46">
        <v>0</v>
      </c>
      <c r="DX34" s="46">
        <v>0</v>
      </c>
      <c r="DY34" s="46">
        <v>0</v>
      </c>
      <c r="DZ34" s="46">
        <v>0</v>
      </c>
      <c r="EA34" s="46">
        <v>0</v>
      </c>
      <c r="EB34" s="46">
        <v>0</v>
      </c>
      <c r="EC34" s="46">
        <v>0</v>
      </c>
      <c r="ED34" s="46">
        <v>0</v>
      </c>
      <c r="EE34" s="46">
        <v>0</v>
      </c>
      <c r="EF34" s="46">
        <v>0</v>
      </c>
      <c r="EG34" s="46">
        <v>0</v>
      </c>
      <c r="EH34" s="46">
        <v>0</v>
      </c>
      <c r="EI34" s="46">
        <v>0</v>
      </c>
      <c r="EJ34" s="46">
        <v>0</v>
      </c>
      <c r="EK34" s="46">
        <v>0</v>
      </c>
      <c r="EL34" s="46">
        <v>0</v>
      </c>
      <c r="EM34" s="46">
        <v>0</v>
      </c>
      <c r="EN34" s="46">
        <v>0</v>
      </c>
      <c r="EO34" s="46">
        <v>0</v>
      </c>
      <c r="EP34" s="46">
        <v>0</v>
      </c>
      <c r="EQ34" s="46">
        <v>0</v>
      </c>
      <c r="ER34" s="46">
        <v>0</v>
      </c>
      <c r="ES34" s="46">
        <v>0</v>
      </c>
      <c r="ET34" s="46">
        <v>0</v>
      </c>
      <c r="EU34" s="46">
        <v>0</v>
      </c>
      <c r="EV34" s="46">
        <v>0</v>
      </c>
      <c r="EW34" s="46">
        <v>0</v>
      </c>
      <c r="EX34" s="46">
        <v>0</v>
      </c>
      <c r="EY34" s="46">
        <v>0</v>
      </c>
      <c r="EZ34" s="46">
        <v>0</v>
      </c>
      <c r="FA34" s="46">
        <v>0</v>
      </c>
      <c r="FB34" s="46">
        <v>0</v>
      </c>
      <c r="FC34" s="46">
        <v>0</v>
      </c>
      <c r="FD34" s="46">
        <v>0</v>
      </c>
      <c r="FE34" s="46">
        <v>0</v>
      </c>
      <c r="FF34" s="46">
        <v>0</v>
      </c>
      <c r="FG34" s="46">
        <v>0</v>
      </c>
      <c r="FH34" s="46">
        <v>0</v>
      </c>
      <c r="FI34" s="46">
        <v>0</v>
      </c>
      <c r="FJ34" s="46">
        <v>0</v>
      </c>
      <c r="FK34" s="46">
        <v>0</v>
      </c>
      <c r="FL34" s="46">
        <v>0</v>
      </c>
      <c r="FM34" s="46">
        <v>314639</v>
      </c>
      <c r="FN34" s="46">
        <v>156697609</v>
      </c>
      <c r="FO34" s="46">
        <v>19731774</v>
      </c>
      <c r="FP34" s="46">
        <v>0</v>
      </c>
      <c r="FQ34" s="46">
        <v>0</v>
      </c>
      <c r="FR34" s="46">
        <v>0</v>
      </c>
      <c r="FS34" s="46">
        <v>0</v>
      </c>
      <c r="FT34" s="46">
        <v>0</v>
      </c>
      <c r="FU34" s="46">
        <v>0</v>
      </c>
      <c r="FV34" s="46">
        <v>0</v>
      </c>
      <c r="FW34" s="46">
        <v>0</v>
      </c>
      <c r="FX34" s="46">
        <v>0</v>
      </c>
      <c r="FY34" s="46">
        <v>0</v>
      </c>
      <c r="FZ34" s="46">
        <v>0</v>
      </c>
      <c r="GA34" s="46">
        <v>0</v>
      </c>
      <c r="GB34" s="46">
        <v>0</v>
      </c>
      <c r="GC34" s="46">
        <v>0</v>
      </c>
      <c r="GD34" s="46">
        <v>0</v>
      </c>
      <c r="GE34" s="46">
        <v>0</v>
      </c>
      <c r="GF34" s="46">
        <v>0</v>
      </c>
      <c r="GG34" s="46">
        <v>0</v>
      </c>
      <c r="GH34" s="46">
        <v>0</v>
      </c>
      <c r="GI34" s="46">
        <v>0</v>
      </c>
      <c r="GJ34" s="46">
        <v>0</v>
      </c>
      <c r="GK34" s="46">
        <v>0</v>
      </c>
      <c r="GL34" s="46">
        <v>0</v>
      </c>
      <c r="GM34" s="46">
        <v>0</v>
      </c>
      <c r="GN34" s="46">
        <v>0</v>
      </c>
      <c r="GO34" s="46">
        <v>0</v>
      </c>
      <c r="GP34" s="46">
        <v>0</v>
      </c>
      <c r="GQ34" s="46">
        <v>0</v>
      </c>
      <c r="GR34" s="46">
        <v>0</v>
      </c>
      <c r="GS34" s="46">
        <v>0</v>
      </c>
      <c r="GT34" s="46">
        <v>0</v>
      </c>
      <c r="GU34" s="46">
        <v>0</v>
      </c>
      <c r="GV34" s="46">
        <v>0</v>
      </c>
      <c r="GW34" s="46">
        <v>0</v>
      </c>
      <c r="GX34" s="46">
        <v>0</v>
      </c>
      <c r="GY34" s="46">
        <v>0</v>
      </c>
      <c r="GZ34" s="46">
        <v>0</v>
      </c>
      <c r="HA34" s="46">
        <v>0</v>
      </c>
      <c r="HB34" s="46">
        <v>0</v>
      </c>
      <c r="HC34" s="46">
        <v>0</v>
      </c>
      <c r="HD34" s="46">
        <v>0</v>
      </c>
      <c r="HE34" s="46">
        <v>0</v>
      </c>
      <c r="HF34" s="46">
        <v>0</v>
      </c>
      <c r="HG34" s="46">
        <v>-101976958</v>
      </c>
      <c r="HH34" s="46">
        <v>-1470212</v>
      </c>
      <c r="HI34" s="46">
        <v>0</v>
      </c>
      <c r="HJ34" s="46">
        <v>0</v>
      </c>
      <c r="HK34" s="46">
        <v>0</v>
      </c>
      <c r="HL34" s="46">
        <v>0</v>
      </c>
      <c r="HM34" s="46">
        <v>0</v>
      </c>
      <c r="HN34" s="46">
        <v>0</v>
      </c>
      <c r="HO34" s="46">
        <v>-9156</v>
      </c>
      <c r="HP34" s="46">
        <v>82845</v>
      </c>
      <c r="HQ34" s="46">
        <v>0</v>
      </c>
      <c r="HR34" s="46">
        <v>148573806</v>
      </c>
      <c r="HS34" s="46">
        <v>0</v>
      </c>
      <c r="HT34" s="46">
        <v>0</v>
      </c>
      <c r="HU34" s="46">
        <v>0</v>
      </c>
      <c r="HV34" s="46">
        <v>0</v>
      </c>
      <c r="HW34" s="46">
        <v>0</v>
      </c>
      <c r="HX34" s="46">
        <v>0</v>
      </c>
      <c r="HY34" s="46">
        <v>0</v>
      </c>
      <c r="HZ34" s="46">
        <v>0</v>
      </c>
      <c r="IA34" s="46">
        <v>0</v>
      </c>
      <c r="IB34" s="46">
        <v>0</v>
      </c>
      <c r="IC34" s="46">
        <v>0</v>
      </c>
      <c r="ID34" s="46">
        <v>0</v>
      </c>
      <c r="IE34" s="46">
        <v>0</v>
      </c>
      <c r="IF34" s="46">
        <v>0</v>
      </c>
      <c r="IG34" s="46">
        <v>0</v>
      </c>
      <c r="IH34" s="46">
        <v>0</v>
      </c>
      <c r="II34" s="46">
        <v>0</v>
      </c>
      <c r="IJ34" s="46">
        <v>0</v>
      </c>
      <c r="IK34" s="46">
        <v>0</v>
      </c>
      <c r="IL34" s="46">
        <v>0</v>
      </c>
      <c r="IM34" s="46">
        <v>0</v>
      </c>
      <c r="IN34" s="46">
        <v>0</v>
      </c>
      <c r="IO34" s="46">
        <v>0</v>
      </c>
      <c r="IP34" s="46">
        <v>3051522</v>
      </c>
      <c r="IQ34" s="46">
        <v>16929367</v>
      </c>
      <c r="IR34" s="46">
        <v>689786</v>
      </c>
      <c r="IS34" s="46">
        <v>25950940</v>
      </c>
      <c r="IT34" s="46">
        <v>477</v>
      </c>
      <c r="IU34" s="46">
        <v>1957371</v>
      </c>
      <c r="IV34" s="46">
        <v>0</v>
      </c>
      <c r="IW34" s="46">
        <v>169505</v>
      </c>
      <c r="IX34" s="46">
        <v>0</v>
      </c>
      <c r="IY34" s="46">
        <v>0</v>
      </c>
      <c r="IZ34" s="46">
        <v>0</v>
      </c>
      <c r="JA34" s="46">
        <v>0</v>
      </c>
      <c r="JB34" s="46">
        <v>995152</v>
      </c>
      <c r="JC34" s="46">
        <v>0</v>
      </c>
      <c r="JD34" s="46">
        <v>0</v>
      </c>
      <c r="JE34" s="46">
        <v>0</v>
      </c>
      <c r="JF34" s="46">
        <v>0</v>
      </c>
      <c r="JG34" s="46">
        <v>0</v>
      </c>
      <c r="JH34" s="46">
        <v>0</v>
      </c>
      <c r="JI34" s="46">
        <v>0</v>
      </c>
      <c r="JJ34" s="46">
        <v>0</v>
      </c>
      <c r="JK34" s="46">
        <v>5211797</v>
      </c>
      <c r="JL34" s="46">
        <v>0</v>
      </c>
      <c r="JM34" s="46">
        <v>0</v>
      </c>
      <c r="JN34" s="46">
        <v>0</v>
      </c>
      <c r="JO34" s="46">
        <v>0</v>
      </c>
      <c r="JP34" s="46">
        <v>0</v>
      </c>
      <c r="JQ34" s="46">
        <v>478127</v>
      </c>
      <c r="JR34" s="46">
        <v>29529975</v>
      </c>
      <c r="JS34" s="46">
        <v>0</v>
      </c>
      <c r="JT34" s="46">
        <v>2090884</v>
      </c>
      <c r="JU34" s="46">
        <v>-52933</v>
      </c>
      <c r="JV34" s="46">
        <v>0</v>
      </c>
      <c r="JW34" s="46">
        <v>0</v>
      </c>
      <c r="JX34" s="46">
        <v>19128</v>
      </c>
      <c r="JY34" s="46">
        <v>0</v>
      </c>
      <c r="JZ34" s="46">
        <v>0</v>
      </c>
      <c r="KA34" s="46">
        <v>0</v>
      </c>
      <c r="KB34" s="46">
        <v>92474366</v>
      </c>
      <c r="KC34" s="46">
        <v>0</v>
      </c>
      <c r="KD34" s="46">
        <v>0</v>
      </c>
      <c r="KE34" s="46">
        <v>0</v>
      </c>
      <c r="KF34" s="46">
        <v>0</v>
      </c>
      <c r="KG34" s="46">
        <v>0</v>
      </c>
      <c r="KH34" s="46">
        <v>0</v>
      </c>
      <c r="KI34" s="46">
        <v>84679</v>
      </c>
      <c r="KJ34" s="46">
        <v>3423297</v>
      </c>
      <c r="KK34" s="46">
        <v>39998</v>
      </c>
      <c r="KL34" s="46">
        <v>112522</v>
      </c>
      <c r="KM34" s="46">
        <v>6158</v>
      </c>
      <c r="KN34" s="46">
        <v>0</v>
      </c>
      <c r="KO34" s="46">
        <v>0</v>
      </c>
      <c r="KP34" s="46">
        <v>-298147</v>
      </c>
      <c r="KQ34" s="46">
        <v>0</v>
      </c>
      <c r="KR34" s="46">
        <v>137737206</v>
      </c>
      <c r="KS34" s="46">
        <v>73671251</v>
      </c>
      <c r="KT34" s="46">
        <v>0</v>
      </c>
      <c r="KU34" s="46">
        <v>3949071</v>
      </c>
      <c r="KV34" s="46">
        <v>0</v>
      </c>
      <c r="KW34" s="46">
        <v>0</v>
      </c>
      <c r="KX34" s="46">
        <v>0</v>
      </c>
      <c r="KY34" s="46">
        <v>0</v>
      </c>
      <c r="KZ34" s="46">
        <v>0</v>
      </c>
      <c r="LA34" s="46">
        <v>48948439</v>
      </c>
      <c r="LB34" s="46">
        <v>15302400</v>
      </c>
      <c r="LC34" s="46">
        <v>0</v>
      </c>
      <c r="LD34" s="46">
        <v>42561752</v>
      </c>
      <c r="LE34" s="46">
        <v>0</v>
      </c>
      <c r="LF34" s="46">
        <v>0</v>
      </c>
      <c r="LG34" s="46">
        <v>0</v>
      </c>
      <c r="LH34" s="46">
        <v>0</v>
      </c>
      <c r="LI34" s="46">
        <v>0</v>
      </c>
      <c r="LJ34" s="46">
        <v>604323</v>
      </c>
      <c r="LK34" s="46">
        <v>5350182</v>
      </c>
      <c r="LL34" s="46">
        <v>0</v>
      </c>
      <c r="LM34" s="46">
        <v>3692786</v>
      </c>
      <c r="LN34" s="46">
        <v>0</v>
      </c>
      <c r="LO34" s="46">
        <v>0</v>
      </c>
      <c r="LP34" s="46">
        <v>0</v>
      </c>
      <c r="LQ34" s="46">
        <v>0</v>
      </c>
      <c r="LR34" s="46">
        <v>0</v>
      </c>
      <c r="LS34" s="46">
        <v>0</v>
      </c>
      <c r="LT34" s="46">
        <v>0</v>
      </c>
      <c r="LU34" s="46">
        <v>0</v>
      </c>
      <c r="LV34" s="46">
        <v>0</v>
      </c>
      <c r="LW34" s="46">
        <v>0</v>
      </c>
      <c r="LX34" s="46">
        <v>0</v>
      </c>
      <c r="LY34" s="46">
        <v>0</v>
      </c>
      <c r="LZ34" s="46">
        <v>0</v>
      </c>
      <c r="MA34" s="46">
        <v>0</v>
      </c>
      <c r="MB34" s="46">
        <v>35258110</v>
      </c>
      <c r="MC34" s="46">
        <v>40645745</v>
      </c>
      <c r="MD34" s="46">
        <v>0</v>
      </c>
      <c r="ME34" s="46">
        <v>1313823</v>
      </c>
      <c r="MF34" s="46">
        <v>0</v>
      </c>
      <c r="MG34" s="46">
        <v>0</v>
      </c>
      <c r="MH34" s="46">
        <v>0</v>
      </c>
      <c r="MI34" s="46">
        <v>0</v>
      </c>
      <c r="MJ34" s="46">
        <v>0</v>
      </c>
      <c r="MK34" s="46">
        <v>19659974</v>
      </c>
      <c r="ML34" s="46">
        <v>86580517</v>
      </c>
      <c r="MM34" s="46">
        <v>0</v>
      </c>
      <c r="MN34" s="46">
        <v>2614700</v>
      </c>
      <c r="MO34" s="46">
        <v>0</v>
      </c>
      <c r="MP34" s="46">
        <v>0</v>
      </c>
      <c r="MQ34" s="46">
        <v>0</v>
      </c>
      <c r="MR34" s="46">
        <v>0</v>
      </c>
      <c r="MS34" s="46">
        <v>0</v>
      </c>
      <c r="MT34" s="46">
        <v>27726708</v>
      </c>
      <c r="MU34" s="46">
        <v>29233562</v>
      </c>
      <c r="MV34" s="46">
        <v>0</v>
      </c>
      <c r="MW34" s="46">
        <v>896325</v>
      </c>
      <c r="MX34" s="46">
        <v>0</v>
      </c>
      <c r="MY34" s="46">
        <v>329809</v>
      </c>
      <c r="MZ34" s="46">
        <v>0</v>
      </c>
      <c r="NA34" s="46">
        <v>0</v>
      </c>
      <c r="NB34" s="46">
        <v>0</v>
      </c>
      <c r="NC34" s="46">
        <v>32455658</v>
      </c>
      <c r="ND34" s="46">
        <v>29576631</v>
      </c>
      <c r="NE34" s="46">
        <v>0</v>
      </c>
      <c r="NF34" s="46">
        <v>132383</v>
      </c>
      <c r="NG34" s="46">
        <v>0</v>
      </c>
      <c r="NH34" s="46">
        <v>0</v>
      </c>
      <c r="NI34" s="46">
        <v>0</v>
      </c>
      <c r="NJ34" s="46">
        <v>0</v>
      </c>
      <c r="NK34" s="46">
        <v>508511</v>
      </c>
      <c r="NL34" s="46">
        <v>19885946</v>
      </c>
      <c r="NM34" s="46">
        <v>-187811</v>
      </c>
      <c r="NN34" s="46">
        <v>743473</v>
      </c>
      <c r="NO34" s="46">
        <v>113244689</v>
      </c>
      <c r="NP34" s="46">
        <v>9282</v>
      </c>
      <c r="NQ34" s="46">
        <v>1000</v>
      </c>
      <c r="NR34" s="46">
        <v>0</v>
      </c>
      <c r="NS34" s="46">
        <v>0</v>
      </c>
      <c r="NT34" s="46">
        <v>0</v>
      </c>
      <c r="NU34" s="46">
        <v>0</v>
      </c>
      <c r="NV34" s="46">
        <v>0</v>
      </c>
      <c r="NW34" s="46">
        <v>69539037</v>
      </c>
      <c r="NX34" s="46">
        <v>0</v>
      </c>
      <c r="NY34" s="46">
        <v>0</v>
      </c>
      <c r="NZ34" s="46">
        <v>0</v>
      </c>
      <c r="OA34" s="46">
        <v>0</v>
      </c>
      <c r="OB34" s="46">
        <v>0</v>
      </c>
      <c r="OC34" s="46">
        <v>0</v>
      </c>
      <c r="OD34" s="46">
        <v>27730127</v>
      </c>
      <c r="OE34" s="46">
        <v>10451223</v>
      </c>
      <c r="OF34" s="46">
        <v>5398881</v>
      </c>
      <c r="OG34" s="46">
        <v>7275865</v>
      </c>
      <c r="OH34" s="46">
        <v>0</v>
      </c>
      <c r="OI34" s="46">
        <v>0</v>
      </c>
      <c r="OJ34" s="46">
        <v>0</v>
      </c>
      <c r="OK34" s="46">
        <v>0</v>
      </c>
      <c r="OL34" s="46">
        <v>0</v>
      </c>
      <c r="OM34" s="46">
        <v>0</v>
      </c>
      <c r="ON34" s="46">
        <v>57778</v>
      </c>
      <c r="OO34" s="46">
        <v>0</v>
      </c>
      <c r="OP34" s="46">
        <v>0</v>
      </c>
      <c r="OQ34" s="46">
        <v>0</v>
      </c>
      <c r="OR34" s="46">
        <v>0</v>
      </c>
      <c r="OS34" s="46">
        <v>0</v>
      </c>
      <c r="OT34" s="46">
        <v>0</v>
      </c>
      <c r="OU34" s="46">
        <v>0</v>
      </c>
      <c r="OV34" s="46">
        <v>0</v>
      </c>
      <c r="OW34" s="46">
        <v>0</v>
      </c>
      <c r="OX34" s="46">
        <v>0</v>
      </c>
      <c r="OY34" s="46">
        <v>0</v>
      </c>
      <c r="OZ34" s="46">
        <v>0</v>
      </c>
      <c r="PA34" s="46">
        <v>0</v>
      </c>
      <c r="PB34" s="46">
        <v>0</v>
      </c>
      <c r="PC34" s="46">
        <v>0</v>
      </c>
      <c r="PD34" s="46">
        <v>-5830113</v>
      </c>
      <c r="PE34" s="46">
        <v>-6257669</v>
      </c>
      <c r="PF34" s="46">
        <v>-64375372</v>
      </c>
      <c r="PG34" s="46">
        <v>-15316849</v>
      </c>
      <c r="PH34" s="46">
        <v>4468626</v>
      </c>
      <c r="PI34" s="46">
        <v>-12844</v>
      </c>
      <c r="PJ34" s="46">
        <v>-1371482</v>
      </c>
      <c r="PK34" s="46">
        <v>0</v>
      </c>
      <c r="PL34" s="46">
        <v>-28740859</v>
      </c>
      <c r="PM34" s="46">
        <v>9977933</v>
      </c>
      <c r="PN34" s="46">
        <v>0</v>
      </c>
      <c r="PO34" s="46">
        <v>0</v>
      </c>
      <c r="PP34" s="46">
        <v>0</v>
      </c>
      <c r="PQ34" s="46">
        <v>0</v>
      </c>
      <c r="PR34" s="46">
        <v>0</v>
      </c>
      <c r="PS34" s="46">
        <v>0</v>
      </c>
      <c r="PT34" s="46">
        <v>0</v>
      </c>
      <c r="PU34" s="46">
        <v>0</v>
      </c>
      <c r="PV34" s="46">
        <v>0</v>
      </c>
      <c r="PW34" s="46">
        <v>0</v>
      </c>
      <c r="PX34" s="46">
        <v>0</v>
      </c>
      <c r="PY34" s="46">
        <v>0</v>
      </c>
      <c r="PZ34" s="46">
        <v>0</v>
      </c>
      <c r="QA34" s="46">
        <v>0</v>
      </c>
      <c r="QB34" s="46">
        <v>0</v>
      </c>
      <c r="QC34" s="46">
        <v>0</v>
      </c>
      <c r="QD34" s="46">
        <v>0</v>
      </c>
      <c r="QE34" s="46">
        <v>-210286</v>
      </c>
      <c r="QF34" s="46">
        <v>0</v>
      </c>
      <c r="QG34" s="46">
        <v>23659966</v>
      </c>
      <c r="QH34" s="46">
        <v>0</v>
      </c>
      <c r="QI34" s="46">
        <v>819</v>
      </c>
      <c r="QJ34" s="46">
        <v>0</v>
      </c>
      <c r="QK34" s="46">
        <v>3938645</v>
      </c>
      <c r="QL34" s="46">
        <v>0</v>
      </c>
      <c r="QM34" s="46">
        <v>0</v>
      </c>
      <c r="QN34" s="46">
        <v>0</v>
      </c>
      <c r="QO34" s="46">
        <v>0</v>
      </c>
      <c r="QP34" s="46">
        <v>0</v>
      </c>
      <c r="QQ34" s="46">
        <v>0</v>
      </c>
      <c r="QR34" s="46">
        <v>0</v>
      </c>
      <c r="QS34" s="46">
        <v>0</v>
      </c>
      <c r="QT34" s="46">
        <v>222092</v>
      </c>
      <c r="QU34" s="46">
        <v>0</v>
      </c>
      <c r="QV34" s="46">
        <v>0</v>
      </c>
      <c r="QW34" s="46">
        <v>0</v>
      </c>
      <c r="QX34" s="46">
        <v>0</v>
      </c>
      <c r="QY34" s="46">
        <v>0</v>
      </c>
      <c r="QZ34" s="46">
        <v>0</v>
      </c>
      <c r="RA34" s="46">
        <v>0</v>
      </c>
      <c r="RB34" s="46">
        <v>0</v>
      </c>
      <c r="RC34" s="46">
        <v>0</v>
      </c>
      <c r="RD34" s="46">
        <v>0</v>
      </c>
      <c r="RE34" s="46">
        <v>0</v>
      </c>
      <c r="RF34" s="46">
        <v>0</v>
      </c>
      <c r="RG34" s="46">
        <v>0</v>
      </c>
      <c r="RH34" s="46">
        <v>0</v>
      </c>
      <c r="RI34" s="46">
        <v>0</v>
      </c>
      <c r="RJ34" s="46">
        <v>0</v>
      </c>
      <c r="RK34" s="46">
        <v>0</v>
      </c>
      <c r="RL34" s="46">
        <v>0</v>
      </c>
      <c r="RM34" s="46">
        <v>0</v>
      </c>
      <c r="RN34" s="46">
        <v>0</v>
      </c>
      <c r="RO34" s="46">
        <v>-79716216</v>
      </c>
      <c r="RP34" s="46">
        <v>0</v>
      </c>
      <c r="RQ34" s="46">
        <v>0</v>
      </c>
      <c r="RR34" s="46">
        <v>0</v>
      </c>
      <c r="RS34" s="46">
        <v>0</v>
      </c>
      <c r="RT34" s="46">
        <v>0</v>
      </c>
      <c r="RU34" s="46">
        <v>0</v>
      </c>
      <c r="RV34" s="46">
        <v>0</v>
      </c>
      <c r="RW34" s="46">
        <v>0</v>
      </c>
      <c r="RX34" s="46">
        <v>-191916</v>
      </c>
      <c r="RY34" s="46">
        <v>0</v>
      </c>
      <c r="RZ34" s="46">
        <v>0</v>
      </c>
      <c r="SA34" s="46">
        <v>0</v>
      </c>
      <c r="SB34" s="46">
        <v>0</v>
      </c>
      <c r="SC34" s="46">
        <v>0</v>
      </c>
      <c r="SD34" s="46">
        <v>0</v>
      </c>
      <c r="SE34" s="46">
        <v>0</v>
      </c>
      <c r="SF34" s="46">
        <v>0</v>
      </c>
      <c r="SG34" s="46">
        <v>0</v>
      </c>
      <c r="SH34" s="46">
        <v>0</v>
      </c>
      <c r="SI34" s="46">
        <v>0</v>
      </c>
      <c r="SJ34" s="46">
        <v>0</v>
      </c>
      <c r="SK34" s="46">
        <v>0</v>
      </c>
      <c r="SL34" s="46">
        <v>0</v>
      </c>
      <c r="SM34" s="46">
        <v>0</v>
      </c>
      <c r="SN34" s="46">
        <v>0</v>
      </c>
      <c r="SO34" s="46">
        <v>0</v>
      </c>
      <c r="SP34" s="46">
        <v>141500</v>
      </c>
      <c r="SQ34" s="46">
        <v>0</v>
      </c>
      <c r="SR34" s="46">
        <v>0</v>
      </c>
      <c r="SS34" s="46">
        <v>0</v>
      </c>
      <c r="ST34" s="46">
        <v>0</v>
      </c>
      <c r="SU34" s="46">
        <v>0</v>
      </c>
      <c r="SV34" s="46">
        <v>0</v>
      </c>
      <c r="SW34" s="46">
        <v>0</v>
      </c>
      <c r="SX34" s="46">
        <v>0</v>
      </c>
      <c r="SY34" s="46">
        <v>53371215</v>
      </c>
      <c r="SZ34" s="46">
        <v>7668213</v>
      </c>
      <c r="TA34" s="46">
        <v>11185510</v>
      </c>
      <c r="TB34" s="46">
        <v>47552</v>
      </c>
      <c r="TC34" s="46">
        <v>0</v>
      </c>
      <c r="TD34" s="46">
        <v>6031220</v>
      </c>
      <c r="TE34" s="46">
        <v>2633798</v>
      </c>
      <c r="TF34" s="46">
        <v>2681544</v>
      </c>
      <c r="TG34" s="46">
        <v>15209378</v>
      </c>
      <c r="TH34" s="46">
        <v>5398881</v>
      </c>
      <c r="TI34" s="46">
        <v>0</v>
      </c>
      <c r="TJ34" s="46">
        <v>44935842</v>
      </c>
      <c r="TK34" s="46">
        <v>0</v>
      </c>
      <c r="TL34" s="46">
        <v>1701099</v>
      </c>
      <c r="TM34" s="46">
        <v>0</v>
      </c>
      <c r="TN34" s="46">
        <v>0</v>
      </c>
      <c r="TO34" s="46">
        <v>0</v>
      </c>
      <c r="TP34" s="46">
        <v>0</v>
      </c>
      <c r="TQ34" s="46">
        <v>0</v>
      </c>
      <c r="TR34" s="46">
        <v>0</v>
      </c>
      <c r="TS34" s="46">
        <v>0</v>
      </c>
      <c r="TT34" s="46">
        <v>0</v>
      </c>
      <c r="TU34" s="46">
        <v>31254</v>
      </c>
      <c r="TV34" s="46">
        <v>0</v>
      </c>
      <c r="TW34" s="46">
        <v>0</v>
      </c>
      <c r="TX34" s="46">
        <v>0</v>
      </c>
      <c r="TY34" s="46">
        <v>0</v>
      </c>
      <c r="TZ34" s="46">
        <v>0</v>
      </c>
      <c r="UA34" s="46">
        <v>0</v>
      </c>
      <c r="UB34" s="46">
        <v>0</v>
      </c>
      <c r="UC34" s="46">
        <v>0</v>
      </c>
      <c r="UD34" s="46">
        <v>0</v>
      </c>
      <c r="UE34" s="46">
        <v>215357528</v>
      </c>
      <c r="UF34" s="46">
        <v>106812591</v>
      </c>
      <c r="UG34" s="46">
        <v>9647291</v>
      </c>
      <c r="UH34" s="46">
        <v>0</v>
      </c>
      <c r="UI34" s="46">
        <v>77217678</v>
      </c>
      <c r="UJ34" s="46">
        <v>108855191</v>
      </c>
      <c r="UK34" s="46">
        <v>58186404</v>
      </c>
      <c r="UL34" s="46">
        <v>62673183</v>
      </c>
      <c r="UM34" s="46">
        <v>133696579</v>
      </c>
      <c r="UN34" s="46">
        <v>69539037</v>
      </c>
      <c r="UO34" s="46" t="s">
        <v>106</v>
      </c>
      <c r="UP34" s="46" t="s">
        <v>106</v>
      </c>
      <c r="UQ34" s="46"/>
      <c r="UR34" s="46"/>
      <c r="US34" s="8" t="s">
        <v>868</v>
      </c>
      <c r="UT34" s="47">
        <v>9403695518</v>
      </c>
      <c r="UU34" s="8" t="s">
        <v>1310</v>
      </c>
      <c r="UV34" s="8" t="s">
        <v>980</v>
      </c>
      <c r="UW34" s="47">
        <v>9403695095</v>
      </c>
      <c r="UX34" s="8" t="s">
        <v>869</v>
      </c>
      <c r="UY34" s="51" cm="1">
        <f t="array" ref="UY34">IFERROR(_xlfn.IFS(Input[[#This Row],[Type]]="HRI",SUMIFS('FTSE | FTFE'!$P$8:$P$77,'FTSE | FTFE'!$H$8:$H$77,A34),Input[[#This Row],[Type]]="UNIV",SUMIFS('FTSE | FTFE'!$P$104:$P$139,'FTSE | FTFE'!$H$104:$H$139,A34),OR(Input[[#This Row],[Type]]="TSTC",Input[[#This Row],[Type]]="LSC"),SUMIFS('FTSE | FTFE'!$O$88:$O$96,'FTSE | FTFE'!$H$88:$H$96,A34),Input[[#This Row],[Type]]="AHM",SUMIFS(Hidden!$H$42:$H$45,Hidden!$G$42:$G$45,A34)),"N/A")</f>
        <v>38778</v>
      </c>
      <c r="UZ34" s="51" cm="1">
        <f t="array" ref="UZ34">IFERROR(_xlfn.IFS(Input[[#This Row],[Type]]="HRI",SUMIFS('FTSE | FTFE'!$Q$8:$Q$77,'FTSE | FTFE'!$H$8:$H$77,A34),Input[[#This Row],[Type]]="UNIV",SUMIFS('FTSE | FTFE'!$Q$104:$Q$139,'FTSE | FTFE'!$H$104:$H$139,A34),OR(Input[[#This Row],[Type]]="TSTC",Input[[#This Row],[Type]]="LSC"),SUMIFS('FTSE | FTFE'!$P$88:$P$96,'FTSE | FTFE'!$H$88:$H$96,A34)),"N/A")</f>
        <v>599</v>
      </c>
      <c r="VA3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279909933</v>
      </c>
      <c r="VB3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38473304</v>
      </c>
      <c r="VC34" s="46">
        <f>SUM(Input[[#This Row],[Fed G&amp;C E&amp;G]],Input[[#This Row],[Fed G&amp;C Desg]],Input[[#This Row],[Fed G&amp;C R Exp]],Input[[#This Row],[Fed G&amp;C Loan]],Input[[#This Row],[Fed G&amp;C Annuity]],Input[[#This Row],[Fed G&amp;C Unexp]],Input[[#This Row],[Fed G&amp;C R of Ind]],Input[[#This Row],[Fed G&amp;C Inv in P]])</f>
        <v>148647495</v>
      </c>
      <c r="VD3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89659821</v>
      </c>
      <c r="VE3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338436218</v>
      </c>
      <c r="VF3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55035290</v>
      </c>
      <c r="VG34" s="46">
        <f>SUM(Input[[#This Row],[Oth Inc E&amp;G]],Input[[#This Row],[Oth Exp Desg]],Input[[#This Row],[Oth Exp R Exp]],Input[[#This Row],[Oth Exp Loan]],Input[[#This Row],[Oth Exp Annuity]],Input[[#This Row],[Oth Exp Unexp]],Input[[#This Row],[Oth Exp R of Ind]],Input[[#This Row],[Oth Exp Inv in P]])</f>
        <v>142457</v>
      </c>
      <c r="VH34" s="46">
        <f>SUM(Input[[#This Row],[Instr E&amp;G]],Input[[#This Row],[Instr Desg]],Input[[#This Row],[Instr R Exp]],Input[[#This Row],[Instr Loan]],Input[[#This Row],[Instr Annuity]],Input[[#This Row],[Instr Unexp]],Input[[#This Row],[Instr R of Ind]],Input[[#This Row],[Instr Inv in P]])</f>
        <v>215357528</v>
      </c>
      <c r="VI34" s="46">
        <f>SUM(Input[[#This Row],[Res E&amp;G]],Input[[#This Row],[Res Desg]],Input[[#This Row],[Res R Exp]],Input[[#This Row],[Res Loan]],Input[[#This Row],[Res Annuity]],Input[[#This Row],[Res Unexp]],Input[[#This Row],[Res R of Ind]],Input[[#This Row],[Res Inv in P]])</f>
        <v>106812591</v>
      </c>
      <c r="VJ34" s="46">
        <f>SUM(Input[[#This Row],[Acad Sup E&amp;G]],Input[[#This Row],[Acad Sup Desg]],Input[[#This Row],[Acad Sup R Exp]],Input[[#This Row],[Acad Sup Loan]],Input[[#This Row],[Acad Sup Annuity]],Input[[#This Row],[Acad Sup Unexp]],Input[[#This Row],[Acad Sup R of Ind]],Input[[#This Row],[Acad Sup Inv in P]])</f>
        <v>77217678</v>
      </c>
      <c r="VK34" s="46">
        <f>SUM(Input[[#This Row],[Stu Svc E&amp;G]],Input[[#This Row],[Stu Svc Desg]],Input[[#This Row],[Stu Svc R Exp]],Input[[#This Row],[Stu Svc Loan]],Input[[#This Row],[Stu Svc Annuity]],Input[[#This Row],[Stu Svc Unexp]],Input[[#This Row],[Stu Svc R of Ind]],Input[[#This Row],[Stu Svc Inv in P]])</f>
        <v>108855191</v>
      </c>
      <c r="VL34" s="46">
        <f>SUM(Input[[#This Row],[Inst. Spt E&amp;G]],Input[[#This Row],[Inst. Spt Desg]],Input[[#This Row],[Inst. Spt R Exp]],Input[[#This Row],[Inst. Spt Loan]],Input[[#This Row],[Inst. Spt Annuity]],Input[[#This Row],[Inst. Spt Unexp]],Input[[#This Row],[Inst. Spt R of Ind]],Input[[#This Row],[Inst. Spt Inv in P]])</f>
        <v>58186404</v>
      </c>
      <c r="VM34" s="46">
        <f>SUM(Input[[#This Row],[M&amp;O Plnt E&amp;G]],Input[[#This Row],[M&amp;O Plnt Desg]],Input[[#This Row],[M&amp;O Plnt R Exp]],Input[[#This Row],[M&amp;O Plnt Loan]],Input[[#This Row],[M&amp;O Plnt Annuity]],Input[[#This Row],[M&amp;O Plnt Unexp]],Input[[#This Row],[M&amp;O Plnt R of Ind]],Input[[#This Row],[M&amp;O Plnt Inv in P]])</f>
        <v>62673183</v>
      </c>
      <c r="VN34" s="46">
        <f>SUM(Input[[#This Row],[Schl &amp; Fell E&amp;G]],Input[[#This Row],[Schl &amp; Fell Desg]],Input[[#This Row],[Schl &amp; Fell R Exp]],Input[[#This Row],[Schl &amp; Fell Loan]],Input[[#This Row],[Schl &amp; Fell Annuity]],Input[[#This Row],[Schl &amp; Fell Unexp]],Input[[#This Row],[Schl &amp; Fell R of Ind]],Input[[#This Row],[Schl &amp; Fell Inv in P]])</f>
        <v>132953106</v>
      </c>
      <c r="VO34" s="46">
        <f>SUM(Input[[#This Row],[Cap Out fund E&amp;G]],Input[[#This Row],[Cap Out fund Desg]],Input[[#This Row],[Cap Out fund R Exp]],Input[[#This Row],[Cap Out fund Loan]],Input[[#This Row],[Cap Out fund Annuity]],Input[[#This Row],[Cap Out fund Unexp]],Input[[#This Row],[Cap Out fund R of Ind]],Input[[#This Row],[Cap Out fund Inv in P]])</f>
        <v>45457215</v>
      </c>
      <c r="VP34" s="46">
        <f>SUM(Input[[#This Row],[Oth Exp E&amp;G]],Input[[#This Row],[Oth Exp Desg]],Input[[#This Row],[Oth Exp R Exp]],Input[[#This Row],[Oth Exp Loan]],Input[[#This Row],[Oth Exp Annuity]],Input[[#This Row],[Oth Exp Unexp]],Input[[#This Row],[Oth Exp R of Ind]],Input[[#This Row],[Oth Exp Inv in P]],Input[[#This Row],[Oth Exp Inv in P]])</f>
        <v>57778</v>
      </c>
    </row>
    <row r="35" spans="1:588" ht="30" customHeight="1" x14ac:dyDescent="0.3">
      <c r="A35" s="15" t="s">
        <v>25</v>
      </c>
      <c r="B35" s="36" t="s">
        <v>123</v>
      </c>
      <c r="C35" s="36" t="s">
        <v>110</v>
      </c>
      <c r="D35" s="36">
        <v>402</v>
      </c>
      <c r="E35" s="36" t="s">
        <v>132</v>
      </c>
      <c r="F35" s="95" cm="1">
        <f t="array" ref="F35">IFERROR(_xlfn.IFS(Input[[#This Row],[Type]]="HRI",SUMIFS('FTSE | FTFE'!$I$8:$I$77,'FTSE | FTFE'!$H$8:$H$77,A35),Input[[#This Row],[Type]]="UNIV",SUMIFS('FTSE | FTFE'!$I$104:$I$139,'FTSE | FTFE'!$H$104:$H$139,A35),OR(Input[[#This Row],[Type]]="TSTC",Input[[#This Row],[Type]]="LSC"),SUMIFS('FTSE | FTFE'!$I$88:$I$96,'FTSE | FTFE'!$H$88:$H$96,A35)),"N/A")</f>
        <v>42421</v>
      </c>
      <c r="G35" s="46">
        <v>46089378</v>
      </c>
      <c r="H35" s="46">
        <v>0</v>
      </c>
      <c r="I35" s="46">
        <v>0</v>
      </c>
      <c r="J35" s="46">
        <v>0</v>
      </c>
      <c r="K35" s="46">
        <v>0</v>
      </c>
      <c r="L35" s="46">
        <v>0</v>
      </c>
      <c r="M35" s="46">
        <v>0</v>
      </c>
      <c r="N35" s="46">
        <v>0</v>
      </c>
      <c r="O35" s="46">
        <v>0</v>
      </c>
      <c r="P35" s="46">
        <v>4439509</v>
      </c>
      <c r="Q35" s="46">
        <v>3446</v>
      </c>
      <c r="R35" s="46">
        <v>0</v>
      </c>
      <c r="S35" s="46">
        <v>3892334</v>
      </c>
      <c r="T35" s="46">
        <v>0</v>
      </c>
      <c r="U35" s="46">
        <v>0</v>
      </c>
      <c r="V35" s="46">
        <v>0</v>
      </c>
      <c r="W35" s="46">
        <v>0</v>
      </c>
      <c r="X35" s="46">
        <v>0</v>
      </c>
      <c r="Y35" s="46">
        <v>3455644</v>
      </c>
      <c r="Z35" s="46">
        <v>0</v>
      </c>
      <c r="AA35" s="46">
        <v>0</v>
      </c>
      <c r="AB35" s="46">
        <v>0</v>
      </c>
      <c r="AC35" s="46">
        <v>0</v>
      </c>
      <c r="AD35" s="46">
        <v>0</v>
      </c>
      <c r="AE35" s="46">
        <v>0</v>
      </c>
      <c r="AF35" s="46">
        <v>0</v>
      </c>
      <c r="AG35" s="46">
        <v>0</v>
      </c>
      <c r="AH35" s="46">
        <v>0</v>
      </c>
      <c r="AI35" s="46">
        <v>0</v>
      </c>
      <c r="AJ35" s="46">
        <v>0</v>
      </c>
      <c r="AK35" s="46">
        <v>0</v>
      </c>
      <c r="AL35" s="46">
        <v>0</v>
      </c>
      <c r="AM35" s="46">
        <v>0</v>
      </c>
      <c r="AN35" s="46">
        <v>0</v>
      </c>
      <c r="AO35" s="46">
        <v>0</v>
      </c>
      <c r="AP35" s="46">
        <v>0</v>
      </c>
      <c r="AQ35" s="46">
        <v>-306669</v>
      </c>
      <c r="AR35" s="46">
        <v>0</v>
      </c>
      <c r="AS35" s="46">
        <v>0</v>
      </c>
      <c r="AT35" s="46">
        <v>0</v>
      </c>
      <c r="AU35" s="46">
        <v>0</v>
      </c>
      <c r="AV35" s="46">
        <v>0</v>
      </c>
      <c r="AW35" s="46">
        <v>0</v>
      </c>
      <c r="AX35" s="46">
        <v>0</v>
      </c>
      <c r="AY35" s="46">
        <v>0</v>
      </c>
      <c r="AZ35" s="46">
        <v>0</v>
      </c>
      <c r="BA35" s="46">
        <v>0</v>
      </c>
      <c r="BB35" s="46">
        <v>0</v>
      </c>
      <c r="BC35" s="46">
        <v>0</v>
      </c>
      <c r="BD35" s="46">
        <v>0</v>
      </c>
      <c r="BE35" s="46">
        <v>0</v>
      </c>
      <c r="BF35" s="46">
        <v>0</v>
      </c>
      <c r="BG35" s="46">
        <v>0</v>
      </c>
      <c r="BH35" s="46">
        <v>0</v>
      </c>
      <c r="BI35" s="46">
        <v>-440692</v>
      </c>
      <c r="BJ35" s="46">
        <v>-1038665</v>
      </c>
      <c r="BK35" s="46">
        <v>0</v>
      </c>
      <c r="BL35" s="46">
        <v>0</v>
      </c>
      <c r="BM35" s="46">
        <v>0</v>
      </c>
      <c r="BN35" s="46">
        <v>0</v>
      </c>
      <c r="BO35" s="46">
        <v>0</v>
      </c>
      <c r="BP35" s="46">
        <v>0</v>
      </c>
      <c r="BQ35" s="46">
        <v>0</v>
      </c>
      <c r="BR35" s="46">
        <v>-180193</v>
      </c>
      <c r="BS35" s="46">
        <v>0</v>
      </c>
      <c r="BT35" s="46">
        <v>0</v>
      </c>
      <c r="BU35" s="46">
        <v>0</v>
      </c>
      <c r="BV35" s="46">
        <v>0</v>
      </c>
      <c r="BW35" s="46">
        <v>0</v>
      </c>
      <c r="BX35" s="46">
        <v>0</v>
      </c>
      <c r="BY35" s="46">
        <v>0</v>
      </c>
      <c r="BZ35" s="46">
        <v>0</v>
      </c>
      <c r="CA35" s="46">
        <v>9048174</v>
      </c>
      <c r="CB35" s="46">
        <v>21197294</v>
      </c>
      <c r="CC35" s="46">
        <v>0</v>
      </c>
      <c r="CD35" s="46">
        <v>0</v>
      </c>
      <c r="CE35" s="46">
        <v>0</v>
      </c>
      <c r="CF35" s="46">
        <v>0</v>
      </c>
      <c r="CG35" s="46">
        <v>0</v>
      </c>
      <c r="CH35" s="46">
        <v>0</v>
      </c>
      <c r="CI35" s="46">
        <v>0</v>
      </c>
      <c r="CJ35" s="46">
        <v>0</v>
      </c>
      <c r="CK35" s="46">
        <v>0</v>
      </c>
      <c r="CL35" s="46">
        <v>0</v>
      </c>
      <c r="CM35" s="46">
        <v>0</v>
      </c>
      <c r="CN35" s="46">
        <v>0</v>
      </c>
      <c r="CO35" s="46">
        <v>0</v>
      </c>
      <c r="CP35" s="46">
        <v>0</v>
      </c>
      <c r="CQ35" s="46">
        <v>0</v>
      </c>
      <c r="CR35" s="46">
        <v>0</v>
      </c>
      <c r="CS35" s="46">
        <v>0</v>
      </c>
      <c r="CT35" s="46">
        <v>0</v>
      </c>
      <c r="CU35" s="46">
        <v>0</v>
      </c>
      <c r="CV35" s="46">
        <v>0</v>
      </c>
      <c r="CW35" s="46">
        <v>0</v>
      </c>
      <c r="CX35" s="46">
        <v>0</v>
      </c>
      <c r="CY35" s="46">
        <v>0</v>
      </c>
      <c r="CZ35" s="46">
        <v>0</v>
      </c>
      <c r="DA35" s="46">
        <v>0</v>
      </c>
      <c r="DB35" s="46">
        <v>0</v>
      </c>
      <c r="DC35" s="46">
        <v>0</v>
      </c>
      <c r="DD35" s="46">
        <v>0</v>
      </c>
      <c r="DE35" s="46">
        <v>0</v>
      </c>
      <c r="DF35" s="46">
        <v>0</v>
      </c>
      <c r="DG35" s="46">
        <v>0</v>
      </c>
      <c r="DH35" s="46">
        <v>0</v>
      </c>
      <c r="DI35" s="46">
        <v>0</v>
      </c>
      <c r="DJ35" s="46">
        <v>0</v>
      </c>
      <c r="DK35" s="46">
        <v>0</v>
      </c>
      <c r="DL35" s="46">
        <v>0</v>
      </c>
      <c r="DM35" s="46">
        <v>0</v>
      </c>
      <c r="DN35" s="46">
        <v>0</v>
      </c>
      <c r="DO35" s="46">
        <v>0</v>
      </c>
      <c r="DP35" s="46">
        <v>0</v>
      </c>
      <c r="DQ35" s="46">
        <v>0</v>
      </c>
      <c r="DR35" s="46">
        <v>0</v>
      </c>
      <c r="DS35" s="46">
        <v>0</v>
      </c>
      <c r="DT35" s="46">
        <v>-7821063</v>
      </c>
      <c r="DU35" s="46">
        <v>-6053179</v>
      </c>
      <c r="DV35" s="46">
        <v>-19413</v>
      </c>
      <c r="DW35" s="46">
        <v>0</v>
      </c>
      <c r="DX35" s="46">
        <v>0</v>
      </c>
      <c r="DY35" s="46">
        <v>0</v>
      </c>
      <c r="DZ35" s="46">
        <v>0</v>
      </c>
      <c r="EA35" s="46">
        <v>0</v>
      </c>
      <c r="EB35" s="46">
        <v>0</v>
      </c>
      <c r="EC35" s="46">
        <v>0</v>
      </c>
      <c r="ED35" s="46">
        <v>0</v>
      </c>
      <c r="EE35" s="46">
        <v>0</v>
      </c>
      <c r="EF35" s="46">
        <v>0</v>
      </c>
      <c r="EG35" s="46">
        <v>0</v>
      </c>
      <c r="EH35" s="46">
        <v>0</v>
      </c>
      <c r="EI35" s="46">
        <v>0</v>
      </c>
      <c r="EJ35" s="46">
        <v>0</v>
      </c>
      <c r="EK35" s="46">
        <v>0</v>
      </c>
      <c r="EL35" s="46">
        <v>0</v>
      </c>
      <c r="EM35" s="46">
        <v>0</v>
      </c>
      <c r="EN35" s="46">
        <v>0</v>
      </c>
      <c r="EO35" s="46">
        <v>0</v>
      </c>
      <c r="EP35" s="46">
        <v>0</v>
      </c>
      <c r="EQ35" s="46">
        <v>0</v>
      </c>
      <c r="ER35" s="46">
        <v>0</v>
      </c>
      <c r="ES35" s="46">
        <v>0</v>
      </c>
      <c r="ET35" s="46">
        <v>0</v>
      </c>
      <c r="EU35" s="46">
        <v>0</v>
      </c>
      <c r="EV35" s="46">
        <v>0</v>
      </c>
      <c r="EW35" s="46">
        <v>0</v>
      </c>
      <c r="EX35" s="46">
        <v>0</v>
      </c>
      <c r="EY35" s="46">
        <v>0</v>
      </c>
      <c r="EZ35" s="46">
        <v>0</v>
      </c>
      <c r="FA35" s="46">
        <v>0</v>
      </c>
      <c r="FB35" s="46">
        <v>0</v>
      </c>
      <c r="FC35" s="46">
        <v>0</v>
      </c>
      <c r="FD35" s="46">
        <v>0</v>
      </c>
      <c r="FE35" s="46">
        <v>0</v>
      </c>
      <c r="FF35" s="46">
        <v>0</v>
      </c>
      <c r="FG35" s="46">
        <v>0</v>
      </c>
      <c r="FH35" s="46">
        <v>0</v>
      </c>
      <c r="FI35" s="46">
        <v>0</v>
      </c>
      <c r="FJ35" s="46">
        <v>0</v>
      </c>
      <c r="FK35" s="46">
        <v>0</v>
      </c>
      <c r="FL35" s="46">
        <v>0</v>
      </c>
      <c r="FM35" s="46">
        <v>0</v>
      </c>
      <c r="FN35" s="46">
        <v>6511149</v>
      </c>
      <c r="FO35" s="46">
        <v>19550</v>
      </c>
      <c r="FP35" s="46">
        <v>0</v>
      </c>
      <c r="FQ35" s="46">
        <v>854</v>
      </c>
      <c r="FR35" s="46">
        <v>0</v>
      </c>
      <c r="FS35" s="46">
        <v>0</v>
      </c>
      <c r="FT35" s="46">
        <v>0</v>
      </c>
      <c r="FU35" s="46">
        <v>0</v>
      </c>
      <c r="FV35" s="46">
        <v>0</v>
      </c>
      <c r="FW35" s="46">
        <v>0</v>
      </c>
      <c r="FX35" s="46">
        <v>0</v>
      </c>
      <c r="FY35" s="46">
        <v>0</v>
      </c>
      <c r="FZ35" s="46">
        <v>0</v>
      </c>
      <c r="GA35" s="46">
        <v>0</v>
      </c>
      <c r="GB35" s="46">
        <v>0</v>
      </c>
      <c r="GC35" s="46">
        <v>0</v>
      </c>
      <c r="GD35" s="46">
        <v>0</v>
      </c>
      <c r="GE35" s="46">
        <v>0</v>
      </c>
      <c r="GF35" s="46">
        <v>0</v>
      </c>
      <c r="GG35" s="46">
        <v>0</v>
      </c>
      <c r="GH35" s="46">
        <v>0</v>
      </c>
      <c r="GI35" s="46">
        <v>0</v>
      </c>
      <c r="GJ35" s="46">
        <v>0</v>
      </c>
      <c r="GK35" s="46">
        <v>0</v>
      </c>
      <c r="GL35" s="46">
        <v>0</v>
      </c>
      <c r="GM35" s="46">
        <v>0</v>
      </c>
      <c r="GN35" s="46">
        <v>0</v>
      </c>
      <c r="GO35" s="46">
        <v>0</v>
      </c>
      <c r="GP35" s="46">
        <v>0</v>
      </c>
      <c r="GQ35" s="46">
        <v>0</v>
      </c>
      <c r="GR35" s="46">
        <v>0</v>
      </c>
      <c r="GS35" s="46">
        <v>0</v>
      </c>
      <c r="GT35" s="46">
        <v>0</v>
      </c>
      <c r="GU35" s="46">
        <v>0</v>
      </c>
      <c r="GV35" s="46">
        <v>0</v>
      </c>
      <c r="GW35" s="46">
        <v>0</v>
      </c>
      <c r="GX35" s="46">
        <v>0</v>
      </c>
      <c r="GY35" s="46">
        <v>0</v>
      </c>
      <c r="GZ35" s="46">
        <v>0</v>
      </c>
      <c r="HA35" s="46">
        <v>0</v>
      </c>
      <c r="HB35" s="46">
        <v>0</v>
      </c>
      <c r="HC35" s="46">
        <v>0</v>
      </c>
      <c r="HD35" s="46">
        <v>0</v>
      </c>
      <c r="HE35" s="46">
        <v>0</v>
      </c>
      <c r="HF35" s="46">
        <v>0</v>
      </c>
      <c r="HG35" s="46">
        <v>0</v>
      </c>
      <c r="HH35" s="46">
        <v>0</v>
      </c>
      <c r="HI35" s="46">
        <v>0</v>
      </c>
      <c r="HJ35" s="46">
        <v>0</v>
      </c>
      <c r="HK35" s="46">
        <v>0</v>
      </c>
      <c r="HL35" s="46">
        <v>0</v>
      </c>
      <c r="HM35" s="46">
        <v>0</v>
      </c>
      <c r="HN35" s="46">
        <v>0</v>
      </c>
      <c r="HO35" s="46">
        <v>-5821</v>
      </c>
      <c r="HP35" s="46">
        <v>45397</v>
      </c>
      <c r="HQ35" s="46">
        <v>0</v>
      </c>
      <c r="HR35" s="46">
        <v>14518009</v>
      </c>
      <c r="HS35" s="46">
        <v>0</v>
      </c>
      <c r="HT35" s="46">
        <v>0</v>
      </c>
      <c r="HU35" s="46">
        <v>0</v>
      </c>
      <c r="HV35" s="46">
        <v>0</v>
      </c>
      <c r="HW35" s="46">
        <v>0</v>
      </c>
      <c r="HX35" s="46">
        <v>0</v>
      </c>
      <c r="HY35" s="46">
        <v>0</v>
      </c>
      <c r="HZ35" s="46">
        <v>0</v>
      </c>
      <c r="IA35" s="46">
        <v>0</v>
      </c>
      <c r="IB35" s="46">
        <v>0</v>
      </c>
      <c r="IC35" s="46">
        <v>0</v>
      </c>
      <c r="ID35" s="46">
        <v>0</v>
      </c>
      <c r="IE35" s="46">
        <v>0</v>
      </c>
      <c r="IF35" s="46">
        <v>0</v>
      </c>
      <c r="IG35" s="46">
        <v>0</v>
      </c>
      <c r="IH35" s="46">
        <v>0</v>
      </c>
      <c r="II35" s="46">
        <v>0</v>
      </c>
      <c r="IJ35" s="46">
        <v>0</v>
      </c>
      <c r="IK35" s="46">
        <v>0</v>
      </c>
      <c r="IL35" s="46">
        <v>0</v>
      </c>
      <c r="IM35" s="46">
        <v>0</v>
      </c>
      <c r="IN35" s="46">
        <v>0</v>
      </c>
      <c r="IO35" s="46">
        <v>0</v>
      </c>
      <c r="IP35" s="46">
        <v>294687</v>
      </c>
      <c r="IQ35" s="46">
        <v>1071442</v>
      </c>
      <c r="IR35" s="46">
        <v>0</v>
      </c>
      <c r="IS35" s="46">
        <v>453572</v>
      </c>
      <c r="IT35" s="46">
        <v>0</v>
      </c>
      <c r="IU35" s="46">
        <v>2083806</v>
      </c>
      <c r="IV35" s="46">
        <v>0</v>
      </c>
      <c r="IW35" s="46">
        <v>0</v>
      </c>
      <c r="IX35" s="46">
        <v>0</v>
      </c>
      <c r="IY35" s="46">
        <v>0</v>
      </c>
      <c r="IZ35" s="46">
        <v>0</v>
      </c>
      <c r="JA35" s="46">
        <v>0</v>
      </c>
      <c r="JB35" s="46">
        <v>1240</v>
      </c>
      <c r="JC35" s="46">
        <v>0</v>
      </c>
      <c r="JD35" s="46">
        <v>0</v>
      </c>
      <c r="JE35" s="46">
        <v>0</v>
      </c>
      <c r="JF35" s="46">
        <v>0</v>
      </c>
      <c r="JG35" s="46">
        <v>0</v>
      </c>
      <c r="JH35" s="46">
        <v>0</v>
      </c>
      <c r="JI35" s="46">
        <v>0</v>
      </c>
      <c r="JJ35" s="46">
        <v>0</v>
      </c>
      <c r="JK35" s="46">
        <v>2295150</v>
      </c>
      <c r="JL35" s="46">
        <v>0</v>
      </c>
      <c r="JM35" s="46">
        <v>0</v>
      </c>
      <c r="JN35" s="46">
        <v>0</v>
      </c>
      <c r="JO35" s="46">
        <v>0</v>
      </c>
      <c r="JP35" s="46">
        <v>0</v>
      </c>
      <c r="JQ35" s="46">
        <v>0</v>
      </c>
      <c r="JR35" s="46">
        <v>527285</v>
      </c>
      <c r="JS35" s="46">
        <v>0</v>
      </c>
      <c r="JT35" s="46">
        <v>23158</v>
      </c>
      <c r="JU35" s="46">
        <v>0</v>
      </c>
      <c r="JV35" s="46">
        <v>0</v>
      </c>
      <c r="JW35" s="46">
        <v>0</v>
      </c>
      <c r="JX35" s="46">
        <v>0</v>
      </c>
      <c r="JY35" s="46">
        <v>0</v>
      </c>
      <c r="JZ35" s="46">
        <v>0</v>
      </c>
      <c r="KA35" s="46">
        <v>0</v>
      </c>
      <c r="KB35" s="46">
        <v>1457809</v>
      </c>
      <c r="KC35" s="46">
        <v>0</v>
      </c>
      <c r="KD35" s="46">
        <v>0</v>
      </c>
      <c r="KE35" s="46">
        <v>0</v>
      </c>
      <c r="KF35" s="46">
        <v>0</v>
      </c>
      <c r="KG35" s="46">
        <v>0</v>
      </c>
      <c r="KH35" s="46">
        <v>0</v>
      </c>
      <c r="KI35" s="46">
        <v>0</v>
      </c>
      <c r="KJ35" s="46">
        <v>534306</v>
      </c>
      <c r="KK35" s="46">
        <v>63634</v>
      </c>
      <c r="KL35" s="46">
        <v>-410867</v>
      </c>
      <c r="KM35" s="46">
        <v>0</v>
      </c>
      <c r="KN35" s="46">
        <v>0</v>
      </c>
      <c r="KO35" s="46">
        <v>0</v>
      </c>
      <c r="KP35" s="46">
        <v>0</v>
      </c>
      <c r="KQ35" s="46">
        <v>0</v>
      </c>
      <c r="KR35" s="46">
        <v>18948811</v>
      </c>
      <c r="KS35" s="46">
        <v>539691</v>
      </c>
      <c r="KT35" s="46">
        <v>0</v>
      </c>
      <c r="KU35" s="46">
        <v>1080742</v>
      </c>
      <c r="KV35" s="46">
        <v>0</v>
      </c>
      <c r="KW35" s="46">
        <v>0</v>
      </c>
      <c r="KX35" s="46">
        <v>0</v>
      </c>
      <c r="KY35" s="46">
        <v>0</v>
      </c>
      <c r="KZ35" s="46">
        <v>0</v>
      </c>
      <c r="LA35" s="46">
        <v>232008</v>
      </c>
      <c r="LB35" s="46">
        <v>242155</v>
      </c>
      <c r="LC35" s="46">
        <v>0</v>
      </c>
      <c r="LD35" s="46">
        <v>111457</v>
      </c>
      <c r="LE35" s="46">
        <v>0</v>
      </c>
      <c r="LF35" s="46">
        <v>0</v>
      </c>
      <c r="LG35" s="46">
        <v>0</v>
      </c>
      <c r="LH35" s="46">
        <v>0</v>
      </c>
      <c r="LI35" s="46">
        <v>0</v>
      </c>
      <c r="LJ35" s="46">
        <v>350248</v>
      </c>
      <c r="LK35" s="46">
        <v>1326492</v>
      </c>
      <c r="LL35" s="46">
        <v>0</v>
      </c>
      <c r="LM35" s="46">
        <v>6449004</v>
      </c>
      <c r="LN35" s="46">
        <v>0</v>
      </c>
      <c r="LO35" s="46">
        <v>0</v>
      </c>
      <c r="LP35" s="46">
        <v>0</v>
      </c>
      <c r="LQ35" s="46">
        <v>0</v>
      </c>
      <c r="LR35" s="46">
        <v>0</v>
      </c>
      <c r="LS35" s="46">
        <v>0</v>
      </c>
      <c r="LT35" s="46">
        <v>0</v>
      </c>
      <c r="LU35" s="46">
        <v>0</v>
      </c>
      <c r="LV35" s="46">
        <v>0</v>
      </c>
      <c r="LW35" s="46">
        <v>0</v>
      </c>
      <c r="LX35" s="46">
        <v>0</v>
      </c>
      <c r="LY35" s="46">
        <v>0</v>
      </c>
      <c r="LZ35" s="46">
        <v>0</v>
      </c>
      <c r="MA35" s="46">
        <v>0</v>
      </c>
      <c r="MB35" s="46">
        <v>4899454</v>
      </c>
      <c r="MC35" s="46">
        <v>2511755</v>
      </c>
      <c r="MD35" s="46">
        <v>0</v>
      </c>
      <c r="ME35" s="46">
        <v>4593</v>
      </c>
      <c r="MF35" s="46">
        <v>0</v>
      </c>
      <c r="MG35" s="46">
        <v>0</v>
      </c>
      <c r="MH35" s="46">
        <v>0</v>
      </c>
      <c r="MI35" s="46">
        <v>0</v>
      </c>
      <c r="MJ35" s="46">
        <v>0</v>
      </c>
      <c r="MK35" s="46">
        <v>5020739</v>
      </c>
      <c r="ML35" s="46">
        <v>6500785</v>
      </c>
      <c r="MM35" s="46">
        <v>0</v>
      </c>
      <c r="MN35" s="46">
        <v>83075</v>
      </c>
      <c r="MO35" s="46">
        <v>0</v>
      </c>
      <c r="MP35" s="46">
        <v>0</v>
      </c>
      <c r="MQ35" s="46">
        <v>0</v>
      </c>
      <c r="MR35" s="46">
        <v>0</v>
      </c>
      <c r="MS35" s="46">
        <v>0</v>
      </c>
      <c r="MT35" s="46">
        <v>4351758</v>
      </c>
      <c r="MU35" s="46">
        <v>2765919</v>
      </c>
      <c r="MV35" s="46">
        <v>0</v>
      </c>
      <c r="MW35" s="46">
        <v>-510</v>
      </c>
      <c r="MX35" s="46">
        <v>0</v>
      </c>
      <c r="MY35" s="46">
        <v>30967</v>
      </c>
      <c r="MZ35" s="46">
        <v>0</v>
      </c>
      <c r="NA35" s="46">
        <v>0</v>
      </c>
      <c r="NB35" s="46">
        <v>0</v>
      </c>
      <c r="NC35" s="46">
        <v>5587320</v>
      </c>
      <c r="ND35" s="46">
        <v>1795306</v>
      </c>
      <c r="NE35" s="46">
        <v>0</v>
      </c>
      <c r="NF35" s="46">
        <v>0</v>
      </c>
      <c r="NG35" s="46">
        <v>0</v>
      </c>
      <c r="NH35" s="46">
        <v>0</v>
      </c>
      <c r="NI35" s="46">
        <v>0</v>
      </c>
      <c r="NJ35" s="46">
        <v>0</v>
      </c>
      <c r="NK35" s="46">
        <v>-10685</v>
      </c>
      <c r="NL35" s="46">
        <v>-1383005</v>
      </c>
      <c r="NM35" s="46">
        <v>-1046866</v>
      </c>
      <c r="NN35" s="46">
        <v>0</v>
      </c>
      <c r="NO35" s="46">
        <v>13086442</v>
      </c>
      <c r="NP35" s="46">
        <v>0</v>
      </c>
      <c r="NQ35" s="46">
        <v>0</v>
      </c>
      <c r="NR35" s="46">
        <v>0</v>
      </c>
      <c r="NS35" s="46">
        <v>0</v>
      </c>
      <c r="NT35" s="46">
        <v>0</v>
      </c>
      <c r="NU35" s="46">
        <v>0</v>
      </c>
      <c r="NV35" s="46">
        <v>0</v>
      </c>
      <c r="NW35" s="46">
        <v>1273054</v>
      </c>
      <c r="NX35" s="46">
        <v>0</v>
      </c>
      <c r="NY35" s="46">
        <v>0</v>
      </c>
      <c r="NZ35" s="46">
        <v>0</v>
      </c>
      <c r="OA35" s="46">
        <v>0</v>
      </c>
      <c r="OB35" s="46">
        <v>0</v>
      </c>
      <c r="OC35" s="46">
        <v>0</v>
      </c>
      <c r="OD35" s="46">
        <v>838955</v>
      </c>
      <c r="OE35" s="46">
        <v>61209</v>
      </c>
      <c r="OF35" s="46">
        <v>0</v>
      </c>
      <c r="OG35" s="46">
        <v>0</v>
      </c>
      <c r="OH35" s="46">
        <v>0</v>
      </c>
      <c r="OI35" s="46">
        <v>0</v>
      </c>
      <c r="OJ35" s="46">
        <v>0</v>
      </c>
      <c r="OK35" s="46">
        <v>0</v>
      </c>
      <c r="OL35" s="46">
        <v>0</v>
      </c>
      <c r="OM35" s="46">
        <v>0</v>
      </c>
      <c r="ON35" s="46">
        <v>23420</v>
      </c>
      <c r="OO35" s="46">
        <v>0</v>
      </c>
      <c r="OP35" s="46">
        <v>0</v>
      </c>
      <c r="OQ35" s="46">
        <v>0</v>
      </c>
      <c r="OR35" s="46">
        <v>0</v>
      </c>
      <c r="OS35" s="46">
        <v>0</v>
      </c>
      <c r="OT35" s="46">
        <v>0</v>
      </c>
      <c r="OU35" s="46">
        <v>0</v>
      </c>
      <c r="OV35" s="46">
        <v>0</v>
      </c>
      <c r="OW35" s="46">
        <v>0</v>
      </c>
      <c r="OX35" s="46">
        <v>0</v>
      </c>
      <c r="OY35" s="46">
        <v>0</v>
      </c>
      <c r="OZ35" s="46">
        <v>0</v>
      </c>
      <c r="PA35" s="46">
        <v>0</v>
      </c>
      <c r="PB35" s="46">
        <v>0</v>
      </c>
      <c r="PC35" s="46">
        <v>0</v>
      </c>
      <c r="PD35" s="46">
        <v>-291208</v>
      </c>
      <c r="PE35" s="46">
        <v>-16998487</v>
      </c>
      <c r="PF35" s="46">
        <v>-3708603</v>
      </c>
      <c r="PG35" s="46">
        <v>-431821</v>
      </c>
      <c r="PH35" s="46">
        <v>111415</v>
      </c>
      <c r="PI35" s="46">
        <v>69613</v>
      </c>
      <c r="PJ35" s="46">
        <v>-35509</v>
      </c>
      <c r="PK35" s="46">
        <v>0</v>
      </c>
      <c r="PL35" s="46">
        <v>-964293</v>
      </c>
      <c r="PM35" s="46">
        <v>148598</v>
      </c>
      <c r="PN35" s="46">
        <v>0</v>
      </c>
      <c r="PO35" s="46">
        <v>0</v>
      </c>
      <c r="PP35" s="46">
        <v>0</v>
      </c>
      <c r="PQ35" s="46">
        <v>0</v>
      </c>
      <c r="PR35" s="46">
        <v>0</v>
      </c>
      <c r="PS35" s="46">
        <v>0</v>
      </c>
      <c r="PT35" s="46">
        <v>0</v>
      </c>
      <c r="PU35" s="46">
        <v>0</v>
      </c>
      <c r="PV35" s="46">
        <v>0</v>
      </c>
      <c r="PW35" s="46">
        <v>0</v>
      </c>
      <c r="PX35" s="46">
        <v>0</v>
      </c>
      <c r="PY35" s="46">
        <v>0</v>
      </c>
      <c r="PZ35" s="46">
        <v>0</v>
      </c>
      <c r="QA35" s="46">
        <v>0</v>
      </c>
      <c r="QB35" s="46">
        <v>0</v>
      </c>
      <c r="QC35" s="46">
        <v>0</v>
      </c>
      <c r="QD35" s="46">
        <v>0</v>
      </c>
      <c r="QE35" s="46">
        <v>-30466</v>
      </c>
      <c r="QF35" s="46">
        <v>0</v>
      </c>
      <c r="QG35" s="46">
        <v>1330024</v>
      </c>
      <c r="QH35" s="46">
        <v>0</v>
      </c>
      <c r="QI35" s="46">
        <v>0</v>
      </c>
      <c r="QJ35" s="46">
        <v>0</v>
      </c>
      <c r="QK35" s="46">
        <v>448060</v>
      </c>
      <c r="QL35" s="46">
        <v>0</v>
      </c>
      <c r="QM35" s="46">
        <v>0</v>
      </c>
      <c r="QN35" s="46">
        <v>0</v>
      </c>
      <c r="QO35" s="46">
        <v>0</v>
      </c>
      <c r="QP35" s="46">
        <v>0</v>
      </c>
      <c r="QQ35" s="46">
        <v>0</v>
      </c>
      <c r="QR35" s="46">
        <v>0</v>
      </c>
      <c r="QS35" s="46">
        <v>0</v>
      </c>
      <c r="QT35" s="46">
        <v>15001025</v>
      </c>
      <c r="QU35" s="46">
        <v>0</v>
      </c>
      <c r="QV35" s="46">
        <v>0</v>
      </c>
      <c r="QW35" s="46">
        <v>0</v>
      </c>
      <c r="QX35" s="46">
        <v>0</v>
      </c>
      <c r="QY35" s="46">
        <v>0</v>
      </c>
      <c r="QZ35" s="46">
        <v>0</v>
      </c>
      <c r="RA35" s="46">
        <v>0</v>
      </c>
      <c r="RB35" s="46">
        <v>0</v>
      </c>
      <c r="RC35" s="46">
        <v>0</v>
      </c>
      <c r="RD35" s="46">
        <v>0</v>
      </c>
      <c r="RE35" s="46">
        <v>0</v>
      </c>
      <c r="RF35" s="46">
        <v>0</v>
      </c>
      <c r="RG35" s="46">
        <v>0</v>
      </c>
      <c r="RH35" s="46">
        <v>0</v>
      </c>
      <c r="RI35" s="46">
        <v>0</v>
      </c>
      <c r="RJ35" s="46">
        <v>0</v>
      </c>
      <c r="RK35" s="46">
        <v>0</v>
      </c>
      <c r="RL35" s="46">
        <v>0</v>
      </c>
      <c r="RM35" s="46">
        <v>0</v>
      </c>
      <c r="RN35" s="46">
        <v>0</v>
      </c>
      <c r="RO35" s="46">
        <v>-12017218</v>
      </c>
      <c r="RP35" s="46">
        <v>0</v>
      </c>
      <c r="RQ35" s="46">
        <v>0</v>
      </c>
      <c r="RR35" s="46">
        <v>0</v>
      </c>
      <c r="RS35" s="46">
        <v>0</v>
      </c>
      <c r="RT35" s="46">
        <v>0</v>
      </c>
      <c r="RU35" s="46">
        <v>0</v>
      </c>
      <c r="RV35" s="46">
        <v>0</v>
      </c>
      <c r="RW35" s="46">
        <v>0</v>
      </c>
      <c r="RX35" s="46">
        <v>0</v>
      </c>
      <c r="RY35" s="46">
        <v>0</v>
      </c>
      <c r="RZ35" s="46">
        <v>0</v>
      </c>
      <c r="SA35" s="46">
        <v>0</v>
      </c>
      <c r="SB35" s="46">
        <v>0</v>
      </c>
      <c r="SC35" s="46">
        <v>0</v>
      </c>
      <c r="SD35" s="46">
        <v>0</v>
      </c>
      <c r="SE35" s="46">
        <v>0</v>
      </c>
      <c r="SF35" s="46">
        <v>0</v>
      </c>
      <c r="SG35" s="46">
        <v>0</v>
      </c>
      <c r="SH35" s="46">
        <v>0</v>
      </c>
      <c r="SI35" s="46">
        <v>0</v>
      </c>
      <c r="SJ35" s="46">
        <v>0</v>
      </c>
      <c r="SK35" s="46">
        <v>0</v>
      </c>
      <c r="SL35" s="46">
        <v>0</v>
      </c>
      <c r="SM35" s="46">
        <v>0</v>
      </c>
      <c r="SN35" s="46">
        <v>0</v>
      </c>
      <c r="SO35" s="46">
        <v>0</v>
      </c>
      <c r="SP35" s="46">
        <v>0</v>
      </c>
      <c r="SQ35" s="46">
        <v>0</v>
      </c>
      <c r="SR35" s="46">
        <v>0</v>
      </c>
      <c r="SS35" s="46">
        <v>0</v>
      </c>
      <c r="ST35" s="46">
        <v>0</v>
      </c>
      <c r="SU35" s="46">
        <v>0</v>
      </c>
      <c r="SV35" s="46">
        <v>0</v>
      </c>
      <c r="SW35" s="46">
        <v>0</v>
      </c>
      <c r="SX35" s="46">
        <v>0</v>
      </c>
      <c r="SY35" s="46">
        <v>1191372</v>
      </c>
      <c r="SZ35" s="46">
        <v>20779</v>
      </c>
      <c r="TA35" s="46">
        <v>0</v>
      </c>
      <c r="TB35" s="46">
        <v>0</v>
      </c>
      <c r="TC35" s="46">
        <v>0</v>
      </c>
      <c r="TD35" s="46">
        <v>137462</v>
      </c>
      <c r="TE35" s="46">
        <v>17484</v>
      </c>
      <c r="TF35" s="46">
        <v>0</v>
      </c>
      <c r="TG35" s="46">
        <v>724439</v>
      </c>
      <c r="TH35" s="46">
        <v>0</v>
      </c>
      <c r="TI35" s="46">
        <v>0</v>
      </c>
      <c r="TJ35" s="46">
        <v>0</v>
      </c>
      <c r="TK35" s="46">
        <v>13242</v>
      </c>
      <c r="TL35" s="46">
        <v>0</v>
      </c>
      <c r="TM35" s="46">
        <v>0</v>
      </c>
      <c r="TN35" s="46">
        <v>0</v>
      </c>
      <c r="TO35" s="46">
        <v>0</v>
      </c>
      <c r="TP35" s="46">
        <v>0</v>
      </c>
      <c r="TQ35" s="46">
        <v>0</v>
      </c>
      <c r="TR35" s="46">
        <v>0</v>
      </c>
      <c r="TS35" s="46">
        <v>0</v>
      </c>
      <c r="TT35" s="46">
        <v>0</v>
      </c>
      <c r="TU35" s="46">
        <v>0</v>
      </c>
      <c r="TV35" s="46">
        <v>0</v>
      </c>
      <c r="TW35" s="46">
        <v>0</v>
      </c>
      <c r="TX35" s="46">
        <v>0</v>
      </c>
      <c r="TY35" s="46">
        <v>0</v>
      </c>
      <c r="TZ35" s="46">
        <v>0</v>
      </c>
      <c r="UA35" s="46">
        <v>0</v>
      </c>
      <c r="UB35" s="46">
        <v>0</v>
      </c>
      <c r="UC35" s="46">
        <v>0</v>
      </c>
      <c r="UD35" s="46">
        <v>0</v>
      </c>
      <c r="UE35" s="46">
        <v>20569244</v>
      </c>
      <c r="UF35" s="46">
        <v>585620</v>
      </c>
      <c r="UG35" s="46">
        <v>8125744</v>
      </c>
      <c r="UH35" s="46">
        <v>0</v>
      </c>
      <c r="UI35" s="46">
        <v>7415802</v>
      </c>
      <c r="UJ35" s="46">
        <v>11604599</v>
      </c>
      <c r="UK35" s="46">
        <v>7148134</v>
      </c>
      <c r="UL35" s="46">
        <v>7371941</v>
      </c>
      <c r="UM35" s="46">
        <v>10656571</v>
      </c>
      <c r="UN35" s="46">
        <v>1273054</v>
      </c>
      <c r="UO3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900164</v>
      </c>
      <c r="UP35" s="46">
        <f>SUM(Input[[#This Row],[Oth Exp E&amp;G]],Input[[#This Row],[Oth Exp Desg]],Input[[#This Row],[Oth Exp Aux]],Input[[#This Row],[Oth Exp R Exp]],Input[[#This Row],[Oth Exp Loan]],Input[[#This Row],[Oth Exp Annuity]],Input[[#This Row],[Oth Exp Unexp]],Input[[#This Row],[Oth Exp R of Ind]],Input[[#This Row],[Oth Exp Inv in P]])</f>
        <v>23420</v>
      </c>
      <c r="UQ35" s="46"/>
      <c r="UR35" s="46"/>
      <c r="US35" s="8" t="s">
        <v>870</v>
      </c>
      <c r="UT35" s="47">
        <v>9723381404</v>
      </c>
      <c r="UU35" s="8" t="s">
        <v>976</v>
      </c>
      <c r="UV35" s="8" t="s">
        <v>871</v>
      </c>
      <c r="UW35" s="47" t="s">
        <v>1310</v>
      </c>
      <c r="UX35" s="8" t="s">
        <v>969</v>
      </c>
      <c r="UY35" s="51" cm="1">
        <f t="array" ref="UY35">IFERROR(_xlfn.IFS(Input[[#This Row],[Type]]="HRI",SUMIFS('FTSE | FTFE'!$P$8:$P$77,'FTSE | FTFE'!$H$8:$H$77,A35),Input[[#This Row],[Type]]="UNIV",SUMIFS('FTSE | FTFE'!$P$104:$P$139,'FTSE | FTFE'!$H$104:$H$139,A35),OR(Input[[#This Row],[Type]]="TSTC",Input[[#This Row],[Type]]="LSC"),SUMIFS('FTSE | FTFE'!$O$88:$O$96,'FTSE | FTFE'!$H$88:$H$96,A35),Input[[#This Row],[Type]]="AHM",SUMIFS(Hidden!$H$42:$H$45,Hidden!$G$42:$G$45,A35)),"N/A")</f>
        <v>3201</v>
      </c>
      <c r="UZ35" s="51" cm="1">
        <f t="array" ref="UZ35">IFERROR(_xlfn.IFS(Input[[#This Row],[Type]]="HRI",SUMIFS('FTSE | FTFE'!$Q$8:$Q$77,'FTSE | FTFE'!$H$8:$H$77,A35),Input[[#This Row],[Type]]="UNIV",SUMIFS('FTSE | FTFE'!$Q$104:$Q$139,'FTSE | FTFE'!$H$104:$H$139,A35),OR(Input[[#This Row],[Type]]="TSTC",Input[[#This Row],[Type]]="LSC"),SUMIFS('FTSE | FTFE'!$P$88:$P$96,'FTSE | FTFE'!$H$88:$H$96,A35)),"N/A")</f>
        <v>54</v>
      </c>
      <c r="VA3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54424667</v>
      </c>
      <c r="VB3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3455644</v>
      </c>
      <c r="VC35" s="46">
        <f>SUM(Input[[#This Row],[Fed G&amp;C E&amp;G]],Input[[#This Row],[Fed G&amp;C Desg]],Input[[#This Row],[Fed G&amp;C R Exp]],Input[[#This Row],[Fed G&amp;C Loan]],Input[[#This Row],[Fed G&amp;C Annuity]],Input[[#This Row],[Fed G&amp;C Unexp]],Input[[#This Row],[Fed G&amp;C R of Ind]],Input[[#This Row],[Fed G&amp;C Inv in P]])</f>
        <v>14557585</v>
      </c>
      <c r="VD3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6873779</v>
      </c>
      <c r="VE3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16371226</v>
      </c>
      <c r="VF3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6511149</v>
      </c>
      <c r="VG35" s="46">
        <f>SUM(Input[[#This Row],[Oth Inc E&amp;G]],Input[[#This Row],[Oth Exp Desg]],Input[[#This Row],[Oth Exp R Exp]],Input[[#This Row],[Oth Exp Loan]],Input[[#This Row],[Oth Exp Annuity]],Input[[#This Row],[Oth Exp Unexp]],Input[[#This Row],[Oth Exp R of Ind]],Input[[#This Row],[Oth Exp Inv in P]])</f>
        <v>23420</v>
      </c>
      <c r="VH35" s="46">
        <f>SUM(Input[[#This Row],[Instr E&amp;G]],Input[[#This Row],[Instr Desg]],Input[[#This Row],[Instr R Exp]],Input[[#This Row],[Instr Loan]],Input[[#This Row],[Instr Annuity]],Input[[#This Row],[Instr Unexp]],Input[[#This Row],[Instr R of Ind]],Input[[#This Row],[Instr Inv in P]])</f>
        <v>20569244</v>
      </c>
      <c r="VI35" s="46">
        <f>SUM(Input[[#This Row],[Res E&amp;G]],Input[[#This Row],[Res Desg]],Input[[#This Row],[Res R Exp]],Input[[#This Row],[Res Loan]],Input[[#This Row],[Res Annuity]],Input[[#This Row],[Res Unexp]],Input[[#This Row],[Res R of Ind]],Input[[#This Row],[Res Inv in P]])</f>
        <v>585620</v>
      </c>
      <c r="VJ35" s="46">
        <f>SUM(Input[[#This Row],[Acad Sup E&amp;G]],Input[[#This Row],[Acad Sup Desg]],Input[[#This Row],[Acad Sup R Exp]],Input[[#This Row],[Acad Sup Loan]],Input[[#This Row],[Acad Sup Annuity]],Input[[#This Row],[Acad Sup Unexp]],Input[[#This Row],[Acad Sup R of Ind]],Input[[#This Row],[Acad Sup Inv in P]])</f>
        <v>7415802</v>
      </c>
      <c r="VK35" s="46">
        <f>SUM(Input[[#This Row],[Stu Svc E&amp;G]],Input[[#This Row],[Stu Svc Desg]],Input[[#This Row],[Stu Svc R Exp]],Input[[#This Row],[Stu Svc Loan]],Input[[#This Row],[Stu Svc Annuity]],Input[[#This Row],[Stu Svc Unexp]],Input[[#This Row],[Stu Svc R of Ind]],Input[[#This Row],[Stu Svc Inv in P]])</f>
        <v>11604599</v>
      </c>
      <c r="VL35" s="46">
        <f>SUM(Input[[#This Row],[Inst. Spt E&amp;G]],Input[[#This Row],[Inst. Spt Desg]],Input[[#This Row],[Inst. Spt R Exp]],Input[[#This Row],[Inst. Spt Loan]],Input[[#This Row],[Inst. Spt Annuity]],Input[[#This Row],[Inst. Spt Unexp]],Input[[#This Row],[Inst. Spt R of Ind]],Input[[#This Row],[Inst. Spt Inv in P]])</f>
        <v>7148134</v>
      </c>
      <c r="VM35" s="46">
        <f>SUM(Input[[#This Row],[M&amp;O Plnt E&amp;G]],Input[[#This Row],[M&amp;O Plnt Desg]],Input[[#This Row],[M&amp;O Plnt R Exp]],Input[[#This Row],[M&amp;O Plnt Loan]],Input[[#This Row],[M&amp;O Plnt Annuity]],Input[[#This Row],[M&amp;O Plnt Unexp]],Input[[#This Row],[M&amp;O Plnt R of Ind]],Input[[#This Row],[M&amp;O Plnt Inv in P]])</f>
        <v>7371941</v>
      </c>
      <c r="VN35" s="46">
        <f>SUM(Input[[#This Row],[Schl &amp; Fell E&amp;G]],Input[[#This Row],[Schl &amp; Fell Desg]],Input[[#This Row],[Schl &amp; Fell R Exp]],Input[[#This Row],[Schl &amp; Fell Loan]],Input[[#This Row],[Schl &amp; Fell Annuity]],Input[[#This Row],[Schl &amp; Fell Unexp]],Input[[#This Row],[Schl &amp; Fell R of Ind]],Input[[#This Row],[Schl &amp; Fell Inv in P]])</f>
        <v>10656571</v>
      </c>
      <c r="VO35" s="46">
        <f>SUM(Input[[#This Row],[Cap Out fund E&amp;G]],Input[[#This Row],[Cap Out fund Desg]],Input[[#This Row],[Cap Out fund R Exp]],Input[[#This Row],[Cap Out fund Loan]],Input[[#This Row],[Cap Out fund Annuity]],Input[[#This Row],[Cap Out fund Unexp]],Input[[#This Row],[Cap Out fund R of Ind]],Input[[#This Row],[Cap Out fund Inv in P]])</f>
        <v>900164</v>
      </c>
      <c r="VP35" s="46">
        <f>SUM(Input[[#This Row],[Oth Exp E&amp;G]],Input[[#This Row],[Oth Exp Desg]],Input[[#This Row],[Oth Exp R Exp]],Input[[#This Row],[Oth Exp Loan]],Input[[#This Row],[Oth Exp Annuity]],Input[[#This Row],[Oth Exp Unexp]],Input[[#This Row],[Oth Exp R of Ind]],Input[[#This Row],[Oth Exp Inv in P]],Input[[#This Row],[Oth Exp Inv in P]])</f>
        <v>23420</v>
      </c>
    </row>
    <row r="36" spans="1:588" ht="30" customHeight="1" x14ac:dyDescent="0.3">
      <c r="A36" s="15" t="s">
        <v>63</v>
      </c>
      <c r="B36" s="36" t="s">
        <v>106</v>
      </c>
      <c r="C36" s="36" t="s">
        <v>110</v>
      </c>
      <c r="D36" s="36">
        <v>500</v>
      </c>
      <c r="E36" s="36" t="s">
        <v>132</v>
      </c>
      <c r="F36" s="95" cm="1">
        <f t="array" ref="F36">IFERROR(_xlfn.IFS(Input[[#This Row],[Type]]="HRI",SUMIFS('FTSE | FTFE'!$I$8:$I$77,'FTSE | FTFE'!$H$8:$H$77,A36),Input[[#This Row],[Type]]="UNIV",SUMIFS('FTSE | FTFE'!$I$104:$I$139,'FTSE | FTFE'!$H$104:$H$139,A36),OR(Input[[#This Row],[Type]]="TSTC",Input[[#This Row],[Type]]="LSC"),SUMIFS('FTSE | FTFE'!$I$88:$I$96,'FTSE | FTFE'!$H$88:$H$96,A36)),"N/A")</f>
        <v>3642</v>
      </c>
      <c r="G36" s="46">
        <v>61991217</v>
      </c>
      <c r="H36" s="46">
        <v>0</v>
      </c>
      <c r="I36" s="46">
        <v>0</v>
      </c>
      <c r="J36" s="46">
        <v>0</v>
      </c>
      <c r="K36" s="46">
        <v>0</v>
      </c>
      <c r="L36" s="46">
        <v>0</v>
      </c>
      <c r="M36" s="46">
        <v>0</v>
      </c>
      <c r="N36" s="46">
        <v>0</v>
      </c>
      <c r="O36" s="46">
        <v>0</v>
      </c>
      <c r="P36" s="46">
        <v>10473942</v>
      </c>
      <c r="Q36" s="46">
        <v>0</v>
      </c>
      <c r="R36" s="46">
        <v>0</v>
      </c>
      <c r="S36" s="46">
        <v>0</v>
      </c>
      <c r="T36" s="46">
        <v>0</v>
      </c>
      <c r="U36" s="46">
        <v>0</v>
      </c>
      <c r="V36" s="46">
        <v>0</v>
      </c>
      <c r="W36" s="46">
        <v>0</v>
      </c>
      <c r="X36" s="46">
        <v>0</v>
      </c>
      <c r="Y36" s="46">
        <v>12072906</v>
      </c>
      <c r="Z36" s="46">
        <v>0</v>
      </c>
      <c r="AA36" s="46">
        <v>0</v>
      </c>
      <c r="AB36" s="46">
        <v>0</v>
      </c>
      <c r="AC36" s="46">
        <v>0</v>
      </c>
      <c r="AD36" s="46">
        <v>0</v>
      </c>
      <c r="AE36" s="46">
        <v>0</v>
      </c>
      <c r="AF36" s="46">
        <v>0</v>
      </c>
      <c r="AG36" s="46">
        <v>0</v>
      </c>
      <c r="AH36" s="46">
        <v>19472182</v>
      </c>
      <c r="AI36" s="46">
        <v>3617736</v>
      </c>
      <c r="AJ36" s="46">
        <v>0</v>
      </c>
      <c r="AK36" s="46">
        <v>0</v>
      </c>
      <c r="AL36" s="46">
        <v>0</v>
      </c>
      <c r="AM36" s="46">
        <v>0</v>
      </c>
      <c r="AN36" s="46">
        <v>0</v>
      </c>
      <c r="AO36" s="46">
        <v>0</v>
      </c>
      <c r="AP36" s="46">
        <v>0</v>
      </c>
      <c r="AQ36" s="46">
        <v>0</v>
      </c>
      <c r="AR36" s="46">
        <v>0</v>
      </c>
      <c r="AS36" s="46">
        <v>0</v>
      </c>
      <c r="AT36" s="46">
        <v>0</v>
      </c>
      <c r="AU36" s="46">
        <v>0</v>
      </c>
      <c r="AV36" s="46">
        <v>0</v>
      </c>
      <c r="AW36" s="46">
        <v>0</v>
      </c>
      <c r="AX36" s="46">
        <v>0</v>
      </c>
      <c r="AY36" s="46">
        <v>0</v>
      </c>
      <c r="AZ36" s="46">
        <v>0</v>
      </c>
      <c r="BA36" s="46">
        <v>0</v>
      </c>
      <c r="BB36" s="46">
        <v>0</v>
      </c>
      <c r="BC36" s="46">
        <v>0</v>
      </c>
      <c r="BD36" s="46">
        <v>0</v>
      </c>
      <c r="BE36" s="46">
        <v>0</v>
      </c>
      <c r="BF36" s="46">
        <v>0</v>
      </c>
      <c r="BG36" s="46">
        <v>0</v>
      </c>
      <c r="BH36" s="46">
        <v>0</v>
      </c>
      <c r="BI36" s="46">
        <v>0</v>
      </c>
      <c r="BJ36" s="46">
        <v>0</v>
      </c>
      <c r="BK36" s="46">
        <v>0</v>
      </c>
      <c r="BL36" s="46">
        <v>0</v>
      </c>
      <c r="BM36" s="46">
        <v>0</v>
      </c>
      <c r="BN36" s="46">
        <v>0</v>
      </c>
      <c r="BO36" s="46">
        <v>0</v>
      </c>
      <c r="BP36" s="46">
        <v>0</v>
      </c>
      <c r="BQ36" s="46">
        <v>0</v>
      </c>
      <c r="BR36" s="46">
        <v>0</v>
      </c>
      <c r="BS36" s="46">
        <v>0</v>
      </c>
      <c r="BT36" s="46">
        <v>0</v>
      </c>
      <c r="BU36" s="46">
        <v>0</v>
      </c>
      <c r="BV36" s="46">
        <v>0</v>
      </c>
      <c r="BW36" s="46">
        <v>0</v>
      </c>
      <c r="BX36" s="46">
        <v>0</v>
      </c>
      <c r="BY36" s="46">
        <v>0</v>
      </c>
      <c r="BZ36" s="46">
        <v>0</v>
      </c>
      <c r="CA36" s="46">
        <v>97012703</v>
      </c>
      <c r="CB36" s="46">
        <v>0</v>
      </c>
      <c r="CC36" s="46">
        <v>0</v>
      </c>
      <c r="CD36" s="46">
        <v>0</v>
      </c>
      <c r="CE36" s="46">
        <v>0</v>
      </c>
      <c r="CF36" s="46">
        <v>0</v>
      </c>
      <c r="CG36" s="46">
        <v>0</v>
      </c>
      <c r="CH36" s="46">
        <v>0</v>
      </c>
      <c r="CI36" s="46">
        <v>0</v>
      </c>
      <c r="CJ36" s="46">
        <v>-5927481</v>
      </c>
      <c r="CK36" s="46">
        <v>0</v>
      </c>
      <c r="CL36" s="46">
        <v>0</v>
      </c>
      <c r="CM36" s="46">
        <v>0</v>
      </c>
      <c r="CN36" s="46">
        <v>0</v>
      </c>
      <c r="CO36" s="46">
        <v>0</v>
      </c>
      <c r="CP36" s="46">
        <v>0</v>
      </c>
      <c r="CQ36" s="46">
        <v>0</v>
      </c>
      <c r="CR36" s="46">
        <v>0</v>
      </c>
      <c r="CS36" s="46">
        <v>-4718773</v>
      </c>
      <c r="CT36" s="46">
        <v>0</v>
      </c>
      <c r="CU36" s="46">
        <v>0</v>
      </c>
      <c r="CV36" s="46">
        <v>0</v>
      </c>
      <c r="CW36" s="46">
        <v>0</v>
      </c>
      <c r="CX36" s="46">
        <v>0</v>
      </c>
      <c r="CY36" s="46">
        <v>0</v>
      </c>
      <c r="CZ36" s="46">
        <v>0</v>
      </c>
      <c r="DA36" s="46">
        <v>0</v>
      </c>
      <c r="DB36" s="46">
        <v>0</v>
      </c>
      <c r="DC36" s="46">
        <v>0</v>
      </c>
      <c r="DD36" s="46">
        <v>0</v>
      </c>
      <c r="DE36" s="46">
        <v>0</v>
      </c>
      <c r="DF36" s="46">
        <v>0</v>
      </c>
      <c r="DG36" s="46">
        <v>0</v>
      </c>
      <c r="DH36" s="46">
        <v>0</v>
      </c>
      <c r="DI36" s="46">
        <v>0</v>
      </c>
      <c r="DJ36" s="46">
        <v>0</v>
      </c>
      <c r="DK36" s="46">
        <v>0</v>
      </c>
      <c r="DL36" s="46">
        <v>0</v>
      </c>
      <c r="DM36" s="46">
        <v>0</v>
      </c>
      <c r="DN36" s="46">
        <v>0</v>
      </c>
      <c r="DO36" s="46">
        <v>0</v>
      </c>
      <c r="DP36" s="46">
        <v>0</v>
      </c>
      <c r="DQ36" s="46">
        <v>0</v>
      </c>
      <c r="DR36" s="46">
        <v>0</v>
      </c>
      <c r="DS36" s="46">
        <v>0</v>
      </c>
      <c r="DT36" s="46">
        <v>0</v>
      </c>
      <c r="DU36" s="46">
        <v>0</v>
      </c>
      <c r="DV36" s="46">
        <v>0</v>
      </c>
      <c r="DW36" s="46">
        <v>0</v>
      </c>
      <c r="DX36" s="46">
        <v>0</v>
      </c>
      <c r="DY36" s="46">
        <v>0</v>
      </c>
      <c r="DZ36" s="46">
        <v>0</v>
      </c>
      <c r="EA36" s="46">
        <v>0</v>
      </c>
      <c r="EB36" s="46">
        <v>0</v>
      </c>
      <c r="EC36" s="46">
        <v>0</v>
      </c>
      <c r="ED36" s="46">
        <v>0</v>
      </c>
      <c r="EE36" s="46">
        <v>0</v>
      </c>
      <c r="EF36" s="46">
        <v>0</v>
      </c>
      <c r="EG36" s="46">
        <v>0</v>
      </c>
      <c r="EH36" s="46">
        <v>0</v>
      </c>
      <c r="EI36" s="46">
        <v>0</v>
      </c>
      <c r="EJ36" s="46">
        <v>0</v>
      </c>
      <c r="EK36" s="46">
        <v>0</v>
      </c>
      <c r="EL36" s="46">
        <v>0</v>
      </c>
      <c r="EM36" s="46">
        <v>0</v>
      </c>
      <c r="EN36" s="46">
        <v>0</v>
      </c>
      <c r="EO36" s="46">
        <v>0</v>
      </c>
      <c r="EP36" s="46">
        <v>0</v>
      </c>
      <c r="EQ36" s="46">
        <v>0</v>
      </c>
      <c r="ER36" s="46">
        <v>0</v>
      </c>
      <c r="ES36" s="46">
        <v>0</v>
      </c>
      <c r="ET36" s="46">
        <v>0</v>
      </c>
      <c r="EU36" s="46">
        <v>0</v>
      </c>
      <c r="EV36" s="46">
        <v>0</v>
      </c>
      <c r="EW36" s="46">
        <v>0</v>
      </c>
      <c r="EX36" s="46">
        <v>0</v>
      </c>
      <c r="EY36" s="46">
        <v>0</v>
      </c>
      <c r="EZ36" s="46">
        <v>0</v>
      </c>
      <c r="FA36" s="46">
        <v>0</v>
      </c>
      <c r="FB36" s="46">
        <v>0</v>
      </c>
      <c r="FC36" s="46">
        <v>0</v>
      </c>
      <c r="FD36" s="46">
        <v>0</v>
      </c>
      <c r="FE36" s="46">
        <v>0</v>
      </c>
      <c r="FF36" s="46">
        <v>0</v>
      </c>
      <c r="FG36" s="46">
        <v>0</v>
      </c>
      <c r="FH36" s="46">
        <v>0</v>
      </c>
      <c r="FI36" s="46">
        <v>0</v>
      </c>
      <c r="FJ36" s="46">
        <v>0</v>
      </c>
      <c r="FK36" s="46">
        <v>0</v>
      </c>
      <c r="FL36" s="46">
        <v>0</v>
      </c>
      <c r="FM36" s="46">
        <v>-27654658</v>
      </c>
      <c r="FN36" s="46">
        <v>0</v>
      </c>
      <c r="FO36" s="46">
        <v>0</v>
      </c>
      <c r="FP36" s="46">
        <v>0</v>
      </c>
      <c r="FQ36" s="46">
        <v>0</v>
      </c>
      <c r="FR36" s="46">
        <v>0</v>
      </c>
      <c r="FS36" s="46">
        <v>0</v>
      </c>
      <c r="FT36" s="46">
        <v>0</v>
      </c>
      <c r="FU36" s="46">
        <v>0</v>
      </c>
      <c r="FV36" s="46">
        <v>0</v>
      </c>
      <c r="FW36" s="46">
        <v>0</v>
      </c>
      <c r="FX36" s="46">
        <v>0</v>
      </c>
      <c r="FY36" s="46">
        <v>0</v>
      </c>
      <c r="FZ36" s="46">
        <v>0</v>
      </c>
      <c r="GA36" s="46">
        <v>0</v>
      </c>
      <c r="GB36" s="46">
        <v>0</v>
      </c>
      <c r="GC36" s="46">
        <v>0</v>
      </c>
      <c r="GD36" s="46">
        <v>0</v>
      </c>
      <c r="GE36" s="46">
        <v>0</v>
      </c>
      <c r="GF36" s="46">
        <v>0</v>
      </c>
      <c r="GG36" s="46">
        <v>0</v>
      </c>
      <c r="GH36" s="46">
        <v>0</v>
      </c>
      <c r="GI36" s="46">
        <v>0</v>
      </c>
      <c r="GJ36" s="46">
        <v>0</v>
      </c>
      <c r="GK36" s="46">
        <v>0</v>
      </c>
      <c r="GL36" s="46">
        <v>0</v>
      </c>
      <c r="GM36" s="46">
        <v>0</v>
      </c>
      <c r="GN36" s="46">
        <v>0</v>
      </c>
      <c r="GO36" s="46">
        <v>0</v>
      </c>
      <c r="GP36" s="46">
        <v>0</v>
      </c>
      <c r="GQ36" s="46">
        <v>0</v>
      </c>
      <c r="GR36" s="46">
        <v>0</v>
      </c>
      <c r="GS36" s="46">
        <v>0</v>
      </c>
      <c r="GT36" s="46">
        <v>0</v>
      </c>
      <c r="GU36" s="46">
        <v>0</v>
      </c>
      <c r="GV36" s="46">
        <v>0</v>
      </c>
      <c r="GW36" s="46">
        <v>0</v>
      </c>
      <c r="GX36" s="46">
        <v>0</v>
      </c>
      <c r="GY36" s="46">
        <v>0</v>
      </c>
      <c r="GZ36" s="46">
        <v>0</v>
      </c>
      <c r="HA36" s="46">
        <v>0</v>
      </c>
      <c r="HB36" s="46">
        <v>0</v>
      </c>
      <c r="HC36" s="46">
        <v>0</v>
      </c>
      <c r="HD36" s="46">
        <v>0</v>
      </c>
      <c r="HE36" s="46">
        <v>0</v>
      </c>
      <c r="HF36" s="46">
        <v>0</v>
      </c>
      <c r="HG36" s="46">
        <v>0</v>
      </c>
      <c r="HH36" s="46">
        <v>0</v>
      </c>
      <c r="HI36" s="46">
        <v>0</v>
      </c>
      <c r="HJ36" s="46">
        <v>0</v>
      </c>
      <c r="HK36" s="46">
        <v>0</v>
      </c>
      <c r="HL36" s="46">
        <v>0</v>
      </c>
      <c r="HM36" s="46">
        <v>0</v>
      </c>
      <c r="HN36" s="46">
        <v>0</v>
      </c>
      <c r="HO36" s="46">
        <v>36723633</v>
      </c>
      <c r="HP36" s="46">
        <v>38836924</v>
      </c>
      <c r="HQ36" s="46">
        <v>0</v>
      </c>
      <c r="HR36" s="46">
        <v>0</v>
      </c>
      <c r="HS36" s="46">
        <v>0</v>
      </c>
      <c r="HT36" s="46">
        <v>0</v>
      </c>
      <c r="HU36" s="46">
        <v>0</v>
      </c>
      <c r="HV36" s="46">
        <v>0</v>
      </c>
      <c r="HW36" s="46">
        <v>0</v>
      </c>
      <c r="HX36" s="46">
        <v>0</v>
      </c>
      <c r="HY36" s="46">
        <v>0</v>
      </c>
      <c r="HZ36" s="46">
        <v>0</v>
      </c>
      <c r="IA36" s="46">
        <v>0</v>
      </c>
      <c r="IB36" s="46">
        <v>0</v>
      </c>
      <c r="IC36" s="46">
        <v>0</v>
      </c>
      <c r="ID36" s="46">
        <v>0</v>
      </c>
      <c r="IE36" s="46">
        <v>0</v>
      </c>
      <c r="IF36" s="46">
        <v>0</v>
      </c>
      <c r="IG36" s="46">
        <v>0</v>
      </c>
      <c r="IH36" s="46">
        <v>0</v>
      </c>
      <c r="II36" s="46">
        <v>0</v>
      </c>
      <c r="IJ36" s="46">
        <v>0</v>
      </c>
      <c r="IK36" s="46">
        <v>0</v>
      </c>
      <c r="IL36" s="46">
        <v>0</v>
      </c>
      <c r="IM36" s="46">
        <v>0</v>
      </c>
      <c r="IN36" s="46">
        <v>0</v>
      </c>
      <c r="IO36" s="46">
        <v>0</v>
      </c>
      <c r="IP36" s="46">
        <v>5531354</v>
      </c>
      <c r="IQ36" s="46">
        <v>0</v>
      </c>
      <c r="IR36" s="46">
        <v>0</v>
      </c>
      <c r="IS36" s="46">
        <v>0</v>
      </c>
      <c r="IT36" s="46">
        <v>0</v>
      </c>
      <c r="IU36" s="46">
        <v>0</v>
      </c>
      <c r="IV36" s="46">
        <v>0</v>
      </c>
      <c r="IW36" s="46">
        <v>0</v>
      </c>
      <c r="IX36" s="46">
        <v>0</v>
      </c>
      <c r="IY36" s="46">
        <v>0</v>
      </c>
      <c r="IZ36" s="46">
        <v>0</v>
      </c>
      <c r="JA36" s="46">
        <v>0</v>
      </c>
      <c r="JB36" s="46">
        <v>0</v>
      </c>
      <c r="JC36" s="46">
        <v>0</v>
      </c>
      <c r="JD36" s="46">
        <v>0</v>
      </c>
      <c r="JE36" s="46">
        <v>0</v>
      </c>
      <c r="JF36" s="46">
        <v>0</v>
      </c>
      <c r="JG36" s="46">
        <v>0</v>
      </c>
      <c r="JH36" s="46">
        <v>726266</v>
      </c>
      <c r="JI36" s="46">
        <v>0</v>
      </c>
      <c r="JJ36" s="46">
        <v>0</v>
      </c>
      <c r="JK36" s="46">
        <v>0</v>
      </c>
      <c r="JL36" s="46">
        <v>0</v>
      </c>
      <c r="JM36" s="46">
        <v>0</v>
      </c>
      <c r="JN36" s="46">
        <v>0</v>
      </c>
      <c r="JO36" s="46">
        <v>0</v>
      </c>
      <c r="JP36" s="46">
        <v>0</v>
      </c>
      <c r="JQ36" s="46">
        <v>0</v>
      </c>
      <c r="JR36" s="46">
        <v>0</v>
      </c>
      <c r="JS36" s="46">
        <v>0</v>
      </c>
      <c r="JT36" s="46">
        <v>0</v>
      </c>
      <c r="JU36" s="46">
        <v>0</v>
      </c>
      <c r="JV36" s="46">
        <v>0</v>
      </c>
      <c r="JW36" s="46">
        <v>0</v>
      </c>
      <c r="JX36" s="46">
        <v>0</v>
      </c>
      <c r="JY36" s="46">
        <v>0</v>
      </c>
      <c r="JZ36" s="46">
        <v>0</v>
      </c>
      <c r="KA36" s="46">
        <v>19318277</v>
      </c>
      <c r="KB36" s="46">
        <v>0</v>
      </c>
      <c r="KC36" s="46">
        <v>0</v>
      </c>
      <c r="KD36" s="46">
        <v>0</v>
      </c>
      <c r="KE36" s="46">
        <v>0</v>
      </c>
      <c r="KF36" s="46">
        <v>0</v>
      </c>
      <c r="KG36" s="46">
        <v>0</v>
      </c>
      <c r="KH36" s="46">
        <v>0</v>
      </c>
      <c r="KI36" s="46">
        <v>828255</v>
      </c>
      <c r="KJ36" s="46">
        <v>0</v>
      </c>
      <c r="KK36" s="46">
        <v>0</v>
      </c>
      <c r="KL36" s="46">
        <v>0</v>
      </c>
      <c r="KM36" s="46">
        <v>0</v>
      </c>
      <c r="KN36" s="46">
        <v>0</v>
      </c>
      <c r="KO36" s="46">
        <v>0</v>
      </c>
      <c r="KP36" s="46">
        <v>0</v>
      </c>
      <c r="KQ36" s="46">
        <v>10898987</v>
      </c>
      <c r="KR36" s="46">
        <v>73054623</v>
      </c>
      <c r="KS36" s="46">
        <v>0</v>
      </c>
      <c r="KT36" s="46">
        <v>0</v>
      </c>
      <c r="KU36" s="46">
        <v>0</v>
      </c>
      <c r="KV36" s="46">
        <v>0</v>
      </c>
      <c r="KW36" s="46">
        <v>0</v>
      </c>
      <c r="KX36" s="46">
        <v>0</v>
      </c>
      <c r="KY36" s="46">
        <v>0</v>
      </c>
      <c r="KZ36" s="46">
        <v>0</v>
      </c>
      <c r="LA36" s="46">
        <v>6504394</v>
      </c>
      <c r="LB36" s="46">
        <v>0</v>
      </c>
      <c r="LC36" s="46">
        <v>0</v>
      </c>
      <c r="LD36" s="46">
        <v>0</v>
      </c>
      <c r="LE36" s="46">
        <v>0</v>
      </c>
      <c r="LF36" s="46">
        <v>0</v>
      </c>
      <c r="LG36" s="46">
        <v>0</v>
      </c>
      <c r="LH36" s="46">
        <v>0</v>
      </c>
      <c r="LI36" s="46">
        <v>0</v>
      </c>
      <c r="LJ36" s="46">
        <v>2199823</v>
      </c>
      <c r="LK36" s="46">
        <v>0</v>
      </c>
      <c r="LL36" s="46">
        <v>0</v>
      </c>
      <c r="LM36" s="46">
        <v>0</v>
      </c>
      <c r="LN36" s="46">
        <v>0</v>
      </c>
      <c r="LO36" s="46">
        <v>0</v>
      </c>
      <c r="LP36" s="46">
        <v>0</v>
      </c>
      <c r="LQ36" s="46">
        <v>0</v>
      </c>
      <c r="LR36" s="46">
        <v>0</v>
      </c>
      <c r="LS36" s="46">
        <v>0</v>
      </c>
      <c r="LT36" s="46">
        <v>0</v>
      </c>
      <c r="LU36" s="46">
        <v>0</v>
      </c>
      <c r="LV36" s="46">
        <v>0</v>
      </c>
      <c r="LW36" s="46">
        <v>0</v>
      </c>
      <c r="LX36" s="46">
        <v>0</v>
      </c>
      <c r="LY36" s="46">
        <v>0</v>
      </c>
      <c r="LZ36" s="46">
        <v>0</v>
      </c>
      <c r="MA36" s="46">
        <v>0</v>
      </c>
      <c r="MB36" s="46">
        <v>11468999</v>
      </c>
      <c r="MC36" s="46">
        <v>0</v>
      </c>
      <c r="MD36" s="46">
        <v>0</v>
      </c>
      <c r="ME36" s="46">
        <v>0</v>
      </c>
      <c r="MF36" s="46">
        <v>0</v>
      </c>
      <c r="MG36" s="46">
        <v>0</v>
      </c>
      <c r="MH36" s="46">
        <v>0</v>
      </c>
      <c r="MI36" s="46">
        <v>0</v>
      </c>
      <c r="MJ36" s="46">
        <v>0</v>
      </c>
      <c r="MK36" s="46">
        <v>13813911</v>
      </c>
      <c r="ML36" s="46">
        <v>0</v>
      </c>
      <c r="MM36" s="46">
        <v>0</v>
      </c>
      <c r="MN36" s="46">
        <v>0</v>
      </c>
      <c r="MO36" s="46">
        <v>0</v>
      </c>
      <c r="MP36" s="46">
        <v>0</v>
      </c>
      <c r="MQ36" s="46">
        <v>0</v>
      </c>
      <c r="MR36" s="46">
        <v>0</v>
      </c>
      <c r="MS36" s="46">
        <v>0</v>
      </c>
      <c r="MT36" s="46">
        <v>56011470</v>
      </c>
      <c r="MU36" s="46">
        <v>0</v>
      </c>
      <c r="MV36" s="46">
        <v>0</v>
      </c>
      <c r="MW36" s="46">
        <v>0</v>
      </c>
      <c r="MX36" s="46">
        <v>0</v>
      </c>
      <c r="MY36" s="46">
        <v>0</v>
      </c>
      <c r="MZ36" s="46">
        <v>0</v>
      </c>
      <c r="NA36" s="46">
        <v>0</v>
      </c>
      <c r="NB36" s="46">
        <v>0</v>
      </c>
      <c r="NC36" s="46">
        <v>16832859</v>
      </c>
      <c r="ND36" s="46">
        <v>0</v>
      </c>
      <c r="NE36" s="46">
        <v>0</v>
      </c>
      <c r="NF36" s="46">
        <v>0</v>
      </c>
      <c r="NG36" s="46">
        <v>0</v>
      </c>
      <c r="NH36" s="46">
        <v>0</v>
      </c>
      <c r="NI36" s="46">
        <v>0</v>
      </c>
      <c r="NJ36" s="46">
        <v>0</v>
      </c>
      <c r="NK36" s="46">
        <v>0</v>
      </c>
      <c r="NL36" s="46">
        <v>33357381</v>
      </c>
      <c r="NM36" s="46">
        <v>0</v>
      </c>
      <c r="NN36" s="46">
        <v>0</v>
      </c>
      <c r="NO36" s="46">
        <v>0</v>
      </c>
      <c r="NP36" s="46">
        <v>0</v>
      </c>
      <c r="NQ36" s="46">
        <v>0</v>
      </c>
      <c r="NR36" s="46">
        <v>0</v>
      </c>
      <c r="NS36" s="46">
        <v>0</v>
      </c>
      <c r="NT36" s="46">
        <v>0</v>
      </c>
      <c r="NU36" s="46">
        <v>17509359</v>
      </c>
      <c r="NV36" s="46">
        <v>0</v>
      </c>
      <c r="NW36" s="46">
        <v>0</v>
      </c>
      <c r="NX36" s="46">
        <v>0</v>
      </c>
      <c r="NY36" s="46">
        <v>0</v>
      </c>
      <c r="NZ36" s="46">
        <v>0</v>
      </c>
      <c r="OA36" s="46">
        <v>0</v>
      </c>
      <c r="OB36" s="46">
        <v>0</v>
      </c>
      <c r="OC36" s="46">
        <v>0</v>
      </c>
      <c r="OD36" s="46">
        <v>0</v>
      </c>
      <c r="OE36" s="46">
        <v>0</v>
      </c>
      <c r="OF36" s="46">
        <v>0</v>
      </c>
      <c r="OG36" s="46">
        <v>0</v>
      </c>
      <c r="OH36" s="46">
        <v>0</v>
      </c>
      <c r="OI36" s="46">
        <v>0</v>
      </c>
      <c r="OJ36" s="46">
        <v>0</v>
      </c>
      <c r="OK36" s="46">
        <v>0</v>
      </c>
      <c r="OL36" s="46">
        <v>0</v>
      </c>
      <c r="OM36" s="46">
        <v>0</v>
      </c>
      <c r="ON36" s="46">
        <v>0</v>
      </c>
      <c r="OO36" s="46">
        <v>0</v>
      </c>
      <c r="OP36" s="46">
        <v>0</v>
      </c>
      <c r="OQ36" s="46">
        <v>0</v>
      </c>
      <c r="OR36" s="46">
        <v>0</v>
      </c>
      <c r="OS36" s="46">
        <v>0</v>
      </c>
      <c r="OT36" s="46">
        <v>0</v>
      </c>
      <c r="OU36" s="46">
        <v>0</v>
      </c>
      <c r="OV36" s="46">
        <v>0</v>
      </c>
      <c r="OW36" s="46">
        <v>0</v>
      </c>
      <c r="OX36" s="46">
        <v>0</v>
      </c>
      <c r="OY36" s="46">
        <v>0</v>
      </c>
      <c r="OZ36" s="46">
        <v>0</v>
      </c>
      <c r="PA36" s="46">
        <v>0</v>
      </c>
      <c r="PB36" s="46">
        <v>0</v>
      </c>
      <c r="PC36" s="46">
        <v>0</v>
      </c>
      <c r="PD36" s="46">
        <v>0</v>
      </c>
      <c r="PE36" s="46">
        <v>0</v>
      </c>
      <c r="PF36" s="46">
        <v>0</v>
      </c>
      <c r="PG36" s="46">
        <v>0</v>
      </c>
      <c r="PH36" s="46">
        <v>0</v>
      </c>
      <c r="PI36" s="46">
        <v>0</v>
      </c>
      <c r="PJ36" s="46">
        <v>0</v>
      </c>
      <c r="PK36" s="46">
        <v>0</v>
      </c>
      <c r="PL36" s="46">
        <v>0</v>
      </c>
      <c r="PM36" s="46">
        <v>-20453267</v>
      </c>
      <c r="PN36" s="46">
        <v>0</v>
      </c>
      <c r="PO36" s="46">
        <v>0</v>
      </c>
      <c r="PP36" s="46">
        <v>0</v>
      </c>
      <c r="PQ36" s="46">
        <v>0</v>
      </c>
      <c r="PR36" s="46">
        <v>0</v>
      </c>
      <c r="PS36" s="46">
        <v>0</v>
      </c>
      <c r="PT36" s="46">
        <v>0</v>
      </c>
      <c r="PU36" s="46">
        <v>0</v>
      </c>
      <c r="PV36" s="46">
        <v>0</v>
      </c>
      <c r="PW36" s="46">
        <v>0</v>
      </c>
      <c r="PX36" s="46">
        <v>0</v>
      </c>
      <c r="PY36" s="46">
        <v>0</v>
      </c>
      <c r="PZ36" s="46">
        <v>0</v>
      </c>
      <c r="QA36" s="46">
        <v>0</v>
      </c>
      <c r="QB36" s="46">
        <v>0</v>
      </c>
      <c r="QC36" s="46">
        <v>0</v>
      </c>
      <c r="QD36" s="46">
        <v>0</v>
      </c>
      <c r="QE36" s="46">
        <v>-5316287</v>
      </c>
      <c r="QF36" s="46">
        <v>0</v>
      </c>
      <c r="QG36" s="46">
        <v>0</v>
      </c>
      <c r="QH36" s="46">
        <v>0</v>
      </c>
      <c r="QI36" s="46">
        <v>0</v>
      </c>
      <c r="QJ36" s="46">
        <v>0</v>
      </c>
      <c r="QK36" s="46">
        <v>0</v>
      </c>
      <c r="QL36" s="46">
        <v>0</v>
      </c>
      <c r="QM36" s="46">
        <v>0</v>
      </c>
      <c r="QN36" s="46">
        <v>0</v>
      </c>
      <c r="QO36" s="46">
        <v>0</v>
      </c>
      <c r="QP36" s="46">
        <v>0</v>
      </c>
      <c r="QQ36" s="46">
        <v>0</v>
      </c>
      <c r="QR36" s="46">
        <v>0</v>
      </c>
      <c r="QS36" s="46">
        <v>0</v>
      </c>
      <c r="QT36" s="46">
        <v>0</v>
      </c>
      <c r="QU36" s="46">
        <v>0</v>
      </c>
      <c r="QV36" s="46">
        <v>0</v>
      </c>
      <c r="QW36" s="46">
        <v>0</v>
      </c>
      <c r="QX36" s="46">
        <v>0</v>
      </c>
      <c r="QY36" s="46">
        <v>0</v>
      </c>
      <c r="QZ36" s="46">
        <v>0</v>
      </c>
      <c r="RA36" s="46">
        <v>0</v>
      </c>
      <c r="RB36" s="46">
        <v>0</v>
      </c>
      <c r="RC36" s="46">
        <v>0</v>
      </c>
      <c r="RD36" s="46">
        <v>0</v>
      </c>
      <c r="RE36" s="46">
        <v>0</v>
      </c>
      <c r="RF36" s="46">
        <v>0</v>
      </c>
      <c r="RG36" s="46">
        <v>0</v>
      </c>
      <c r="RH36" s="46">
        <v>0</v>
      </c>
      <c r="RI36" s="46">
        <v>0</v>
      </c>
      <c r="RJ36" s="46">
        <v>0</v>
      </c>
      <c r="RK36" s="46">
        <v>0</v>
      </c>
      <c r="RL36" s="46">
        <v>0</v>
      </c>
      <c r="RM36" s="46">
        <v>0</v>
      </c>
      <c r="RN36" s="46">
        <v>0</v>
      </c>
      <c r="RO36" s="46">
        <v>-19955930</v>
      </c>
      <c r="RP36" s="46">
        <v>0</v>
      </c>
      <c r="RQ36" s="46">
        <v>0</v>
      </c>
      <c r="RR36" s="46">
        <v>0</v>
      </c>
      <c r="RS36" s="46">
        <v>0</v>
      </c>
      <c r="RT36" s="46">
        <v>0</v>
      </c>
      <c r="RU36" s="46">
        <v>0</v>
      </c>
      <c r="RV36" s="46">
        <v>0</v>
      </c>
      <c r="RW36" s="46">
        <v>0</v>
      </c>
      <c r="RX36" s="46">
        <v>0</v>
      </c>
      <c r="RY36" s="46">
        <v>0</v>
      </c>
      <c r="RZ36" s="46">
        <v>0</v>
      </c>
      <c r="SA36" s="46">
        <v>0</v>
      </c>
      <c r="SB36" s="46">
        <v>0</v>
      </c>
      <c r="SC36" s="46">
        <v>0</v>
      </c>
      <c r="SD36" s="46">
        <v>0</v>
      </c>
      <c r="SE36" s="46">
        <v>0</v>
      </c>
      <c r="SF36" s="46">
        <v>0</v>
      </c>
      <c r="SG36" s="46">
        <v>0</v>
      </c>
      <c r="SH36" s="46">
        <v>0</v>
      </c>
      <c r="SI36" s="46">
        <v>0</v>
      </c>
      <c r="SJ36" s="46">
        <v>0</v>
      </c>
      <c r="SK36" s="46">
        <v>0</v>
      </c>
      <c r="SL36" s="46">
        <v>0</v>
      </c>
      <c r="SM36" s="46">
        <v>0</v>
      </c>
      <c r="SN36" s="46">
        <v>0</v>
      </c>
      <c r="SO36" s="46">
        <v>0</v>
      </c>
      <c r="SP36" s="46">
        <v>0</v>
      </c>
      <c r="SQ36" s="46">
        <v>0</v>
      </c>
      <c r="SR36" s="46">
        <v>0</v>
      </c>
      <c r="SS36" s="46">
        <v>0</v>
      </c>
      <c r="ST36" s="46">
        <v>0</v>
      </c>
      <c r="SU36" s="46">
        <v>0</v>
      </c>
      <c r="SV36" s="46">
        <v>0</v>
      </c>
      <c r="SW36" s="46">
        <v>0</v>
      </c>
      <c r="SX36" s="46">
        <v>0</v>
      </c>
      <c r="SY36" s="46">
        <v>0</v>
      </c>
      <c r="SZ36" s="46">
        <v>0</v>
      </c>
      <c r="TA36" s="46">
        <v>0</v>
      </c>
      <c r="TB36" s="46">
        <v>0</v>
      </c>
      <c r="TC36" s="46">
        <v>0</v>
      </c>
      <c r="TD36" s="46">
        <v>0</v>
      </c>
      <c r="TE36" s="46">
        <v>0</v>
      </c>
      <c r="TF36" s="46">
        <v>0</v>
      </c>
      <c r="TG36" s="46">
        <v>0</v>
      </c>
      <c r="TH36" s="46">
        <v>0</v>
      </c>
      <c r="TI36" s="46">
        <v>0</v>
      </c>
      <c r="TJ36" s="46">
        <v>0</v>
      </c>
      <c r="TK36" s="46">
        <v>0</v>
      </c>
      <c r="TL36" s="46">
        <v>0</v>
      </c>
      <c r="TM36" s="46">
        <v>0</v>
      </c>
      <c r="TN36" s="46">
        <v>0</v>
      </c>
      <c r="TO36" s="46">
        <v>0</v>
      </c>
      <c r="TP36" s="46">
        <v>0</v>
      </c>
      <c r="TQ36" s="46">
        <v>0</v>
      </c>
      <c r="TR36" s="46">
        <v>0</v>
      </c>
      <c r="TS36" s="46">
        <v>0</v>
      </c>
      <c r="TT36" s="46">
        <v>0</v>
      </c>
      <c r="TU36" s="46">
        <v>0</v>
      </c>
      <c r="TV36" s="46">
        <v>0</v>
      </c>
      <c r="TW36" s="46">
        <v>0</v>
      </c>
      <c r="TX36" s="46">
        <v>0</v>
      </c>
      <c r="TY36" s="46">
        <v>0</v>
      </c>
      <c r="TZ36" s="46">
        <v>0</v>
      </c>
      <c r="UA36" s="46">
        <v>0</v>
      </c>
      <c r="UB36" s="46">
        <v>0</v>
      </c>
      <c r="UC36" s="46">
        <v>0</v>
      </c>
      <c r="UD36" s="46">
        <v>0</v>
      </c>
      <c r="UE36" s="46">
        <v>73054623</v>
      </c>
      <c r="UF36" s="46">
        <v>6504394</v>
      </c>
      <c r="UG36" s="46">
        <v>2199823</v>
      </c>
      <c r="UH36" s="46">
        <v>0</v>
      </c>
      <c r="UI36" s="46">
        <v>11468999</v>
      </c>
      <c r="UJ36" s="46">
        <v>13813911</v>
      </c>
      <c r="UK36" s="46">
        <v>56011470</v>
      </c>
      <c r="UL36" s="46">
        <v>16832859</v>
      </c>
      <c r="UM36" s="46">
        <v>33357381</v>
      </c>
      <c r="UN36" s="46">
        <v>17509359</v>
      </c>
      <c r="UO36" s="46" t="s">
        <v>106</v>
      </c>
      <c r="UP36" s="46" t="s">
        <v>106</v>
      </c>
      <c r="UQ36" s="46"/>
      <c r="UR36" s="46"/>
      <c r="US36" s="8" t="s">
        <v>805</v>
      </c>
      <c r="UT36" s="47">
        <v>7133131301</v>
      </c>
      <c r="UU36" s="8" t="s">
        <v>1310</v>
      </c>
      <c r="UV36" s="8" t="s">
        <v>806</v>
      </c>
      <c r="UW36" s="47">
        <v>7133137197</v>
      </c>
      <c r="UX36" s="8" t="s">
        <v>807</v>
      </c>
      <c r="UY36" s="51" cm="1">
        <f t="array" ref="UY36">IFERROR(_xlfn.IFS(Input[[#This Row],[Type]]="HRI",SUMIFS('FTSE | FTFE'!$P$8:$P$77,'FTSE | FTFE'!$H$8:$H$77,A36),Input[[#This Row],[Type]]="UNIV",SUMIFS('FTSE | FTFE'!$P$104:$P$139,'FTSE | FTFE'!$H$104:$H$139,A36),OR(Input[[#This Row],[Type]]="TSTC",Input[[#This Row],[Type]]="LSC"),SUMIFS('FTSE | FTFE'!$O$88:$O$96,'FTSE | FTFE'!$H$88:$H$96,A36),Input[[#This Row],[Type]]="AHM",SUMIFS(Hidden!$H$42:$H$45,Hidden!$G$42:$G$45,A36)),"N/A")</f>
        <v>8007</v>
      </c>
      <c r="UZ36" s="51" cm="1">
        <f t="array" ref="UZ36">IFERROR(_xlfn.IFS(Input[[#This Row],[Type]]="HRI",SUMIFS('FTSE | FTFE'!$Q$8:$Q$77,'FTSE | FTFE'!$H$8:$H$77,A36),Input[[#This Row],[Type]]="UNIV",SUMIFS('FTSE | FTFE'!$Q$104:$Q$139,'FTSE | FTFE'!$H$104:$H$139,A36),OR(Input[[#This Row],[Type]]="TSTC",Input[[#This Row],[Type]]="LSC"),SUMIFS('FTSE | FTFE'!$P$88:$P$96,'FTSE | FTFE'!$H$88:$H$96,A36)),"N/A")</f>
        <v>236</v>
      </c>
      <c r="VA3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72465159</v>
      </c>
      <c r="VB3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35162824</v>
      </c>
      <c r="VC36" s="46">
        <f>SUM(Input[[#This Row],[Fed G&amp;C E&amp;G]],Input[[#This Row],[Fed G&amp;C Desg]],Input[[#This Row],[Fed G&amp;C R Exp]],Input[[#This Row],[Fed G&amp;C Loan]],Input[[#This Row],[Fed G&amp;C Annuity]],Input[[#This Row],[Fed G&amp;C Unexp]],Input[[#This Row],[Fed G&amp;C R of Ind]],Input[[#This Row],[Fed G&amp;C Inv in P]])</f>
        <v>75560557</v>
      </c>
      <c r="VD3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17984862</v>
      </c>
      <c r="VE3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86366449</v>
      </c>
      <c r="VF3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-27654658</v>
      </c>
      <c r="VG36" s="46">
        <f>SUM(Input[[#This Row],[Oth Inc E&amp;G]],Input[[#This Row],[Oth Exp Desg]],Input[[#This Row],[Oth Exp R Exp]],Input[[#This Row],[Oth Exp Loan]],Input[[#This Row],[Oth Exp Annuity]],Input[[#This Row],[Oth Exp Unexp]],Input[[#This Row],[Oth Exp R of Ind]],Input[[#This Row],[Oth Exp Inv in P]])</f>
        <v>828255</v>
      </c>
      <c r="VH36" s="46">
        <f>SUM(Input[[#This Row],[Instr E&amp;G]],Input[[#This Row],[Instr Desg]],Input[[#This Row],[Instr R Exp]],Input[[#This Row],[Instr Loan]],Input[[#This Row],[Instr Annuity]],Input[[#This Row],[Instr Unexp]],Input[[#This Row],[Instr R of Ind]],Input[[#This Row],[Instr Inv in P]])</f>
        <v>73054623</v>
      </c>
      <c r="VI36" s="46">
        <f>SUM(Input[[#This Row],[Res E&amp;G]],Input[[#This Row],[Res Desg]],Input[[#This Row],[Res R Exp]],Input[[#This Row],[Res Loan]],Input[[#This Row],[Res Annuity]],Input[[#This Row],[Res Unexp]],Input[[#This Row],[Res R of Ind]],Input[[#This Row],[Res Inv in P]])</f>
        <v>6504394</v>
      </c>
      <c r="VJ36" s="46">
        <f>SUM(Input[[#This Row],[Acad Sup E&amp;G]],Input[[#This Row],[Acad Sup Desg]],Input[[#This Row],[Acad Sup R Exp]],Input[[#This Row],[Acad Sup Loan]],Input[[#This Row],[Acad Sup Annuity]],Input[[#This Row],[Acad Sup Unexp]],Input[[#This Row],[Acad Sup R of Ind]],Input[[#This Row],[Acad Sup Inv in P]])</f>
        <v>11468999</v>
      </c>
      <c r="VK36" s="46">
        <f>SUM(Input[[#This Row],[Stu Svc E&amp;G]],Input[[#This Row],[Stu Svc Desg]],Input[[#This Row],[Stu Svc R Exp]],Input[[#This Row],[Stu Svc Loan]],Input[[#This Row],[Stu Svc Annuity]],Input[[#This Row],[Stu Svc Unexp]],Input[[#This Row],[Stu Svc R of Ind]],Input[[#This Row],[Stu Svc Inv in P]])</f>
        <v>13813911</v>
      </c>
      <c r="VL36" s="46">
        <f>SUM(Input[[#This Row],[Inst. Spt E&amp;G]],Input[[#This Row],[Inst. Spt Desg]],Input[[#This Row],[Inst. Spt R Exp]],Input[[#This Row],[Inst. Spt Loan]],Input[[#This Row],[Inst. Spt Annuity]],Input[[#This Row],[Inst. Spt Unexp]],Input[[#This Row],[Inst. Spt R of Ind]],Input[[#This Row],[Inst. Spt Inv in P]])</f>
        <v>56011470</v>
      </c>
      <c r="VM36" s="46">
        <f>SUM(Input[[#This Row],[M&amp;O Plnt E&amp;G]],Input[[#This Row],[M&amp;O Plnt Desg]],Input[[#This Row],[M&amp;O Plnt R Exp]],Input[[#This Row],[M&amp;O Plnt Loan]],Input[[#This Row],[M&amp;O Plnt Annuity]],Input[[#This Row],[M&amp;O Plnt Unexp]],Input[[#This Row],[M&amp;O Plnt R of Ind]],Input[[#This Row],[M&amp;O Plnt Inv in P]])</f>
        <v>16832859</v>
      </c>
      <c r="VN36" s="46">
        <f>SUM(Input[[#This Row],[Schl &amp; Fell E&amp;G]],Input[[#This Row],[Schl &amp; Fell Desg]],Input[[#This Row],[Schl &amp; Fell R Exp]],Input[[#This Row],[Schl &amp; Fell Loan]],Input[[#This Row],[Schl &amp; Fell Annuity]],Input[[#This Row],[Schl &amp; Fell Unexp]],Input[[#This Row],[Schl &amp; Fell R of Ind]],Input[[#This Row],[Schl &amp; Fell Inv in P]])</f>
        <v>33357381</v>
      </c>
      <c r="VO36" s="46">
        <f>SUM(Input[[#This Row],[Cap Out fund E&amp;G]],Input[[#This Row],[Cap Out fund Desg]],Input[[#This Row],[Cap Out fund R Exp]],Input[[#This Row],[Cap Out fund Loan]],Input[[#This Row],[Cap Out fund Annuity]],Input[[#This Row],[Cap Out fund Unexp]],Input[[#This Row],[Cap Out fund R of Ind]],Input[[#This Row],[Cap Out fund Inv in P]])</f>
        <v>0</v>
      </c>
      <c r="VP36" s="46">
        <f>SUM(Input[[#This Row],[Oth Exp E&amp;G]],Input[[#This Row],[Oth Exp Desg]],Input[[#This Row],[Oth Exp R Exp]],Input[[#This Row],[Oth Exp Loan]],Input[[#This Row],[Oth Exp Annuity]],Input[[#This Row],[Oth Exp Unexp]],Input[[#This Row],[Oth Exp R of Ind]],Input[[#This Row],[Oth Exp Inv in P]],Input[[#This Row],[Oth Exp Inv in P]])</f>
        <v>0</v>
      </c>
    </row>
    <row r="37" spans="1:588" ht="30" customHeight="1" x14ac:dyDescent="0.3">
      <c r="A37" s="15" t="s">
        <v>170</v>
      </c>
      <c r="B37" s="36" t="s">
        <v>109</v>
      </c>
      <c r="C37" s="36" t="s">
        <v>120</v>
      </c>
      <c r="D37" s="36">
        <v>600</v>
      </c>
      <c r="E37" s="36" t="s">
        <v>132</v>
      </c>
      <c r="F37" s="95" t="s">
        <v>106</v>
      </c>
      <c r="G37" s="46">
        <v>2974018</v>
      </c>
      <c r="H37" s="46">
        <v>0</v>
      </c>
      <c r="I37" s="46">
        <v>0</v>
      </c>
      <c r="J37" s="46">
        <v>0</v>
      </c>
      <c r="K37" s="46">
        <v>0</v>
      </c>
      <c r="L37" s="46">
        <v>0</v>
      </c>
      <c r="M37" s="46">
        <v>0</v>
      </c>
      <c r="N37" s="46">
        <v>0</v>
      </c>
      <c r="O37" s="46">
        <v>0</v>
      </c>
      <c r="P37" s="46">
        <v>0</v>
      </c>
      <c r="Q37" s="46">
        <v>0</v>
      </c>
      <c r="R37" s="46">
        <v>0</v>
      </c>
      <c r="S37" s="46">
        <v>0</v>
      </c>
      <c r="T37" s="46">
        <v>0</v>
      </c>
      <c r="U37" s="46">
        <v>0</v>
      </c>
      <c r="V37" s="46">
        <v>0</v>
      </c>
      <c r="W37" s="46">
        <v>0</v>
      </c>
      <c r="X37" s="46">
        <v>0</v>
      </c>
      <c r="Y37" s="46">
        <v>0</v>
      </c>
      <c r="Z37" s="46">
        <v>0</v>
      </c>
      <c r="AA37" s="46">
        <v>0</v>
      </c>
      <c r="AB37" s="46">
        <v>0</v>
      </c>
      <c r="AC37" s="46">
        <v>0</v>
      </c>
      <c r="AD37" s="46">
        <v>0</v>
      </c>
      <c r="AE37" s="46">
        <v>0</v>
      </c>
      <c r="AF37" s="46">
        <v>0</v>
      </c>
      <c r="AG37" s="46">
        <v>0</v>
      </c>
      <c r="AH37" s="46">
        <v>0</v>
      </c>
      <c r="AI37" s="46">
        <v>0</v>
      </c>
      <c r="AJ37" s="46">
        <v>0</v>
      </c>
      <c r="AK37" s="46">
        <v>0</v>
      </c>
      <c r="AL37" s="46">
        <v>0</v>
      </c>
      <c r="AM37" s="46">
        <v>0</v>
      </c>
      <c r="AN37" s="46">
        <v>0</v>
      </c>
      <c r="AO37" s="46">
        <v>0</v>
      </c>
      <c r="AP37" s="46">
        <v>0</v>
      </c>
      <c r="AQ37" s="46">
        <v>0</v>
      </c>
      <c r="AR37" s="46">
        <v>0</v>
      </c>
      <c r="AS37" s="46">
        <v>0</v>
      </c>
      <c r="AT37" s="46">
        <v>0</v>
      </c>
      <c r="AU37" s="46">
        <v>0</v>
      </c>
      <c r="AV37" s="46">
        <v>0</v>
      </c>
      <c r="AW37" s="46">
        <v>0</v>
      </c>
      <c r="AX37" s="46">
        <v>0</v>
      </c>
      <c r="AY37" s="46">
        <v>0</v>
      </c>
      <c r="AZ37" s="46">
        <v>0</v>
      </c>
      <c r="BA37" s="46">
        <v>0</v>
      </c>
      <c r="BB37" s="46">
        <v>0</v>
      </c>
      <c r="BC37" s="46">
        <v>0</v>
      </c>
      <c r="BD37" s="46">
        <v>0</v>
      </c>
      <c r="BE37" s="46">
        <v>0</v>
      </c>
      <c r="BF37" s="46">
        <v>0</v>
      </c>
      <c r="BG37" s="46">
        <v>0</v>
      </c>
      <c r="BH37" s="46">
        <v>0</v>
      </c>
      <c r="BI37" s="46">
        <v>0</v>
      </c>
      <c r="BJ37" s="46">
        <v>0</v>
      </c>
      <c r="BK37" s="46">
        <v>0</v>
      </c>
      <c r="BL37" s="46">
        <v>0</v>
      </c>
      <c r="BM37" s="46">
        <v>0</v>
      </c>
      <c r="BN37" s="46">
        <v>0</v>
      </c>
      <c r="BO37" s="46">
        <v>0</v>
      </c>
      <c r="BP37" s="46">
        <v>0</v>
      </c>
      <c r="BQ37" s="46">
        <v>0</v>
      </c>
      <c r="BR37" s="46">
        <v>0</v>
      </c>
      <c r="BS37" s="46">
        <v>0</v>
      </c>
      <c r="BT37" s="46">
        <v>0</v>
      </c>
      <c r="BU37" s="46">
        <v>0</v>
      </c>
      <c r="BV37" s="46">
        <v>0</v>
      </c>
      <c r="BW37" s="46">
        <v>0</v>
      </c>
      <c r="BX37" s="46">
        <v>0</v>
      </c>
      <c r="BY37" s="46">
        <v>0</v>
      </c>
      <c r="BZ37" s="46">
        <v>0</v>
      </c>
      <c r="CA37" s="46">
        <v>0</v>
      </c>
      <c r="CB37" s="46">
        <v>0</v>
      </c>
      <c r="CC37" s="46">
        <v>0</v>
      </c>
      <c r="CD37" s="46">
        <v>0</v>
      </c>
      <c r="CE37" s="46">
        <v>0</v>
      </c>
      <c r="CF37" s="46">
        <v>0</v>
      </c>
      <c r="CG37" s="46">
        <v>0</v>
      </c>
      <c r="CH37" s="46">
        <v>0</v>
      </c>
      <c r="CI37" s="46">
        <v>0</v>
      </c>
      <c r="CJ37" s="46">
        <v>0</v>
      </c>
      <c r="CK37" s="46">
        <v>0</v>
      </c>
      <c r="CL37" s="46">
        <v>0</v>
      </c>
      <c r="CM37" s="46">
        <v>0</v>
      </c>
      <c r="CN37" s="46">
        <v>0</v>
      </c>
      <c r="CO37" s="46">
        <v>0</v>
      </c>
      <c r="CP37" s="46">
        <v>0</v>
      </c>
      <c r="CQ37" s="46">
        <v>0</v>
      </c>
      <c r="CR37" s="46">
        <v>0</v>
      </c>
      <c r="CS37" s="46">
        <v>0</v>
      </c>
      <c r="CT37" s="46">
        <v>0</v>
      </c>
      <c r="CU37" s="46">
        <v>0</v>
      </c>
      <c r="CV37" s="46">
        <v>0</v>
      </c>
      <c r="CW37" s="46">
        <v>0</v>
      </c>
      <c r="CX37" s="46">
        <v>0</v>
      </c>
      <c r="CY37" s="46">
        <v>0</v>
      </c>
      <c r="CZ37" s="46">
        <v>0</v>
      </c>
      <c r="DA37" s="46">
        <v>0</v>
      </c>
      <c r="DB37" s="46">
        <v>0</v>
      </c>
      <c r="DC37" s="46">
        <v>0</v>
      </c>
      <c r="DD37" s="46">
        <v>0</v>
      </c>
      <c r="DE37" s="46">
        <v>0</v>
      </c>
      <c r="DF37" s="46">
        <v>0</v>
      </c>
      <c r="DG37" s="46">
        <v>0</v>
      </c>
      <c r="DH37" s="46">
        <v>0</v>
      </c>
      <c r="DI37" s="46">
        <v>0</v>
      </c>
      <c r="DJ37" s="46">
        <v>0</v>
      </c>
      <c r="DK37" s="46">
        <v>0</v>
      </c>
      <c r="DL37" s="46">
        <v>0</v>
      </c>
      <c r="DM37" s="46">
        <v>0</v>
      </c>
      <c r="DN37" s="46">
        <v>0</v>
      </c>
      <c r="DO37" s="46">
        <v>0</v>
      </c>
      <c r="DP37" s="46">
        <v>0</v>
      </c>
      <c r="DQ37" s="46">
        <v>0</v>
      </c>
      <c r="DR37" s="46">
        <v>0</v>
      </c>
      <c r="DS37" s="46">
        <v>0</v>
      </c>
      <c r="DT37" s="46">
        <v>0</v>
      </c>
      <c r="DU37" s="46">
        <v>0</v>
      </c>
      <c r="DV37" s="46">
        <v>0</v>
      </c>
      <c r="DW37" s="46">
        <v>0</v>
      </c>
      <c r="DX37" s="46">
        <v>0</v>
      </c>
      <c r="DY37" s="46">
        <v>0</v>
      </c>
      <c r="DZ37" s="46">
        <v>0</v>
      </c>
      <c r="EA37" s="46">
        <v>0</v>
      </c>
      <c r="EB37" s="46">
        <v>0</v>
      </c>
      <c r="EC37" s="46">
        <v>0</v>
      </c>
      <c r="ED37" s="46">
        <v>0</v>
      </c>
      <c r="EE37" s="46">
        <v>0</v>
      </c>
      <c r="EF37" s="46">
        <v>0</v>
      </c>
      <c r="EG37" s="46">
        <v>0</v>
      </c>
      <c r="EH37" s="46">
        <v>0</v>
      </c>
      <c r="EI37" s="46">
        <v>0</v>
      </c>
      <c r="EJ37" s="46">
        <v>0</v>
      </c>
      <c r="EK37" s="46">
        <v>0</v>
      </c>
      <c r="EL37" s="46">
        <v>0</v>
      </c>
      <c r="EM37" s="46">
        <v>0</v>
      </c>
      <c r="EN37" s="46">
        <v>0</v>
      </c>
      <c r="EO37" s="46">
        <v>0</v>
      </c>
      <c r="EP37" s="46">
        <v>0</v>
      </c>
      <c r="EQ37" s="46">
        <v>0</v>
      </c>
      <c r="ER37" s="46">
        <v>0</v>
      </c>
      <c r="ES37" s="46">
        <v>0</v>
      </c>
      <c r="ET37" s="46">
        <v>0</v>
      </c>
      <c r="EU37" s="46">
        <v>0</v>
      </c>
      <c r="EV37" s="46">
        <v>0</v>
      </c>
      <c r="EW37" s="46">
        <v>0</v>
      </c>
      <c r="EX37" s="46">
        <v>0</v>
      </c>
      <c r="EY37" s="46">
        <v>0</v>
      </c>
      <c r="EZ37" s="46">
        <v>0</v>
      </c>
      <c r="FA37" s="46">
        <v>0</v>
      </c>
      <c r="FB37" s="46">
        <v>0</v>
      </c>
      <c r="FC37" s="46">
        <v>0</v>
      </c>
      <c r="FD37" s="46">
        <v>0</v>
      </c>
      <c r="FE37" s="46">
        <v>0</v>
      </c>
      <c r="FF37" s="46">
        <v>0</v>
      </c>
      <c r="FG37" s="46">
        <v>0</v>
      </c>
      <c r="FH37" s="46">
        <v>0</v>
      </c>
      <c r="FI37" s="46">
        <v>0</v>
      </c>
      <c r="FJ37" s="46">
        <v>0</v>
      </c>
      <c r="FK37" s="46">
        <v>0</v>
      </c>
      <c r="FL37" s="46">
        <v>0</v>
      </c>
      <c r="FM37" s="46">
        <v>0</v>
      </c>
      <c r="FN37" s="46">
        <v>0</v>
      </c>
      <c r="FO37" s="46">
        <v>0</v>
      </c>
      <c r="FP37" s="46">
        <v>0</v>
      </c>
      <c r="FQ37" s="46">
        <v>0</v>
      </c>
      <c r="FR37" s="46">
        <v>0</v>
      </c>
      <c r="FS37" s="46">
        <v>0</v>
      </c>
      <c r="FT37" s="46">
        <v>0</v>
      </c>
      <c r="FU37" s="46">
        <v>0</v>
      </c>
      <c r="FV37" s="46">
        <v>0</v>
      </c>
      <c r="FW37" s="46">
        <v>0</v>
      </c>
      <c r="FX37" s="46">
        <v>0</v>
      </c>
      <c r="FY37" s="46">
        <v>0</v>
      </c>
      <c r="FZ37" s="46">
        <v>0</v>
      </c>
      <c r="GA37" s="46">
        <v>0</v>
      </c>
      <c r="GB37" s="46">
        <v>0</v>
      </c>
      <c r="GC37" s="46">
        <v>0</v>
      </c>
      <c r="GD37" s="46">
        <v>0</v>
      </c>
      <c r="GE37" s="46">
        <v>0</v>
      </c>
      <c r="GF37" s="46">
        <v>0</v>
      </c>
      <c r="GG37" s="46">
        <v>0</v>
      </c>
      <c r="GH37" s="46">
        <v>0</v>
      </c>
      <c r="GI37" s="46">
        <v>0</v>
      </c>
      <c r="GJ37" s="46">
        <v>0</v>
      </c>
      <c r="GK37" s="46">
        <v>0</v>
      </c>
      <c r="GL37" s="46">
        <v>0</v>
      </c>
      <c r="GM37" s="46">
        <v>0</v>
      </c>
      <c r="GN37" s="46">
        <v>0</v>
      </c>
      <c r="GO37" s="46">
        <v>0</v>
      </c>
      <c r="GP37" s="46">
        <v>0</v>
      </c>
      <c r="GQ37" s="46">
        <v>0</v>
      </c>
      <c r="GR37" s="46">
        <v>0</v>
      </c>
      <c r="GS37" s="46">
        <v>0</v>
      </c>
      <c r="GT37" s="46">
        <v>0</v>
      </c>
      <c r="GU37" s="46">
        <v>0</v>
      </c>
      <c r="GV37" s="46">
        <v>0</v>
      </c>
      <c r="GW37" s="46">
        <v>0</v>
      </c>
      <c r="GX37" s="46">
        <v>0</v>
      </c>
      <c r="GY37" s="46">
        <v>0</v>
      </c>
      <c r="GZ37" s="46">
        <v>0</v>
      </c>
      <c r="HA37" s="46">
        <v>0</v>
      </c>
      <c r="HB37" s="46">
        <v>0</v>
      </c>
      <c r="HC37" s="46">
        <v>0</v>
      </c>
      <c r="HD37" s="46">
        <v>0</v>
      </c>
      <c r="HE37" s="46">
        <v>0</v>
      </c>
      <c r="HF37" s="46">
        <v>0</v>
      </c>
      <c r="HG37" s="46">
        <v>0</v>
      </c>
      <c r="HH37" s="46">
        <v>0</v>
      </c>
      <c r="HI37" s="46">
        <v>0</v>
      </c>
      <c r="HJ37" s="46">
        <v>0</v>
      </c>
      <c r="HK37" s="46">
        <v>0</v>
      </c>
      <c r="HL37" s="46">
        <v>0</v>
      </c>
      <c r="HM37" s="46">
        <v>0</v>
      </c>
      <c r="HN37" s="46">
        <v>0</v>
      </c>
      <c r="HO37" s="46">
        <v>0</v>
      </c>
      <c r="HP37" s="46">
        <v>0</v>
      </c>
      <c r="HQ37" s="46">
        <v>0</v>
      </c>
      <c r="HR37" s="46">
        <v>0</v>
      </c>
      <c r="HS37" s="46">
        <v>0</v>
      </c>
      <c r="HT37" s="46">
        <v>0</v>
      </c>
      <c r="HU37" s="46">
        <v>0</v>
      </c>
      <c r="HV37" s="46">
        <v>0</v>
      </c>
      <c r="HW37" s="46">
        <v>0</v>
      </c>
      <c r="HX37" s="46">
        <v>0</v>
      </c>
      <c r="HY37" s="46">
        <v>0</v>
      </c>
      <c r="HZ37" s="46">
        <v>0</v>
      </c>
      <c r="IA37" s="46">
        <v>0</v>
      </c>
      <c r="IB37" s="46">
        <v>0</v>
      </c>
      <c r="IC37" s="46">
        <v>0</v>
      </c>
      <c r="ID37" s="46">
        <v>0</v>
      </c>
      <c r="IE37" s="46">
        <v>0</v>
      </c>
      <c r="IF37" s="46">
        <v>0</v>
      </c>
      <c r="IG37" s="46">
        <v>0</v>
      </c>
      <c r="IH37" s="46">
        <v>0</v>
      </c>
      <c r="II37" s="46">
        <v>0</v>
      </c>
      <c r="IJ37" s="46">
        <v>0</v>
      </c>
      <c r="IK37" s="46">
        <v>0</v>
      </c>
      <c r="IL37" s="46">
        <v>0</v>
      </c>
      <c r="IM37" s="46">
        <v>0</v>
      </c>
      <c r="IN37" s="46">
        <v>0</v>
      </c>
      <c r="IO37" s="46">
        <v>0</v>
      </c>
      <c r="IP37" s="46">
        <v>0</v>
      </c>
      <c r="IQ37" s="46">
        <v>2240158</v>
      </c>
      <c r="IR37" s="46">
        <v>0</v>
      </c>
      <c r="IS37" s="46">
        <v>940410</v>
      </c>
      <c r="IT37" s="46">
        <v>0</v>
      </c>
      <c r="IU37" s="46">
        <v>-125275</v>
      </c>
      <c r="IV37" s="46">
        <v>13759471</v>
      </c>
      <c r="IW37" s="46">
        <v>1717279</v>
      </c>
      <c r="IX37" s="46">
        <v>0</v>
      </c>
      <c r="IY37" s="46">
        <v>0</v>
      </c>
      <c r="IZ37" s="46">
        <v>0</v>
      </c>
      <c r="JA37" s="46">
        <v>0</v>
      </c>
      <c r="JB37" s="46">
        <v>0</v>
      </c>
      <c r="JC37" s="46">
        <v>0</v>
      </c>
      <c r="JD37" s="46">
        <v>0</v>
      </c>
      <c r="JE37" s="46">
        <v>0</v>
      </c>
      <c r="JF37" s="46">
        <v>0</v>
      </c>
      <c r="JG37" s="46">
        <v>0</v>
      </c>
      <c r="JH37" s="46">
        <v>0</v>
      </c>
      <c r="JI37" s="46">
        <v>2393000</v>
      </c>
      <c r="JJ37" s="46">
        <v>0</v>
      </c>
      <c r="JK37" s="46">
        <v>791801</v>
      </c>
      <c r="JL37" s="46">
        <v>0</v>
      </c>
      <c r="JM37" s="46">
        <v>0</v>
      </c>
      <c r="JN37" s="46">
        <v>0</v>
      </c>
      <c r="JO37" s="46">
        <v>0</v>
      </c>
      <c r="JP37" s="46">
        <v>0</v>
      </c>
      <c r="JQ37" s="46">
        <v>0</v>
      </c>
      <c r="JR37" s="46">
        <v>48542</v>
      </c>
      <c r="JS37" s="46">
        <v>0</v>
      </c>
      <c r="JT37" s="46">
        <v>0</v>
      </c>
      <c r="JU37" s="46">
        <v>0</v>
      </c>
      <c r="JV37" s="46">
        <v>0</v>
      </c>
      <c r="JW37" s="46">
        <v>0</v>
      </c>
      <c r="JX37" s="46">
        <v>0</v>
      </c>
      <c r="JY37" s="46">
        <v>0</v>
      </c>
      <c r="JZ37" s="46">
        <v>0</v>
      </c>
      <c r="KA37" s="46">
        <v>0</v>
      </c>
      <c r="KB37" s="46">
        <v>0</v>
      </c>
      <c r="KC37" s="46">
        <v>0</v>
      </c>
      <c r="KD37" s="46">
        <v>0</v>
      </c>
      <c r="KE37" s="46">
        <v>0</v>
      </c>
      <c r="KF37" s="46">
        <v>0</v>
      </c>
      <c r="KG37" s="46">
        <v>0</v>
      </c>
      <c r="KH37" s="46">
        <v>0</v>
      </c>
      <c r="KI37" s="46">
        <v>0</v>
      </c>
      <c r="KJ37" s="46">
        <v>2838181</v>
      </c>
      <c r="KK37" s="46">
        <v>0</v>
      </c>
      <c r="KL37" s="46">
        <v>250</v>
      </c>
      <c r="KM37" s="46">
        <v>0</v>
      </c>
      <c r="KN37" s="46">
        <v>0</v>
      </c>
      <c r="KO37" s="46">
        <v>0</v>
      </c>
      <c r="KP37" s="46">
        <v>0</v>
      </c>
      <c r="KQ37" s="46">
        <v>15001</v>
      </c>
      <c r="KR37" s="46">
        <v>0</v>
      </c>
      <c r="KS37" s="46">
        <v>0</v>
      </c>
      <c r="KT37" s="46">
        <v>0</v>
      </c>
      <c r="KU37" s="46">
        <v>0</v>
      </c>
      <c r="KV37" s="46">
        <v>0</v>
      </c>
      <c r="KW37" s="46">
        <v>0</v>
      </c>
      <c r="KX37" s="46">
        <v>0</v>
      </c>
      <c r="KY37" s="46">
        <v>0</v>
      </c>
      <c r="KZ37" s="46">
        <v>0</v>
      </c>
      <c r="LA37" s="46">
        <v>0</v>
      </c>
      <c r="LB37" s="46">
        <v>0</v>
      </c>
      <c r="LC37" s="46">
        <v>0</v>
      </c>
      <c r="LD37" s="46">
        <v>0</v>
      </c>
      <c r="LE37" s="46">
        <v>0</v>
      </c>
      <c r="LF37" s="46">
        <v>0</v>
      </c>
      <c r="LG37" s="46">
        <v>0</v>
      </c>
      <c r="LH37" s="46">
        <v>0</v>
      </c>
      <c r="LI37" s="46">
        <v>0</v>
      </c>
      <c r="LJ37" s="46">
        <v>0</v>
      </c>
      <c r="LK37" s="46">
        <v>7109</v>
      </c>
      <c r="LL37" s="46">
        <v>0</v>
      </c>
      <c r="LM37" s="46">
        <v>0</v>
      </c>
      <c r="LN37" s="46">
        <v>0</v>
      </c>
      <c r="LO37" s="46">
        <v>0</v>
      </c>
      <c r="LP37" s="46">
        <v>0</v>
      </c>
      <c r="LQ37" s="46">
        <v>0</v>
      </c>
      <c r="LR37" s="46">
        <v>0</v>
      </c>
      <c r="LS37" s="46">
        <v>0</v>
      </c>
      <c r="LT37" s="46">
        <v>0</v>
      </c>
      <c r="LU37" s="46">
        <v>0</v>
      </c>
      <c r="LV37" s="46">
        <v>0</v>
      </c>
      <c r="LW37" s="46">
        <v>0</v>
      </c>
      <c r="LX37" s="46">
        <v>0</v>
      </c>
      <c r="LY37" s="46">
        <v>0</v>
      </c>
      <c r="LZ37" s="46">
        <v>0</v>
      </c>
      <c r="MA37" s="46">
        <v>0</v>
      </c>
      <c r="MB37" s="46">
        <v>0</v>
      </c>
      <c r="MC37" s="46">
        <v>2115034</v>
      </c>
      <c r="MD37" s="46">
        <v>0</v>
      </c>
      <c r="ME37" s="46">
        <v>0</v>
      </c>
      <c r="MF37" s="46">
        <v>0</v>
      </c>
      <c r="MG37" s="46">
        <v>0</v>
      </c>
      <c r="MH37" s="46">
        <v>0</v>
      </c>
      <c r="MI37" s="46">
        <v>0</v>
      </c>
      <c r="MJ37" s="46">
        <v>0</v>
      </c>
      <c r="MK37" s="46">
        <v>0</v>
      </c>
      <c r="ML37" s="46">
        <v>0</v>
      </c>
      <c r="MM37" s="46">
        <v>0</v>
      </c>
      <c r="MN37" s="46">
        <v>0</v>
      </c>
      <c r="MO37" s="46">
        <v>0</v>
      </c>
      <c r="MP37" s="46">
        <v>0</v>
      </c>
      <c r="MQ37" s="46">
        <v>0</v>
      </c>
      <c r="MR37" s="46">
        <v>0</v>
      </c>
      <c r="MS37" s="46">
        <v>0</v>
      </c>
      <c r="MT37" s="46">
        <v>7550802</v>
      </c>
      <c r="MU37" s="46">
        <v>28987080</v>
      </c>
      <c r="MV37" s="46">
        <v>0</v>
      </c>
      <c r="MW37" s="46">
        <v>1094537</v>
      </c>
      <c r="MX37" s="46">
        <v>0</v>
      </c>
      <c r="MY37" s="46">
        <v>0</v>
      </c>
      <c r="MZ37" s="46">
        <v>0</v>
      </c>
      <c r="NA37" s="46">
        <v>0</v>
      </c>
      <c r="NB37" s="46">
        <v>0</v>
      </c>
      <c r="NC37" s="46">
        <v>0</v>
      </c>
      <c r="ND37" s="46">
        <v>8405</v>
      </c>
      <c r="NE37" s="46">
        <v>0</v>
      </c>
      <c r="NF37" s="46">
        <v>2220</v>
      </c>
      <c r="NG37" s="46">
        <v>0</v>
      </c>
      <c r="NH37" s="46">
        <v>0</v>
      </c>
      <c r="NI37" s="46">
        <v>385710</v>
      </c>
      <c r="NJ37" s="46">
        <v>0</v>
      </c>
      <c r="NK37" s="46">
        <v>0</v>
      </c>
      <c r="NL37" s="46">
        <v>0</v>
      </c>
      <c r="NM37" s="46">
        <v>0</v>
      </c>
      <c r="NN37" s="46">
        <v>0</v>
      </c>
      <c r="NO37" s="46">
        <v>0</v>
      </c>
      <c r="NP37" s="46">
        <v>0</v>
      </c>
      <c r="NQ37" s="46">
        <v>0</v>
      </c>
      <c r="NR37" s="46">
        <v>0</v>
      </c>
      <c r="NS37" s="46">
        <v>0</v>
      </c>
      <c r="NT37" s="46">
        <v>0</v>
      </c>
      <c r="NU37" s="46">
        <v>0</v>
      </c>
      <c r="NV37" s="46">
        <v>0</v>
      </c>
      <c r="NW37" s="46">
        <v>0</v>
      </c>
      <c r="NX37" s="46">
        <v>0</v>
      </c>
      <c r="NY37" s="46">
        <v>0</v>
      </c>
      <c r="NZ37" s="46">
        <v>0</v>
      </c>
      <c r="OA37" s="46">
        <v>0</v>
      </c>
      <c r="OB37" s="46">
        <v>0</v>
      </c>
      <c r="OC37" s="46">
        <v>0</v>
      </c>
      <c r="OD37" s="46">
        <v>0</v>
      </c>
      <c r="OE37" s="46">
        <v>21032</v>
      </c>
      <c r="OF37" s="46">
        <v>0</v>
      </c>
      <c r="OG37" s="46">
        <v>6800</v>
      </c>
      <c r="OH37" s="46">
        <v>0</v>
      </c>
      <c r="OI37" s="46">
        <v>0</v>
      </c>
      <c r="OJ37" s="46">
        <v>0</v>
      </c>
      <c r="OK37" s="46">
        <v>0</v>
      </c>
      <c r="OL37" s="46">
        <v>0</v>
      </c>
      <c r="OM37" s="46">
        <v>0</v>
      </c>
      <c r="ON37" s="46">
        <v>0</v>
      </c>
      <c r="OO37" s="46">
        <v>0</v>
      </c>
      <c r="OP37" s="46">
        <v>0</v>
      </c>
      <c r="OQ37" s="46">
        <v>0</v>
      </c>
      <c r="OR37" s="46">
        <v>0</v>
      </c>
      <c r="OS37" s="46">
        <v>3706442</v>
      </c>
      <c r="OT37" s="46">
        <v>0</v>
      </c>
      <c r="OU37" s="46">
        <v>127014</v>
      </c>
      <c r="OV37" s="46">
        <v>0</v>
      </c>
      <c r="OW37" s="46">
        <v>0</v>
      </c>
      <c r="OX37" s="46">
        <v>0</v>
      </c>
      <c r="OY37" s="46">
        <v>0</v>
      </c>
      <c r="OZ37" s="46">
        <v>0</v>
      </c>
      <c r="PA37" s="46">
        <v>0</v>
      </c>
      <c r="PB37" s="46">
        <v>-198930</v>
      </c>
      <c r="PC37" s="46">
        <v>0</v>
      </c>
      <c r="PD37" s="46">
        <v>0</v>
      </c>
      <c r="PE37" s="46">
        <v>4576784</v>
      </c>
      <c r="PF37" s="46">
        <v>-1535010</v>
      </c>
      <c r="PG37" s="46">
        <v>0</v>
      </c>
      <c r="PH37" s="46">
        <v>10648926</v>
      </c>
      <c r="PI37" s="46">
        <v>0</v>
      </c>
      <c r="PJ37" s="46">
        <v>3000</v>
      </c>
      <c r="PK37" s="46">
        <v>-2446267</v>
      </c>
      <c r="PL37" s="46">
        <v>18204973</v>
      </c>
      <c r="PM37" s="46">
        <v>-233206015</v>
      </c>
      <c r="PN37" s="46">
        <v>0</v>
      </c>
      <c r="PO37" s="46">
        <v>0</v>
      </c>
      <c r="PP37" s="46">
        <v>0</v>
      </c>
      <c r="PQ37" s="46">
        <v>0</v>
      </c>
      <c r="PR37" s="46">
        <v>0</v>
      </c>
      <c r="PS37" s="46">
        <v>0</v>
      </c>
      <c r="PT37" s="46">
        <v>401777194</v>
      </c>
      <c r="PU37" s="46">
        <v>0</v>
      </c>
      <c r="PV37" s="46">
        <v>0</v>
      </c>
      <c r="PW37" s="46">
        <v>0</v>
      </c>
      <c r="PX37" s="46">
        <v>0</v>
      </c>
      <c r="PY37" s="46">
        <v>0</v>
      </c>
      <c r="PZ37" s="46">
        <v>0</v>
      </c>
      <c r="QA37" s="46">
        <v>0</v>
      </c>
      <c r="QB37" s="46">
        <v>0</v>
      </c>
      <c r="QC37" s="46">
        <v>0</v>
      </c>
      <c r="QD37" s="46">
        <v>-258295879</v>
      </c>
      <c r="QE37" s="46">
        <v>0</v>
      </c>
      <c r="QF37" s="46">
        <v>0</v>
      </c>
      <c r="QG37" s="46">
        <v>4497530</v>
      </c>
      <c r="QH37" s="46">
        <v>0</v>
      </c>
      <c r="QI37" s="46">
        <v>0</v>
      </c>
      <c r="QJ37" s="46">
        <v>0</v>
      </c>
      <c r="QK37" s="46">
        <v>323039</v>
      </c>
      <c r="QL37" s="46">
        <v>0</v>
      </c>
      <c r="QM37" s="46">
        <v>8044054</v>
      </c>
      <c r="QN37" s="46">
        <v>0</v>
      </c>
      <c r="QO37" s="46">
        <v>0</v>
      </c>
      <c r="QP37" s="46">
        <v>0</v>
      </c>
      <c r="QQ37" s="46">
        <v>0</v>
      </c>
      <c r="QR37" s="46">
        <v>0</v>
      </c>
      <c r="QS37" s="46">
        <v>0</v>
      </c>
      <c r="QT37" s="46">
        <v>20000</v>
      </c>
      <c r="QU37" s="46">
        <v>0</v>
      </c>
      <c r="QV37" s="46">
        <v>0</v>
      </c>
      <c r="QW37" s="46">
        <v>0</v>
      </c>
      <c r="QX37" s="46">
        <v>0</v>
      </c>
      <c r="QY37" s="46">
        <v>0</v>
      </c>
      <c r="QZ37" s="46">
        <v>0</v>
      </c>
      <c r="RA37" s="46">
        <v>0</v>
      </c>
      <c r="RB37" s="46">
        <v>0</v>
      </c>
      <c r="RC37" s="46">
        <v>0</v>
      </c>
      <c r="RD37" s="46">
        <v>-401777194</v>
      </c>
      <c r="RE37" s="46">
        <v>223539000</v>
      </c>
      <c r="RF37" s="46">
        <v>0</v>
      </c>
      <c r="RG37" s="46">
        <v>0</v>
      </c>
      <c r="RH37" s="46">
        <v>0</v>
      </c>
      <c r="RI37" s="46">
        <v>0</v>
      </c>
      <c r="RJ37" s="46">
        <v>0</v>
      </c>
      <c r="RK37" s="46">
        <v>0</v>
      </c>
      <c r="RL37" s="46">
        <v>0</v>
      </c>
      <c r="RM37" s="46">
        <v>0</v>
      </c>
      <c r="RN37" s="46">
        <v>0</v>
      </c>
      <c r="RO37" s="46">
        <v>-3460702</v>
      </c>
      <c r="RP37" s="46">
        <v>0</v>
      </c>
      <c r="RQ37" s="46">
        <v>0</v>
      </c>
      <c r="RR37" s="46">
        <v>0</v>
      </c>
      <c r="RS37" s="46">
        <v>0</v>
      </c>
      <c r="RT37" s="46">
        <v>0</v>
      </c>
      <c r="RU37" s="46">
        <v>0</v>
      </c>
      <c r="RV37" s="46">
        <v>0</v>
      </c>
      <c r="RW37" s="46">
        <v>0</v>
      </c>
      <c r="RX37" s="46">
        <v>0</v>
      </c>
      <c r="RY37" s="46">
        <v>0</v>
      </c>
      <c r="RZ37" s="46">
        <v>35856402</v>
      </c>
      <c r="SA37" s="46">
        <v>0</v>
      </c>
      <c r="SB37" s="46">
        <v>0</v>
      </c>
      <c r="SC37" s="46">
        <v>0</v>
      </c>
      <c r="SD37" s="46">
        <v>0</v>
      </c>
      <c r="SE37" s="46">
        <v>0</v>
      </c>
      <c r="SF37" s="46">
        <v>0</v>
      </c>
      <c r="SG37" s="46">
        <v>0</v>
      </c>
      <c r="SH37" s="46">
        <v>0</v>
      </c>
      <c r="SI37" s="46">
        <v>0</v>
      </c>
      <c r="SJ37" s="46">
        <v>0</v>
      </c>
      <c r="SK37" s="46">
        <v>0</v>
      </c>
      <c r="SL37" s="46">
        <v>0</v>
      </c>
      <c r="SM37" s="46">
        <v>0</v>
      </c>
      <c r="SN37" s="46">
        <v>0</v>
      </c>
      <c r="SO37" s="46">
        <v>0</v>
      </c>
      <c r="SP37" s="46">
        <v>0</v>
      </c>
      <c r="SQ37" s="46">
        <v>0</v>
      </c>
      <c r="SR37" s="46">
        <v>21032</v>
      </c>
      <c r="SS37" s="46">
        <v>0</v>
      </c>
      <c r="ST37" s="46">
        <v>6800</v>
      </c>
      <c r="SU37" s="46">
        <v>0</v>
      </c>
      <c r="SV37" s="46">
        <v>0</v>
      </c>
      <c r="SW37" s="46">
        <v>198930</v>
      </c>
      <c r="SX37" s="46">
        <v>0</v>
      </c>
      <c r="SY37" s="46">
        <v>0</v>
      </c>
      <c r="SZ37" s="46">
        <v>0</v>
      </c>
      <c r="TA37" s="46">
        <v>0</v>
      </c>
      <c r="TB37" s="46">
        <v>0</v>
      </c>
      <c r="TC37" s="46">
        <v>0</v>
      </c>
      <c r="TD37" s="46">
        <v>0</v>
      </c>
      <c r="TE37" s="46">
        <v>0</v>
      </c>
      <c r="TF37" s="46">
        <v>27832</v>
      </c>
      <c r="TG37" s="46">
        <v>0</v>
      </c>
      <c r="TH37" s="46">
        <v>0</v>
      </c>
      <c r="TI37" s="46">
        <v>0</v>
      </c>
      <c r="TJ37" s="46">
        <v>0</v>
      </c>
      <c r="TK37" s="46">
        <v>0</v>
      </c>
      <c r="TL37" s="46">
        <v>0</v>
      </c>
      <c r="TM37" s="46">
        <v>0</v>
      </c>
      <c r="TN37" s="46">
        <v>0</v>
      </c>
      <c r="TO37" s="46">
        <v>0</v>
      </c>
      <c r="TP37" s="46">
        <v>0</v>
      </c>
      <c r="TQ37" s="46">
        <v>0</v>
      </c>
      <c r="TR37" s="46">
        <v>0</v>
      </c>
      <c r="TS37" s="46">
        <v>0</v>
      </c>
      <c r="TT37" s="46">
        <v>0</v>
      </c>
      <c r="TU37" s="46">
        <v>0</v>
      </c>
      <c r="TV37" s="46">
        <v>0</v>
      </c>
      <c r="TW37" s="46">
        <v>0</v>
      </c>
      <c r="TX37" s="46">
        <v>0</v>
      </c>
      <c r="TY37" s="46">
        <v>0</v>
      </c>
      <c r="TZ37" s="46">
        <v>0</v>
      </c>
      <c r="UA37" s="46">
        <v>0</v>
      </c>
      <c r="UB37" s="46">
        <v>0</v>
      </c>
      <c r="UC37" s="46">
        <v>0</v>
      </c>
      <c r="UD37" s="46">
        <v>0</v>
      </c>
      <c r="UE37" s="46">
        <v>0</v>
      </c>
      <c r="UF37" s="46">
        <v>0</v>
      </c>
      <c r="UG37" s="46">
        <v>7109</v>
      </c>
      <c r="UH37" s="46">
        <v>0</v>
      </c>
      <c r="UI37" s="46">
        <v>2115034</v>
      </c>
      <c r="UJ37" s="46">
        <v>0</v>
      </c>
      <c r="UK37" s="46">
        <v>37632419</v>
      </c>
      <c r="UL37" s="46">
        <v>396335</v>
      </c>
      <c r="UM37" s="46">
        <v>0</v>
      </c>
      <c r="UN37" s="46">
        <v>0</v>
      </c>
      <c r="UO37" s="46" t="s">
        <v>106</v>
      </c>
      <c r="UP37" s="46" t="s">
        <v>106</v>
      </c>
      <c r="UQ37" s="46"/>
      <c r="UR37" s="46"/>
      <c r="US37" s="8" t="s">
        <v>1259</v>
      </c>
      <c r="UT37" s="47">
        <v>8068346101</v>
      </c>
      <c r="UU37" s="8" t="s">
        <v>1260</v>
      </c>
      <c r="UV37" s="8" t="s">
        <v>1261</v>
      </c>
      <c r="UW37" s="47" t="s">
        <v>1262</v>
      </c>
      <c r="UX37" s="8" t="s">
        <v>1263</v>
      </c>
      <c r="UY37" s="51" t="str" cm="1">
        <f t="array" ref="UY37">IFERROR(_xlfn.IFS(Input[[#This Row],[Type]]="HRI",SUMIFS('FTSE | FTFE'!$P$8:$P$77,'FTSE | FTFE'!$H$8:$H$77,A37),Input[[#This Row],[Type]]="UNIV",SUMIFS('FTSE | FTFE'!$P$104:$P$139,'FTSE | FTFE'!$H$104:$H$139,A37),OR(Input[[#This Row],[Type]]="TSTC",Input[[#This Row],[Type]]="LSC"),SUMIFS('FTSE | FTFE'!$O$88:$O$96,'FTSE | FTFE'!$H$88:$H$96,A37),Input[[#This Row],[Type]]="AHM",SUMIFS(Hidden!$H$42:$H$45,Hidden!$G$42:$G$45,A37)),"N/A")</f>
        <v>N/A</v>
      </c>
      <c r="UZ37" s="51" t="str" cm="1">
        <f t="array" ref="UZ37">IFERROR(_xlfn.IFS(Input[[#This Row],[Type]]="HRI",SUMIFS('FTSE | FTFE'!$Q$8:$Q$77,'FTSE | FTFE'!$H$8:$H$77,A37),Input[[#This Row],[Type]]="UNIV",SUMIFS('FTSE | FTFE'!$Q$104:$Q$139,'FTSE | FTFE'!$H$104:$H$139,A37),OR(Input[[#This Row],[Type]]="TSTC",Input[[#This Row],[Type]]="LSC"),SUMIFS('FTSE | FTFE'!$P$88:$P$96,'FTSE | FTFE'!$H$88:$H$96,A37)),"N/A")</f>
        <v>N/A</v>
      </c>
      <c r="VA3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2974018</v>
      </c>
      <c r="VB3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37" s="46">
        <f>SUM(Input[[#This Row],[Fed G&amp;C E&amp;G]],Input[[#This Row],[Fed G&amp;C Desg]],Input[[#This Row],[Fed G&amp;C R Exp]],Input[[#This Row],[Fed G&amp;C Loan]],Input[[#This Row],[Fed G&amp;C Annuity]],Input[[#This Row],[Fed G&amp;C Unexp]],Input[[#This Row],[Fed G&amp;C R of Ind]],Input[[#This Row],[Fed G&amp;C Inv in P]])</f>
        <v>0</v>
      </c>
      <c r="VD3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24618818</v>
      </c>
      <c r="VE3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3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37" s="46">
        <f>SUM(Input[[#This Row],[Oth Inc E&amp;G]],Input[[#This Row],[Oth Exp Desg]],Input[[#This Row],[Oth Exp R Exp]],Input[[#This Row],[Oth Exp Loan]],Input[[#This Row],[Oth Exp Annuity]],Input[[#This Row],[Oth Exp Unexp]],Input[[#This Row],[Oth Exp R of Ind]],Input[[#This Row],[Oth Exp Inv in P]])</f>
        <v>3833456</v>
      </c>
      <c r="VH37" s="46">
        <f>SUM(Input[[#This Row],[Instr E&amp;G]],Input[[#This Row],[Instr Desg]],Input[[#This Row],[Instr R Exp]],Input[[#This Row],[Instr Loan]],Input[[#This Row],[Instr Annuity]],Input[[#This Row],[Instr Unexp]],Input[[#This Row],[Instr R of Ind]],Input[[#This Row],[Instr Inv in P]])</f>
        <v>0</v>
      </c>
      <c r="VI37" s="46">
        <f>SUM(Input[[#This Row],[Res E&amp;G]],Input[[#This Row],[Res Desg]],Input[[#This Row],[Res R Exp]],Input[[#This Row],[Res Loan]],Input[[#This Row],[Res Annuity]],Input[[#This Row],[Res Unexp]],Input[[#This Row],[Res R of Ind]],Input[[#This Row],[Res Inv in P]])</f>
        <v>0</v>
      </c>
      <c r="VJ37" s="46">
        <f>SUM(Input[[#This Row],[Acad Sup E&amp;G]],Input[[#This Row],[Acad Sup Desg]],Input[[#This Row],[Acad Sup R Exp]],Input[[#This Row],[Acad Sup Loan]],Input[[#This Row],[Acad Sup Annuity]],Input[[#This Row],[Acad Sup Unexp]],Input[[#This Row],[Acad Sup R of Ind]],Input[[#This Row],[Acad Sup Inv in P]])</f>
        <v>2115034</v>
      </c>
      <c r="VK37" s="46">
        <f>SUM(Input[[#This Row],[Stu Svc E&amp;G]],Input[[#This Row],[Stu Svc Desg]],Input[[#This Row],[Stu Svc R Exp]],Input[[#This Row],[Stu Svc Loan]],Input[[#This Row],[Stu Svc Annuity]],Input[[#This Row],[Stu Svc Unexp]],Input[[#This Row],[Stu Svc R of Ind]],Input[[#This Row],[Stu Svc Inv in P]])</f>
        <v>0</v>
      </c>
      <c r="VL37" s="46">
        <f>SUM(Input[[#This Row],[Inst. Spt E&amp;G]],Input[[#This Row],[Inst. Spt Desg]],Input[[#This Row],[Inst. Spt R Exp]],Input[[#This Row],[Inst. Spt Loan]],Input[[#This Row],[Inst. Spt Annuity]],Input[[#This Row],[Inst. Spt Unexp]],Input[[#This Row],[Inst. Spt R of Ind]],Input[[#This Row],[Inst. Spt Inv in P]])</f>
        <v>37632419</v>
      </c>
      <c r="VM37" s="46">
        <f>SUM(Input[[#This Row],[M&amp;O Plnt E&amp;G]],Input[[#This Row],[M&amp;O Plnt Desg]],Input[[#This Row],[M&amp;O Plnt R Exp]],Input[[#This Row],[M&amp;O Plnt Loan]],Input[[#This Row],[M&amp;O Plnt Annuity]],Input[[#This Row],[M&amp;O Plnt Unexp]],Input[[#This Row],[M&amp;O Plnt R of Ind]],Input[[#This Row],[M&amp;O Plnt Inv in P]])</f>
        <v>396335</v>
      </c>
      <c r="VN37"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37" s="46">
        <f>SUM(Input[[#This Row],[Cap Out fund E&amp;G]],Input[[#This Row],[Cap Out fund Desg]],Input[[#This Row],[Cap Out fund R Exp]],Input[[#This Row],[Cap Out fund Loan]],Input[[#This Row],[Cap Out fund Annuity]],Input[[#This Row],[Cap Out fund Unexp]],Input[[#This Row],[Cap Out fund R of Ind]],Input[[#This Row],[Cap Out fund Inv in P]])</f>
        <v>27832</v>
      </c>
      <c r="VP37" s="46">
        <f>SUM(Input[[#This Row],[Oth Exp E&amp;G]],Input[[#This Row],[Oth Exp Desg]],Input[[#This Row],[Oth Exp R Exp]],Input[[#This Row],[Oth Exp Loan]],Input[[#This Row],[Oth Exp Annuity]],Input[[#This Row],[Oth Exp Unexp]],Input[[#This Row],[Oth Exp R of Ind]],Input[[#This Row],[Oth Exp Inv in P]],Input[[#This Row],[Oth Exp Inv in P]])</f>
        <v>3960470</v>
      </c>
    </row>
    <row r="38" spans="1:588" ht="30" customHeight="1" x14ac:dyDescent="0.3">
      <c r="A38" s="15" t="s">
        <v>23</v>
      </c>
      <c r="B38" s="36" t="s">
        <v>109</v>
      </c>
      <c r="C38" s="36" t="s">
        <v>110</v>
      </c>
      <c r="D38" s="36">
        <v>601</v>
      </c>
      <c r="E38" s="36" t="s">
        <v>132</v>
      </c>
      <c r="F38" s="95" cm="1">
        <f t="array" ref="F38">IFERROR(_xlfn.IFS(Input[[#This Row],[Type]]="HRI",SUMIFS('FTSE | FTFE'!$I$8:$I$77,'FTSE | FTFE'!$H$8:$H$77,A38),Input[[#This Row],[Type]]="UNIV",SUMIFS('FTSE | FTFE'!$I$104:$I$139,'FTSE | FTFE'!$H$104:$H$139,A38),OR(Input[[#This Row],[Type]]="TSTC",Input[[#This Row],[Type]]="LSC"),SUMIFS('FTSE | FTFE'!$I$88:$I$96,'FTSE | FTFE'!$H$88:$H$96,A38)),"N/A")</f>
        <v>3644</v>
      </c>
      <c r="G38" s="46">
        <v>468392494</v>
      </c>
      <c r="H38" s="46">
        <v>0</v>
      </c>
      <c r="I38" s="46">
        <v>0</v>
      </c>
      <c r="J38" s="46">
        <v>0</v>
      </c>
      <c r="K38" s="46">
        <v>0</v>
      </c>
      <c r="L38" s="46">
        <v>0</v>
      </c>
      <c r="M38" s="46">
        <v>0</v>
      </c>
      <c r="N38" s="46">
        <v>0</v>
      </c>
      <c r="O38" s="46">
        <v>0</v>
      </c>
      <c r="P38" s="46">
        <v>257795</v>
      </c>
      <c r="Q38" s="46">
        <v>34358135</v>
      </c>
      <c r="R38" s="46">
        <v>0</v>
      </c>
      <c r="S38" s="46">
        <v>42765980</v>
      </c>
      <c r="T38" s="46">
        <v>0</v>
      </c>
      <c r="U38" s="46">
        <v>0</v>
      </c>
      <c r="V38" s="46">
        <v>0</v>
      </c>
      <c r="W38" s="46">
        <v>0</v>
      </c>
      <c r="X38" s="46">
        <v>0</v>
      </c>
      <c r="Y38" s="46">
        <v>51379461</v>
      </c>
      <c r="Z38" s="46">
        <v>0</v>
      </c>
      <c r="AA38" s="46">
        <v>0</v>
      </c>
      <c r="AB38" s="46">
        <v>0</v>
      </c>
      <c r="AC38" s="46">
        <v>0</v>
      </c>
      <c r="AD38" s="46">
        <v>0</v>
      </c>
      <c r="AE38" s="46">
        <v>0</v>
      </c>
      <c r="AF38" s="46">
        <v>0</v>
      </c>
      <c r="AG38" s="46">
        <v>0</v>
      </c>
      <c r="AH38" s="46">
        <v>0</v>
      </c>
      <c r="AI38" s="46">
        <v>0</v>
      </c>
      <c r="AJ38" s="46">
        <v>0</v>
      </c>
      <c r="AK38" s="46">
        <v>0</v>
      </c>
      <c r="AL38" s="46">
        <v>0</v>
      </c>
      <c r="AM38" s="46">
        <v>0</v>
      </c>
      <c r="AN38" s="46">
        <v>0</v>
      </c>
      <c r="AO38" s="46">
        <v>0</v>
      </c>
      <c r="AP38" s="46">
        <v>0</v>
      </c>
      <c r="AQ38" s="46">
        <v>-55809747</v>
      </c>
      <c r="AR38" s="46">
        <v>0</v>
      </c>
      <c r="AS38" s="46">
        <v>0</v>
      </c>
      <c r="AT38" s="46">
        <v>0</v>
      </c>
      <c r="AU38" s="46">
        <v>0</v>
      </c>
      <c r="AV38" s="46">
        <v>0</v>
      </c>
      <c r="AW38" s="46">
        <v>0</v>
      </c>
      <c r="AX38" s="46">
        <v>0</v>
      </c>
      <c r="AY38" s="46">
        <v>0</v>
      </c>
      <c r="AZ38" s="46">
        <v>0</v>
      </c>
      <c r="BA38" s="46">
        <v>0</v>
      </c>
      <c r="BB38" s="46">
        <v>0</v>
      </c>
      <c r="BC38" s="46">
        <v>0</v>
      </c>
      <c r="BD38" s="46">
        <v>0</v>
      </c>
      <c r="BE38" s="46">
        <v>0</v>
      </c>
      <c r="BF38" s="46">
        <v>0</v>
      </c>
      <c r="BG38" s="46">
        <v>0</v>
      </c>
      <c r="BH38" s="46">
        <v>0</v>
      </c>
      <c r="BI38" s="46">
        <v>-4269700</v>
      </c>
      <c r="BJ38" s="46">
        <v>-16919207</v>
      </c>
      <c r="BK38" s="46">
        <v>0</v>
      </c>
      <c r="BL38" s="46">
        <v>0</v>
      </c>
      <c r="BM38" s="46">
        <v>0</v>
      </c>
      <c r="BN38" s="46">
        <v>0</v>
      </c>
      <c r="BO38" s="46">
        <v>0</v>
      </c>
      <c r="BP38" s="46">
        <v>0</v>
      </c>
      <c r="BQ38" s="46">
        <v>0</v>
      </c>
      <c r="BR38" s="46">
        <v>0</v>
      </c>
      <c r="BS38" s="46">
        <v>0</v>
      </c>
      <c r="BT38" s="46">
        <v>0</v>
      </c>
      <c r="BU38" s="46">
        <v>0</v>
      </c>
      <c r="BV38" s="46">
        <v>0</v>
      </c>
      <c r="BW38" s="46">
        <v>0</v>
      </c>
      <c r="BX38" s="46">
        <v>0</v>
      </c>
      <c r="BY38" s="46">
        <v>0</v>
      </c>
      <c r="BZ38" s="46">
        <v>0</v>
      </c>
      <c r="CA38" s="46">
        <v>72454000</v>
      </c>
      <c r="CB38" s="46">
        <v>272810533</v>
      </c>
      <c r="CC38" s="46">
        <v>0</v>
      </c>
      <c r="CD38" s="46">
        <v>0</v>
      </c>
      <c r="CE38" s="46">
        <v>0</v>
      </c>
      <c r="CF38" s="46">
        <v>0</v>
      </c>
      <c r="CG38" s="46">
        <v>0</v>
      </c>
      <c r="CH38" s="46">
        <v>0</v>
      </c>
      <c r="CI38" s="46">
        <v>0</v>
      </c>
      <c r="CJ38" s="46">
        <v>0</v>
      </c>
      <c r="CK38" s="46">
        <v>0</v>
      </c>
      <c r="CL38" s="46">
        <v>0</v>
      </c>
      <c r="CM38" s="46">
        <v>0</v>
      </c>
      <c r="CN38" s="46">
        <v>0</v>
      </c>
      <c r="CO38" s="46">
        <v>0</v>
      </c>
      <c r="CP38" s="46">
        <v>0</v>
      </c>
      <c r="CQ38" s="46">
        <v>0</v>
      </c>
      <c r="CR38" s="46">
        <v>0</v>
      </c>
      <c r="CS38" s="46">
        <v>0</v>
      </c>
      <c r="CT38" s="46">
        <v>0</v>
      </c>
      <c r="CU38" s="46">
        <v>0</v>
      </c>
      <c r="CV38" s="46">
        <v>0</v>
      </c>
      <c r="CW38" s="46">
        <v>0</v>
      </c>
      <c r="CX38" s="46">
        <v>0</v>
      </c>
      <c r="CY38" s="46">
        <v>0</v>
      </c>
      <c r="CZ38" s="46">
        <v>0</v>
      </c>
      <c r="DA38" s="46">
        <v>0</v>
      </c>
      <c r="DB38" s="46">
        <v>0</v>
      </c>
      <c r="DC38" s="46">
        <v>0</v>
      </c>
      <c r="DD38" s="46">
        <v>0</v>
      </c>
      <c r="DE38" s="46">
        <v>0</v>
      </c>
      <c r="DF38" s="46">
        <v>0</v>
      </c>
      <c r="DG38" s="46">
        <v>0</v>
      </c>
      <c r="DH38" s="46">
        <v>0</v>
      </c>
      <c r="DI38" s="46">
        <v>0</v>
      </c>
      <c r="DJ38" s="46">
        <v>0</v>
      </c>
      <c r="DK38" s="46">
        <v>0</v>
      </c>
      <c r="DL38" s="46">
        <v>0</v>
      </c>
      <c r="DM38" s="46">
        <v>0</v>
      </c>
      <c r="DN38" s="46">
        <v>0</v>
      </c>
      <c r="DO38" s="46">
        <v>0</v>
      </c>
      <c r="DP38" s="46">
        <v>0</v>
      </c>
      <c r="DQ38" s="46">
        <v>0</v>
      </c>
      <c r="DR38" s="46">
        <v>0</v>
      </c>
      <c r="DS38" s="46">
        <v>0</v>
      </c>
      <c r="DT38" s="46">
        <v>-24381627</v>
      </c>
      <c r="DU38" s="46">
        <v>-91933310</v>
      </c>
      <c r="DV38" s="46">
        <v>0</v>
      </c>
      <c r="DW38" s="46">
        <v>0</v>
      </c>
      <c r="DX38" s="46">
        <v>0</v>
      </c>
      <c r="DY38" s="46">
        <v>0</v>
      </c>
      <c r="DZ38" s="46">
        <v>0</v>
      </c>
      <c r="EA38" s="46">
        <v>0</v>
      </c>
      <c r="EB38" s="46">
        <v>0</v>
      </c>
      <c r="EC38" s="46">
        <v>0</v>
      </c>
      <c r="ED38" s="46">
        <v>0</v>
      </c>
      <c r="EE38" s="46">
        <v>0</v>
      </c>
      <c r="EF38" s="46">
        <v>0</v>
      </c>
      <c r="EG38" s="46">
        <v>0</v>
      </c>
      <c r="EH38" s="46">
        <v>0</v>
      </c>
      <c r="EI38" s="46">
        <v>0</v>
      </c>
      <c r="EJ38" s="46">
        <v>0</v>
      </c>
      <c r="EK38" s="46">
        <v>0</v>
      </c>
      <c r="EL38" s="46">
        <v>0</v>
      </c>
      <c r="EM38" s="46">
        <v>0</v>
      </c>
      <c r="EN38" s="46">
        <v>0</v>
      </c>
      <c r="EO38" s="46">
        <v>0</v>
      </c>
      <c r="EP38" s="46">
        <v>0</v>
      </c>
      <c r="EQ38" s="46">
        <v>0</v>
      </c>
      <c r="ER38" s="46">
        <v>0</v>
      </c>
      <c r="ES38" s="46">
        <v>0</v>
      </c>
      <c r="ET38" s="46">
        <v>0</v>
      </c>
      <c r="EU38" s="46">
        <v>0</v>
      </c>
      <c r="EV38" s="46">
        <v>-9936677</v>
      </c>
      <c r="EW38" s="46">
        <v>-25175</v>
      </c>
      <c r="EX38" s="46">
        <v>0</v>
      </c>
      <c r="EY38" s="46">
        <v>0</v>
      </c>
      <c r="EZ38" s="46">
        <v>0</v>
      </c>
      <c r="FA38" s="46">
        <v>0</v>
      </c>
      <c r="FB38" s="46">
        <v>0</v>
      </c>
      <c r="FC38" s="46">
        <v>0</v>
      </c>
      <c r="FD38" s="46">
        <v>0</v>
      </c>
      <c r="FE38" s="46">
        <v>0</v>
      </c>
      <c r="FF38" s="46">
        <v>0</v>
      </c>
      <c r="FG38" s="46">
        <v>0</v>
      </c>
      <c r="FH38" s="46">
        <v>0</v>
      </c>
      <c r="FI38" s="46">
        <v>0</v>
      </c>
      <c r="FJ38" s="46">
        <v>0</v>
      </c>
      <c r="FK38" s="46">
        <v>0</v>
      </c>
      <c r="FL38" s="46">
        <v>0</v>
      </c>
      <c r="FM38" s="46">
        <v>0</v>
      </c>
      <c r="FN38" s="46">
        <v>160228249</v>
      </c>
      <c r="FO38" s="46">
        <v>3917445</v>
      </c>
      <c r="FP38" s="46">
        <v>0</v>
      </c>
      <c r="FQ38" s="46">
        <v>0</v>
      </c>
      <c r="FR38" s="46">
        <v>0</v>
      </c>
      <c r="FS38" s="46">
        <v>0</v>
      </c>
      <c r="FT38" s="46">
        <v>0</v>
      </c>
      <c r="FU38" s="46">
        <v>0</v>
      </c>
      <c r="FV38" s="46">
        <v>0</v>
      </c>
      <c r="FW38" s="46">
        <v>0</v>
      </c>
      <c r="FX38" s="46">
        <v>0</v>
      </c>
      <c r="FY38" s="46">
        <v>0</v>
      </c>
      <c r="FZ38" s="46">
        <v>0</v>
      </c>
      <c r="GA38" s="46">
        <v>0</v>
      </c>
      <c r="GB38" s="46">
        <v>0</v>
      </c>
      <c r="GC38" s="46">
        <v>0</v>
      </c>
      <c r="GD38" s="46">
        <v>0</v>
      </c>
      <c r="GE38" s="46">
        <v>0</v>
      </c>
      <c r="GF38" s="46">
        <v>0</v>
      </c>
      <c r="GG38" s="46">
        <v>0</v>
      </c>
      <c r="GH38" s="46">
        <v>0</v>
      </c>
      <c r="GI38" s="46">
        <v>0</v>
      </c>
      <c r="GJ38" s="46">
        <v>0</v>
      </c>
      <c r="GK38" s="46">
        <v>0</v>
      </c>
      <c r="GL38" s="46">
        <v>0</v>
      </c>
      <c r="GM38" s="46">
        <v>0</v>
      </c>
      <c r="GN38" s="46">
        <v>0</v>
      </c>
      <c r="GO38" s="46">
        <v>0</v>
      </c>
      <c r="GP38" s="46">
        <v>0</v>
      </c>
      <c r="GQ38" s="46">
        <v>0</v>
      </c>
      <c r="GR38" s="46">
        <v>0</v>
      </c>
      <c r="GS38" s="46">
        <v>0</v>
      </c>
      <c r="GT38" s="46">
        <v>0</v>
      </c>
      <c r="GU38" s="46">
        <v>0</v>
      </c>
      <c r="GV38" s="46">
        <v>0</v>
      </c>
      <c r="GW38" s="46">
        <v>0</v>
      </c>
      <c r="GX38" s="46">
        <v>0</v>
      </c>
      <c r="GY38" s="46">
        <v>0</v>
      </c>
      <c r="GZ38" s="46">
        <v>0</v>
      </c>
      <c r="HA38" s="46">
        <v>0</v>
      </c>
      <c r="HB38" s="46">
        <v>0</v>
      </c>
      <c r="HC38" s="46">
        <v>0</v>
      </c>
      <c r="HD38" s="46">
        <v>0</v>
      </c>
      <c r="HE38" s="46">
        <v>0</v>
      </c>
      <c r="HF38" s="46">
        <v>0</v>
      </c>
      <c r="HG38" s="46">
        <v>-53992579</v>
      </c>
      <c r="HH38" s="46">
        <v>-1318266</v>
      </c>
      <c r="HI38" s="46">
        <v>0</v>
      </c>
      <c r="HJ38" s="46">
        <v>0</v>
      </c>
      <c r="HK38" s="46">
        <v>0</v>
      </c>
      <c r="HL38" s="46">
        <v>0</v>
      </c>
      <c r="HM38" s="46">
        <v>0</v>
      </c>
      <c r="HN38" s="46">
        <v>0</v>
      </c>
      <c r="HO38" s="46">
        <v>0</v>
      </c>
      <c r="HP38" s="46">
        <v>0</v>
      </c>
      <c r="HQ38" s="46">
        <v>0</v>
      </c>
      <c r="HR38" s="46">
        <v>151986603</v>
      </c>
      <c r="HS38" s="46">
        <v>0</v>
      </c>
      <c r="HT38" s="46">
        <v>0</v>
      </c>
      <c r="HU38" s="46">
        <v>0</v>
      </c>
      <c r="HV38" s="46">
        <v>0</v>
      </c>
      <c r="HW38" s="46">
        <v>0</v>
      </c>
      <c r="HX38" s="46">
        <v>0</v>
      </c>
      <c r="HY38" s="46">
        <v>0</v>
      </c>
      <c r="HZ38" s="46">
        <v>0</v>
      </c>
      <c r="IA38" s="46">
        <v>0</v>
      </c>
      <c r="IB38" s="46">
        <v>0</v>
      </c>
      <c r="IC38" s="46">
        <v>0</v>
      </c>
      <c r="ID38" s="46">
        <v>0</v>
      </c>
      <c r="IE38" s="46">
        <v>0</v>
      </c>
      <c r="IF38" s="46">
        <v>0</v>
      </c>
      <c r="IG38" s="46">
        <v>0</v>
      </c>
      <c r="IH38" s="46">
        <v>0</v>
      </c>
      <c r="II38" s="46">
        <v>0</v>
      </c>
      <c r="IJ38" s="46">
        <v>0</v>
      </c>
      <c r="IK38" s="46">
        <v>0</v>
      </c>
      <c r="IL38" s="46">
        <v>0</v>
      </c>
      <c r="IM38" s="46">
        <v>0</v>
      </c>
      <c r="IN38" s="46">
        <v>0</v>
      </c>
      <c r="IO38" s="46">
        <v>0</v>
      </c>
      <c r="IP38" s="46">
        <v>3826217</v>
      </c>
      <c r="IQ38" s="46">
        <v>45179019</v>
      </c>
      <c r="IR38" s="46">
        <v>4502142</v>
      </c>
      <c r="IS38" s="46">
        <v>16130741</v>
      </c>
      <c r="IT38" s="46">
        <v>118642</v>
      </c>
      <c r="IU38" s="46">
        <v>-8782009</v>
      </c>
      <c r="IV38" s="46">
        <v>0</v>
      </c>
      <c r="IW38" s="46">
        <v>833971</v>
      </c>
      <c r="IX38" s="46">
        <v>0</v>
      </c>
      <c r="IY38" s="46">
        <v>0</v>
      </c>
      <c r="IZ38" s="46">
        <v>0</v>
      </c>
      <c r="JA38" s="46">
        <v>0</v>
      </c>
      <c r="JB38" s="46">
        <v>2382554</v>
      </c>
      <c r="JC38" s="46">
        <v>0</v>
      </c>
      <c r="JD38" s="46">
        <v>0</v>
      </c>
      <c r="JE38" s="46">
        <v>0</v>
      </c>
      <c r="JF38" s="46">
        <v>0</v>
      </c>
      <c r="JG38" s="46">
        <v>0</v>
      </c>
      <c r="JH38" s="46">
        <v>0</v>
      </c>
      <c r="JI38" s="46">
        <v>2792010</v>
      </c>
      <c r="JJ38" s="46">
        <v>0</v>
      </c>
      <c r="JK38" s="46">
        <v>104442900</v>
      </c>
      <c r="JL38" s="46">
        <v>0</v>
      </c>
      <c r="JM38" s="46">
        <v>0</v>
      </c>
      <c r="JN38" s="46">
        <v>0</v>
      </c>
      <c r="JO38" s="46">
        <v>0</v>
      </c>
      <c r="JP38" s="46">
        <v>0</v>
      </c>
      <c r="JQ38" s="46">
        <v>0</v>
      </c>
      <c r="JR38" s="46">
        <v>12415411</v>
      </c>
      <c r="JS38" s="46">
        <v>-168968</v>
      </c>
      <c r="JT38" s="46">
        <v>13517257</v>
      </c>
      <c r="JU38" s="46">
        <v>0</v>
      </c>
      <c r="JV38" s="46">
        <v>2250</v>
      </c>
      <c r="JW38" s="46">
        <v>0</v>
      </c>
      <c r="JX38" s="46">
        <v>0</v>
      </c>
      <c r="JY38" s="46">
        <v>0</v>
      </c>
      <c r="JZ38" s="46">
        <v>0</v>
      </c>
      <c r="KA38" s="46">
        <v>0</v>
      </c>
      <c r="KB38" s="46">
        <v>183334512</v>
      </c>
      <c r="KC38" s="46">
        <v>0</v>
      </c>
      <c r="KD38" s="46">
        <v>0</v>
      </c>
      <c r="KE38" s="46">
        <v>0</v>
      </c>
      <c r="KF38" s="46">
        <v>0</v>
      </c>
      <c r="KG38" s="46">
        <v>0</v>
      </c>
      <c r="KH38" s="46">
        <v>0</v>
      </c>
      <c r="KI38" s="46">
        <v>28193</v>
      </c>
      <c r="KJ38" s="46">
        <v>2823021</v>
      </c>
      <c r="KK38" s="46">
        <v>500940</v>
      </c>
      <c r="KL38" s="46">
        <v>793888</v>
      </c>
      <c r="KM38" s="46">
        <v>0</v>
      </c>
      <c r="KN38" s="46">
        <v>13961</v>
      </c>
      <c r="KO38" s="46">
        <v>0</v>
      </c>
      <c r="KP38" s="46">
        <v>0</v>
      </c>
      <c r="KQ38" s="46">
        <v>213980</v>
      </c>
      <c r="KR38" s="46">
        <v>152270521</v>
      </c>
      <c r="KS38" s="46">
        <v>97382059</v>
      </c>
      <c r="KT38" s="46">
        <v>0</v>
      </c>
      <c r="KU38" s="46">
        <v>10778289</v>
      </c>
      <c r="KV38" s="46">
        <v>0</v>
      </c>
      <c r="KW38" s="46">
        <v>0</v>
      </c>
      <c r="KX38" s="46">
        <v>0</v>
      </c>
      <c r="KY38" s="46">
        <v>0</v>
      </c>
      <c r="KZ38" s="46">
        <v>0</v>
      </c>
      <c r="LA38" s="46">
        <v>104983509</v>
      </c>
      <c r="LB38" s="46">
        <v>42810102</v>
      </c>
      <c r="LC38" s="46">
        <v>0</v>
      </c>
      <c r="LD38" s="46">
        <v>84938790</v>
      </c>
      <c r="LE38" s="46">
        <v>0</v>
      </c>
      <c r="LF38" s="46">
        <v>0</v>
      </c>
      <c r="LG38" s="46">
        <v>0</v>
      </c>
      <c r="LH38" s="46">
        <v>0</v>
      </c>
      <c r="LI38" s="46">
        <v>0</v>
      </c>
      <c r="LJ38" s="46">
        <v>2611995</v>
      </c>
      <c r="LK38" s="46">
        <v>6651650</v>
      </c>
      <c r="LL38" s="46">
        <v>15785</v>
      </c>
      <c r="LM38" s="46">
        <v>11378597</v>
      </c>
      <c r="LN38" s="46">
        <v>0</v>
      </c>
      <c r="LO38" s="46">
        <v>0</v>
      </c>
      <c r="LP38" s="46">
        <v>0</v>
      </c>
      <c r="LQ38" s="46">
        <v>0</v>
      </c>
      <c r="LR38" s="46">
        <v>0</v>
      </c>
      <c r="LS38" s="46">
        <v>0</v>
      </c>
      <c r="LT38" s="46">
        <v>0</v>
      </c>
      <c r="LU38" s="46">
        <v>0</v>
      </c>
      <c r="LV38" s="46">
        <v>0</v>
      </c>
      <c r="LW38" s="46">
        <v>0</v>
      </c>
      <c r="LX38" s="46">
        <v>0</v>
      </c>
      <c r="LY38" s="46">
        <v>0</v>
      </c>
      <c r="LZ38" s="46">
        <v>0</v>
      </c>
      <c r="MA38" s="46">
        <v>0</v>
      </c>
      <c r="MB38" s="46">
        <v>59551848</v>
      </c>
      <c r="MC38" s="46">
        <v>72059836</v>
      </c>
      <c r="MD38" s="46">
        <v>0</v>
      </c>
      <c r="ME38" s="46">
        <v>16461472</v>
      </c>
      <c r="MF38" s="46">
        <v>0</v>
      </c>
      <c r="MG38" s="46">
        <v>0</v>
      </c>
      <c r="MH38" s="46">
        <v>0</v>
      </c>
      <c r="MI38" s="46">
        <v>0</v>
      </c>
      <c r="MJ38" s="46">
        <v>0</v>
      </c>
      <c r="MK38" s="46">
        <v>13737230</v>
      </c>
      <c r="ML38" s="46">
        <v>61729752</v>
      </c>
      <c r="MM38" s="46">
        <v>0</v>
      </c>
      <c r="MN38" s="46">
        <v>1452049</v>
      </c>
      <c r="MO38" s="46">
        <v>0</v>
      </c>
      <c r="MP38" s="46">
        <v>0</v>
      </c>
      <c r="MQ38" s="46">
        <v>0</v>
      </c>
      <c r="MR38" s="46">
        <v>0</v>
      </c>
      <c r="MS38" s="46">
        <v>0</v>
      </c>
      <c r="MT38" s="46">
        <v>29810135</v>
      </c>
      <c r="MU38" s="46">
        <v>42155720</v>
      </c>
      <c r="MV38" s="46">
        <v>0</v>
      </c>
      <c r="MW38" s="46">
        <v>2489423</v>
      </c>
      <c r="MX38" s="46">
        <v>0</v>
      </c>
      <c r="MY38" s="46">
        <v>0</v>
      </c>
      <c r="MZ38" s="46">
        <v>0</v>
      </c>
      <c r="NA38" s="46">
        <v>0</v>
      </c>
      <c r="NB38" s="46">
        <v>0</v>
      </c>
      <c r="NC38" s="46">
        <v>23097052</v>
      </c>
      <c r="ND38" s="46">
        <v>39152793</v>
      </c>
      <c r="NE38" s="46">
        <v>0</v>
      </c>
      <c r="NF38" s="46">
        <v>9281934</v>
      </c>
      <c r="NG38" s="46">
        <v>0</v>
      </c>
      <c r="NH38" s="46">
        <v>0</v>
      </c>
      <c r="NI38" s="46">
        <v>1484993</v>
      </c>
      <c r="NJ38" s="46">
        <v>0</v>
      </c>
      <c r="NK38" s="46">
        <v>0</v>
      </c>
      <c r="NL38" s="46">
        <v>5765</v>
      </c>
      <c r="NM38" s="46">
        <v>8360594</v>
      </c>
      <c r="NN38" s="46">
        <v>302897</v>
      </c>
      <c r="NO38" s="46">
        <v>12913733</v>
      </c>
      <c r="NP38" s="46">
        <v>0</v>
      </c>
      <c r="NQ38" s="46">
        <v>0</v>
      </c>
      <c r="NR38" s="46">
        <v>0</v>
      </c>
      <c r="NS38" s="46">
        <v>0</v>
      </c>
      <c r="NT38" s="46">
        <v>0</v>
      </c>
      <c r="NU38" s="46">
        <v>0</v>
      </c>
      <c r="NV38" s="46">
        <v>20406</v>
      </c>
      <c r="NW38" s="46">
        <v>183783353</v>
      </c>
      <c r="NX38" s="46">
        <v>7096624</v>
      </c>
      <c r="NY38" s="46">
        <v>0</v>
      </c>
      <c r="NZ38" s="46">
        <v>0</v>
      </c>
      <c r="OA38" s="46">
        <v>0</v>
      </c>
      <c r="OB38" s="46">
        <v>0</v>
      </c>
      <c r="OC38" s="46">
        <v>0</v>
      </c>
      <c r="OD38" s="46">
        <v>16867661</v>
      </c>
      <c r="OE38" s="46">
        <v>14859881</v>
      </c>
      <c r="OF38" s="46">
        <v>2854800</v>
      </c>
      <c r="OG38" s="46">
        <v>13888093</v>
      </c>
      <c r="OH38" s="46">
        <v>0</v>
      </c>
      <c r="OI38" s="46">
        <v>0</v>
      </c>
      <c r="OJ38" s="46">
        <v>0</v>
      </c>
      <c r="OK38" s="46">
        <v>0</v>
      </c>
      <c r="OL38" s="46">
        <v>0</v>
      </c>
      <c r="OM38" s="46">
        <v>0</v>
      </c>
      <c r="ON38" s="46">
        <v>0</v>
      </c>
      <c r="OO38" s="46">
        <v>0</v>
      </c>
      <c r="OP38" s="46">
        <v>46375082</v>
      </c>
      <c r="OQ38" s="46">
        <v>0</v>
      </c>
      <c r="OR38" s="46">
        <v>0</v>
      </c>
      <c r="OS38" s="46">
        <v>0</v>
      </c>
      <c r="OT38" s="46">
        <v>0</v>
      </c>
      <c r="OU38" s="46">
        <v>1588748</v>
      </c>
      <c r="OV38" s="46">
        <v>0</v>
      </c>
      <c r="OW38" s="46">
        <v>0</v>
      </c>
      <c r="OX38" s="46">
        <v>0</v>
      </c>
      <c r="OY38" s="46">
        <v>0</v>
      </c>
      <c r="OZ38" s="46">
        <v>0</v>
      </c>
      <c r="PA38" s="46">
        <v>0</v>
      </c>
      <c r="PB38" s="46">
        <v>-71661542</v>
      </c>
      <c r="PC38" s="46">
        <v>0</v>
      </c>
      <c r="PD38" s="46">
        <v>0</v>
      </c>
      <c r="PE38" s="46">
        <v>10768603</v>
      </c>
      <c r="PF38" s="46">
        <v>83902064</v>
      </c>
      <c r="PG38" s="46">
        <v>7526253</v>
      </c>
      <c r="PH38" s="46">
        <v>-68080328</v>
      </c>
      <c r="PI38" s="46">
        <v>0</v>
      </c>
      <c r="PJ38" s="46">
        <v>128295</v>
      </c>
      <c r="PK38" s="46">
        <v>-41751735</v>
      </c>
      <c r="PL38" s="46">
        <v>1400398</v>
      </c>
      <c r="PM38" s="46">
        <v>4134489</v>
      </c>
      <c r="PN38" s="46">
        <v>0</v>
      </c>
      <c r="PO38" s="46">
        <v>0</v>
      </c>
      <c r="PP38" s="46">
        <v>0</v>
      </c>
      <c r="PQ38" s="46">
        <v>0</v>
      </c>
      <c r="PR38" s="46">
        <v>0</v>
      </c>
      <c r="PS38" s="46">
        <v>0</v>
      </c>
      <c r="PT38" s="46">
        <v>294753025</v>
      </c>
      <c r="PU38" s="46">
        <v>0</v>
      </c>
      <c r="PV38" s="46">
        <v>0</v>
      </c>
      <c r="PW38" s="46">
        <v>-17813872</v>
      </c>
      <c r="PX38" s="46">
        <v>-18634080</v>
      </c>
      <c r="PY38" s="46">
        <v>-15919130</v>
      </c>
      <c r="PZ38" s="46">
        <v>-9052069</v>
      </c>
      <c r="QA38" s="46">
        <v>0</v>
      </c>
      <c r="QB38" s="46">
        <v>0</v>
      </c>
      <c r="QC38" s="46">
        <v>-214195955</v>
      </c>
      <c r="QD38" s="46">
        <v>-5267078</v>
      </c>
      <c r="QE38" s="46">
        <v>0</v>
      </c>
      <c r="QF38" s="46">
        <v>0</v>
      </c>
      <c r="QG38" s="46">
        <v>58874196</v>
      </c>
      <c r="QH38" s="46">
        <v>199327</v>
      </c>
      <c r="QI38" s="46">
        <v>534520</v>
      </c>
      <c r="QJ38" s="46">
        <v>0</v>
      </c>
      <c r="QK38" s="46">
        <v>22852177</v>
      </c>
      <c r="QL38" s="46">
        <v>0</v>
      </c>
      <c r="QM38" s="46">
        <v>0</v>
      </c>
      <c r="QN38" s="46">
        <v>0</v>
      </c>
      <c r="QO38" s="46">
        <v>0</v>
      </c>
      <c r="QP38" s="46">
        <v>0</v>
      </c>
      <c r="QQ38" s="46">
        <v>0</v>
      </c>
      <c r="QR38" s="46">
        <v>0</v>
      </c>
      <c r="QS38" s="46">
        <v>0</v>
      </c>
      <c r="QT38" s="46">
        <v>1368000</v>
      </c>
      <c r="QU38" s="46">
        <v>0</v>
      </c>
      <c r="QV38" s="46">
        <v>0</v>
      </c>
      <c r="QW38" s="46">
        <v>0</v>
      </c>
      <c r="QX38" s="46">
        <v>0</v>
      </c>
      <c r="QY38" s="46">
        <v>0</v>
      </c>
      <c r="QZ38" s="46">
        <v>0</v>
      </c>
      <c r="RA38" s="46">
        <v>0</v>
      </c>
      <c r="RB38" s="46">
        <v>0</v>
      </c>
      <c r="RC38" s="46">
        <v>0</v>
      </c>
      <c r="RD38" s="46">
        <v>150816399</v>
      </c>
      <c r="RE38" s="46">
        <v>0</v>
      </c>
      <c r="RF38" s="46">
        <v>0</v>
      </c>
      <c r="RG38" s="46">
        <v>0</v>
      </c>
      <c r="RH38" s="46">
        <v>0</v>
      </c>
      <c r="RI38" s="46">
        <v>0</v>
      </c>
      <c r="RJ38" s="46">
        <v>0</v>
      </c>
      <c r="RK38" s="46">
        <v>0</v>
      </c>
      <c r="RL38" s="46">
        <v>0</v>
      </c>
      <c r="RM38" s="46">
        <v>0</v>
      </c>
      <c r="RN38" s="46">
        <v>0</v>
      </c>
      <c r="RO38" s="46">
        <v>-118396224</v>
      </c>
      <c r="RP38" s="46">
        <v>0</v>
      </c>
      <c r="RQ38" s="46">
        <v>1529536</v>
      </c>
      <c r="RR38" s="46">
        <v>0</v>
      </c>
      <c r="RS38" s="46">
        <v>0</v>
      </c>
      <c r="RT38" s="46">
        <v>0</v>
      </c>
      <c r="RU38" s="46">
        <v>0</v>
      </c>
      <c r="RV38" s="46">
        <v>0</v>
      </c>
      <c r="RW38" s="46">
        <v>0</v>
      </c>
      <c r="RX38" s="46">
        <v>-481748</v>
      </c>
      <c r="RY38" s="46">
        <v>0</v>
      </c>
      <c r="RZ38" s="46">
        <v>0</v>
      </c>
      <c r="SA38" s="46">
        <v>0</v>
      </c>
      <c r="SB38" s="46">
        <v>0</v>
      </c>
      <c r="SC38" s="46">
        <v>0</v>
      </c>
      <c r="SD38" s="46">
        <v>0</v>
      </c>
      <c r="SE38" s="46">
        <v>0</v>
      </c>
      <c r="SF38" s="46">
        <v>0</v>
      </c>
      <c r="SG38" s="46">
        <v>0</v>
      </c>
      <c r="SH38" s="46">
        <v>0</v>
      </c>
      <c r="SI38" s="46">
        <v>0</v>
      </c>
      <c r="SJ38" s="46">
        <v>0</v>
      </c>
      <c r="SK38" s="46">
        <v>0</v>
      </c>
      <c r="SL38" s="46">
        <v>0</v>
      </c>
      <c r="SM38" s="46">
        <v>0</v>
      </c>
      <c r="SN38" s="46">
        <v>0</v>
      </c>
      <c r="SO38" s="46">
        <v>0</v>
      </c>
      <c r="SP38" s="46">
        <v>1422925</v>
      </c>
      <c r="SQ38" s="46">
        <v>16867661</v>
      </c>
      <c r="SR38" s="46">
        <v>14859881</v>
      </c>
      <c r="SS38" s="46">
        <v>2854800</v>
      </c>
      <c r="ST38" s="46">
        <v>13888093</v>
      </c>
      <c r="SU38" s="46">
        <v>0</v>
      </c>
      <c r="SV38" s="46">
        <v>0</v>
      </c>
      <c r="SW38" s="46">
        <v>71661542</v>
      </c>
      <c r="SX38" s="46">
        <v>0</v>
      </c>
      <c r="SY38" s="46">
        <v>0</v>
      </c>
      <c r="SZ38" s="46">
        <v>4425059</v>
      </c>
      <c r="TA38" s="46">
        <v>28515434</v>
      </c>
      <c r="TB38" s="46">
        <v>514519</v>
      </c>
      <c r="TC38" s="46">
        <v>0</v>
      </c>
      <c r="TD38" s="46">
        <v>5327769</v>
      </c>
      <c r="TE38" s="46">
        <v>2356470</v>
      </c>
      <c r="TF38" s="46">
        <v>2389382</v>
      </c>
      <c r="TG38" s="46">
        <v>1991582</v>
      </c>
      <c r="TH38" s="46">
        <v>0</v>
      </c>
      <c r="TI38" s="46">
        <v>2950220</v>
      </c>
      <c r="TJ38" s="46">
        <v>0</v>
      </c>
      <c r="TK38" s="46">
        <v>100325</v>
      </c>
      <c r="TL38" s="46">
        <v>1151348</v>
      </c>
      <c r="TM38" s="46">
        <v>523553</v>
      </c>
      <c r="TN38" s="46">
        <v>0</v>
      </c>
      <c r="TO38" s="46">
        <v>0</v>
      </c>
      <c r="TP38" s="46">
        <v>0</v>
      </c>
      <c r="TQ38" s="46">
        <v>0</v>
      </c>
      <c r="TR38" s="46">
        <v>0</v>
      </c>
      <c r="TS38" s="46">
        <v>0</v>
      </c>
      <c r="TT38" s="46">
        <v>0</v>
      </c>
      <c r="TU38" s="46">
        <v>0</v>
      </c>
      <c r="TV38" s="46">
        <v>0</v>
      </c>
      <c r="TW38" s="46">
        <v>0</v>
      </c>
      <c r="TX38" s="46">
        <v>0</v>
      </c>
      <c r="TY38" s="46">
        <v>0</v>
      </c>
      <c r="TZ38" s="46">
        <v>0</v>
      </c>
      <c r="UA38" s="46">
        <v>0</v>
      </c>
      <c r="UB38" s="46">
        <v>0</v>
      </c>
      <c r="UC38" s="46">
        <v>0</v>
      </c>
      <c r="UD38" s="46">
        <v>0</v>
      </c>
      <c r="UE38" s="46">
        <v>260430869</v>
      </c>
      <c r="UF38" s="46">
        <v>232732401</v>
      </c>
      <c r="UG38" s="46">
        <v>20658027</v>
      </c>
      <c r="UH38" s="46">
        <v>0</v>
      </c>
      <c r="UI38" s="46">
        <v>148073156</v>
      </c>
      <c r="UJ38" s="46">
        <v>76919031</v>
      </c>
      <c r="UK38" s="46">
        <v>74455278</v>
      </c>
      <c r="UL38" s="46">
        <v>73016772</v>
      </c>
      <c r="UM38" s="46">
        <v>21582989</v>
      </c>
      <c r="UN38" s="46">
        <v>190900383</v>
      </c>
      <c r="UO3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48470435</v>
      </c>
      <c r="UP38" s="46">
        <f>SUM(Input[[#This Row],[Oth Exp E&amp;G]],Input[[#This Row],[Oth Exp Desg]],Input[[#This Row],[Oth Exp Aux]],Input[[#This Row],[Oth Exp R Exp]],Input[[#This Row],[Oth Exp Loan]],Input[[#This Row],[Oth Exp Annuity]],Input[[#This Row],[Oth Exp Unexp]],Input[[#This Row],[Oth Exp R of Ind]],Input[[#This Row],[Oth Exp Inv in P]])</f>
        <v>47963830</v>
      </c>
      <c r="UQ38" s="46"/>
      <c r="UR38" s="46"/>
      <c r="US38" s="8" t="s">
        <v>814</v>
      </c>
      <c r="UT38" s="47">
        <v>8068344640</v>
      </c>
      <c r="UU38" s="8" t="s">
        <v>81</v>
      </c>
      <c r="UV38" s="8" t="s">
        <v>815</v>
      </c>
      <c r="UW38" s="47">
        <v>8068344713</v>
      </c>
      <c r="UX38" s="8" t="s">
        <v>816</v>
      </c>
      <c r="UY38" s="51" cm="1">
        <f t="array" ref="UY38">IFERROR(_xlfn.IFS(Input[[#This Row],[Type]]="HRI",SUMIFS('FTSE | FTFE'!$P$8:$P$77,'FTSE | FTFE'!$H$8:$H$77,A38),Input[[#This Row],[Type]]="UNIV",SUMIFS('FTSE | FTFE'!$P$104:$P$139,'FTSE | FTFE'!$H$104:$H$139,A38),OR(Input[[#This Row],[Type]]="TSTC",Input[[#This Row],[Type]]="LSC"),SUMIFS('FTSE | FTFE'!$O$88:$O$96,'FTSE | FTFE'!$H$88:$H$96,A38),Input[[#This Row],[Type]]="AHM",SUMIFS(Hidden!$H$42:$H$45,Hidden!$G$42:$G$45,A38)),"N/A")</f>
        <v>38546</v>
      </c>
      <c r="UZ38" s="51" cm="1">
        <f t="array" ref="UZ38">IFERROR(_xlfn.IFS(Input[[#This Row],[Type]]="HRI",SUMIFS('FTSE | FTFE'!$Q$8:$Q$77,'FTSE | FTFE'!$H$8:$H$77,A38),Input[[#This Row],[Type]]="UNIV",SUMIFS('FTSE | FTFE'!$Q$104:$Q$139,'FTSE | FTFE'!$H$104:$H$139,A38),OR(Input[[#This Row],[Type]]="TSTC",Input[[#This Row],[Type]]="LSC"),SUMIFS('FTSE | FTFE'!$P$88:$P$96,'FTSE | FTFE'!$H$88:$H$96,A38)),"N/A")</f>
        <v>1030</v>
      </c>
      <c r="VA3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545774404</v>
      </c>
      <c r="VB3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51379461</v>
      </c>
      <c r="VC38" s="46">
        <f>SUM(Input[[#This Row],[Fed G&amp;C E&amp;G]],Input[[#This Row],[Fed G&amp;C Desg]],Input[[#This Row],[Fed G&amp;C R Exp]],Input[[#This Row],[Fed G&amp;C Loan]],Input[[#This Row],[Fed G&amp;C Annuity]],Input[[#This Row],[Fed G&amp;C Unexp]],Input[[#This Row],[Fed G&amp;C R of Ind]],Input[[#This Row],[Fed G&amp;C Inv in P]])</f>
        <v>151986603</v>
      </c>
      <c r="VD3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196732006</v>
      </c>
      <c r="VE3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228949596</v>
      </c>
      <c r="VF3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106235670</v>
      </c>
      <c r="VG38" s="46">
        <f>SUM(Input[[#This Row],[Oth Inc E&amp;G]],Input[[#This Row],[Oth Exp Desg]],Input[[#This Row],[Oth Exp R Exp]],Input[[#This Row],[Oth Exp Loan]],Input[[#This Row],[Oth Exp Annuity]],Input[[#This Row],[Oth Exp Unexp]],Input[[#This Row],[Oth Exp R of Ind]],Input[[#This Row],[Oth Exp Inv in P]])</f>
        <v>47992023</v>
      </c>
      <c r="VH38" s="46">
        <f>SUM(Input[[#This Row],[Instr E&amp;G]],Input[[#This Row],[Instr Desg]],Input[[#This Row],[Instr R Exp]],Input[[#This Row],[Instr Loan]],Input[[#This Row],[Instr Annuity]],Input[[#This Row],[Instr Unexp]],Input[[#This Row],[Instr R of Ind]],Input[[#This Row],[Instr Inv in P]])</f>
        <v>260430869</v>
      </c>
      <c r="VI38" s="46">
        <f>SUM(Input[[#This Row],[Res E&amp;G]],Input[[#This Row],[Res Desg]],Input[[#This Row],[Res R Exp]],Input[[#This Row],[Res Loan]],Input[[#This Row],[Res Annuity]],Input[[#This Row],[Res Unexp]],Input[[#This Row],[Res R of Ind]],Input[[#This Row],[Res Inv in P]])</f>
        <v>232732401</v>
      </c>
      <c r="VJ38" s="46">
        <f>SUM(Input[[#This Row],[Acad Sup E&amp;G]],Input[[#This Row],[Acad Sup Desg]],Input[[#This Row],[Acad Sup R Exp]],Input[[#This Row],[Acad Sup Loan]],Input[[#This Row],[Acad Sup Annuity]],Input[[#This Row],[Acad Sup Unexp]],Input[[#This Row],[Acad Sup R of Ind]],Input[[#This Row],[Acad Sup Inv in P]])</f>
        <v>148073156</v>
      </c>
      <c r="VK38" s="46">
        <f>SUM(Input[[#This Row],[Stu Svc E&amp;G]],Input[[#This Row],[Stu Svc Desg]],Input[[#This Row],[Stu Svc R Exp]],Input[[#This Row],[Stu Svc Loan]],Input[[#This Row],[Stu Svc Annuity]],Input[[#This Row],[Stu Svc Unexp]],Input[[#This Row],[Stu Svc R of Ind]],Input[[#This Row],[Stu Svc Inv in P]])</f>
        <v>76919031</v>
      </c>
      <c r="VL38" s="46">
        <f>SUM(Input[[#This Row],[Inst. Spt E&amp;G]],Input[[#This Row],[Inst. Spt Desg]],Input[[#This Row],[Inst. Spt R Exp]],Input[[#This Row],[Inst. Spt Loan]],Input[[#This Row],[Inst. Spt Annuity]],Input[[#This Row],[Inst. Spt Unexp]],Input[[#This Row],[Inst. Spt R of Ind]],Input[[#This Row],[Inst. Spt Inv in P]])</f>
        <v>74455278</v>
      </c>
      <c r="VM38" s="46">
        <f>SUM(Input[[#This Row],[M&amp;O Plnt E&amp;G]],Input[[#This Row],[M&amp;O Plnt Desg]],Input[[#This Row],[M&amp;O Plnt R Exp]],Input[[#This Row],[M&amp;O Plnt Loan]],Input[[#This Row],[M&amp;O Plnt Annuity]],Input[[#This Row],[M&amp;O Plnt Unexp]],Input[[#This Row],[M&amp;O Plnt R of Ind]],Input[[#This Row],[M&amp;O Plnt Inv in P]])</f>
        <v>73016772</v>
      </c>
      <c r="VN38" s="46">
        <f>SUM(Input[[#This Row],[Schl &amp; Fell E&amp;G]],Input[[#This Row],[Schl &amp; Fell Desg]],Input[[#This Row],[Schl &amp; Fell R Exp]],Input[[#This Row],[Schl &amp; Fell Loan]],Input[[#This Row],[Schl &amp; Fell Annuity]],Input[[#This Row],[Schl &amp; Fell Unexp]],Input[[#This Row],[Schl &amp; Fell R of Ind]],Input[[#This Row],[Schl &amp; Fell Inv in P]])</f>
        <v>21280092</v>
      </c>
      <c r="VO38" s="46">
        <f>SUM(Input[[#This Row],[Cap Out fund E&amp;G]],Input[[#This Row],[Cap Out fund Desg]],Input[[#This Row],[Cap Out fund R Exp]],Input[[#This Row],[Cap Out fund Loan]],Input[[#This Row],[Cap Out fund Annuity]],Input[[#This Row],[Cap Out fund Unexp]],Input[[#This Row],[Cap Out fund R of Ind]],Input[[#This Row],[Cap Out fund Inv in P]])</f>
        <v>45615635</v>
      </c>
      <c r="VP38" s="46">
        <f>SUM(Input[[#This Row],[Oth Exp E&amp;G]],Input[[#This Row],[Oth Exp Desg]],Input[[#This Row],[Oth Exp R Exp]],Input[[#This Row],[Oth Exp Loan]],Input[[#This Row],[Oth Exp Annuity]],Input[[#This Row],[Oth Exp Unexp]],Input[[#This Row],[Oth Exp R of Ind]],Input[[#This Row],[Oth Exp Inv in P]],Input[[#This Row],[Oth Exp Inv in P]])</f>
        <v>49552578</v>
      </c>
    </row>
    <row r="39" spans="1:588" ht="30" customHeight="1" x14ac:dyDescent="0.3">
      <c r="A39" s="15" t="s">
        <v>24</v>
      </c>
      <c r="B39" s="36" t="s">
        <v>109</v>
      </c>
      <c r="C39" s="36" t="s">
        <v>110</v>
      </c>
      <c r="D39" s="36">
        <v>602</v>
      </c>
      <c r="E39" s="36" t="s">
        <v>132</v>
      </c>
      <c r="F39" s="95" cm="1">
        <f t="array" ref="F39">IFERROR(_xlfn.IFS(Input[[#This Row],[Type]]="HRI",SUMIFS('FTSE | FTFE'!$I$8:$I$77,'FTSE | FTFE'!$H$8:$H$77,A39),Input[[#This Row],[Type]]="UNIV",SUMIFS('FTSE | FTFE'!$I$104:$I$139,'FTSE | FTFE'!$H$104:$H$139,A39),OR(Input[[#This Row],[Type]]="TSTC",Input[[#This Row],[Type]]="LSC"),SUMIFS('FTSE | FTFE'!$I$88:$I$96,'FTSE | FTFE'!$H$88:$H$96,A39)),"N/A")</f>
        <v>3541</v>
      </c>
      <c r="G39" s="46">
        <v>45004832</v>
      </c>
      <c r="H39" s="46">
        <v>0</v>
      </c>
      <c r="I39" s="46">
        <v>0</v>
      </c>
      <c r="J39" s="46">
        <v>0</v>
      </c>
      <c r="K39" s="46">
        <v>0</v>
      </c>
      <c r="L39" s="46">
        <v>0</v>
      </c>
      <c r="M39" s="46">
        <v>0</v>
      </c>
      <c r="N39" s="46">
        <v>0</v>
      </c>
      <c r="O39" s="46">
        <v>0</v>
      </c>
      <c r="P39" s="46">
        <v>9004332</v>
      </c>
      <c r="Q39" s="46">
        <v>0</v>
      </c>
      <c r="R39" s="46">
        <v>0</v>
      </c>
      <c r="S39" s="46">
        <v>2911425</v>
      </c>
      <c r="T39" s="46">
        <v>0</v>
      </c>
      <c r="U39" s="46">
        <v>0</v>
      </c>
      <c r="V39" s="46">
        <v>0</v>
      </c>
      <c r="W39" s="46">
        <v>0</v>
      </c>
      <c r="X39" s="46">
        <v>0</v>
      </c>
      <c r="Y39" s="46">
        <v>6997943</v>
      </c>
      <c r="Z39" s="46">
        <v>0</v>
      </c>
      <c r="AA39" s="46">
        <v>0</v>
      </c>
      <c r="AB39" s="46">
        <v>0</v>
      </c>
      <c r="AC39" s="46">
        <v>0</v>
      </c>
      <c r="AD39" s="46">
        <v>0</v>
      </c>
      <c r="AE39" s="46">
        <v>0</v>
      </c>
      <c r="AF39" s="46">
        <v>0</v>
      </c>
      <c r="AG39" s="46">
        <v>0</v>
      </c>
      <c r="AH39" s="46">
        <v>0</v>
      </c>
      <c r="AI39" s="46">
        <v>0</v>
      </c>
      <c r="AJ39" s="46">
        <v>0</v>
      </c>
      <c r="AK39" s="46">
        <v>0</v>
      </c>
      <c r="AL39" s="46">
        <v>0</v>
      </c>
      <c r="AM39" s="46">
        <v>0</v>
      </c>
      <c r="AN39" s="46">
        <v>0</v>
      </c>
      <c r="AO39" s="46">
        <v>0</v>
      </c>
      <c r="AP39" s="46">
        <v>0</v>
      </c>
      <c r="AQ39" s="46">
        <v>-3910170</v>
      </c>
      <c r="AR39" s="46">
        <v>0</v>
      </c>
      <c r="AS39" s="46">
        <v>0</v>
      </c>
      <c r="AT39" s="46">
        <v>0</v>
      </c>
      <c r="AU39" s="46">
        <v>0</v>
      </c>
      <c r="AV39" s="46">
        <v>0</v>
      </c>
      <c r="AW39" s="46">
        <v>0</v>
      </c>
      <c r="AX39" s="46">
        <v>0</v>
      </c>
      <c r="AY39" s="46">
        <v>0</v>
      </c>
      <c r="AZ39" s="46">
        <v>-2462870</v>
      </c>
      <c r="BA39" s="46">
        <v>0</v>
      </c>
      <c r="BB39" s="46">
        <v>0</v>
      </c>
      <c r="BC39" s="46">
        <v>0</v>
      </c>
      <c r="BD39" s="46">
        <v>0</v>
      </c>
      <c r="BE39" s="46">
        <v>0</v>
      </c>
      <c r="BF39" s="46">
        <v>0</v>
      </c>
      <c r="BG39" s="46">
        <v>0</v>
      </c>
      <c r="BH39" s="46">
        <v>0</v>
      </c>
      <c r="BI39" s="46">
        <v>0</v>
      </c>
      <c r="BJ39" s="46">
        <v>0</v>
      </c>
      <c r="BK39" s="46">
        <v>0</v>
      </c>
      <c r="BL39" s="46">
        <v>0</v>
      </c>
      <c r="BM39" s="46">
        <v>0</v>
      </c>
      <c r="BN39" s="46">
        <v>0</v>
      </c>
      <c r="BO39" s="46">
        <v>0</v>
      </c>
      <c r="BP39" s="46">
        <v>0</v>
      </c>
      <c r="BQ39" s="46">
        <v>0</v>
      </c>
      <c r="BR39" s="46">
        <v>0</v>
      </c>
      <c r="BS39" s="46">
        <v>0</v>
      </c>
      <c r="BT39" s="46">
        <v>0</v>
      </c>
      <c r="BU39" s="46">
        <v>0</v>
      </c>
      <c r="BV39" s="46">
        <v>0</v>
      </c>
      <c r="BW39" s="46">
        <v>0</v>
      </c>
      <c r="BX39" s="46">
        <v>0</v>
      </c>
      <c r="BY39" s="46">
        <v>0</v>
      </c>
      <c r="BZ39" s="46">
        <v>0</v>
      </c>
      <c r="CA39" s="46">
        <v>15307415</v>
      </c>
      <c r="CB39" s="46">
        <v>34144865</v>
      </c>
      <c r="CC39" s="46">
        <v>0</v>
      </c>
      <c r="CD39" s="46">
        <v>0</v>
      </c>
      <c r="CE39" s="46">
        <v>0</v>
      </c>
      <c r="CF39" s="46">
        <v>0</v>
      </c>
      <c r="CG39" s="46">
        <v>0</v>
      </c>
      <c r="CH39" s="46">
        <v>0</v>
      </c>
      <c r="CI39" s="46">
        <v>0</v>
      </c>
      <c r="CJ39" s="46">
        <v>0</v>
      </c>
      <c r="CK39" s="46">
        <v>0</v>
      </c>
      <c r="CL39" s="46">
        <v>0</v>
      </c>
      <c r="CM39" s="46">
        <v>0</v>
      </c>
      <c r="CN39" s="46">
        <v>0</v>
      </c>
      <c r="CO39" s="46">
        <v>0</v>
      </c>
      <c r="CP39" s="46">
        <v>0</v>
      </c>
      <c r="CQ39" s="46">
        <v>0</v>
      </c>
      <c r="CR39" s="46">
        <v>0</v>
      </c>
      <c r="CS39" s="46">
        <v>0</v>
      </c>
      <c r="CT39" s="46">
        <v>0</v>
      </c>
      <c r="CU39" s="46">
        <v>0</v>
      </c>
      <c r="CV39" s="46">
        <v>0</v>
      </c>
      <c r="CW39" s="46">
        <v>0</v>
      </c>
      <c r="CX39" s="46">
        <v>0</v>
      </c>
      <c r="CY39" s="46">
        <v>0</v>
      </c>
      <c r="CZ39" s="46">
        <v>0</v>
      </c>
      <c r="DA39" s="46">
        <v>0</v>
      </c>
      <c r="DB39" s="46">
        <v>-965963</v>
      </c>
      <c r="DC39" s="46">
        <v>-7741341</v>
      </c>
      <c r="DD39" s="46">
        <v>0</v>
      </c>
      <c r="DE39" s="46">
        <v>0</v>
      </c>
      <c r="DF39" s="46">
        <v>0</v>
      </c>
      <c r="DG39" s="46">
        <v>0</v>
      </c>
      <c r="DH39" s="46">
        <v>0</v>
      </c>
      <c r="DI39" s="46">
        <v>0</v>
      </c>
      <c r="DJ39" s="46">
        <v>0</v>
      </c>
      <c r="DK39" s="46">
        <v>-228930</v>
      </c>
      <c r="DL39" s="46">
        <v>-71769</v>
      </c>
      <c r="DM39" s="46">
        <v>0</v>
      </c>
      <c r="DN39" s="46">
        <v>0</v>
      </c>
      <c r="DO39" s="46">
        <v>0</v>
      </c>
      <c r="DP39" s="46">
        <v>0</v>
      </c>
      <c r="DQ39" s="46">
        <v>0</v>
      </c>
      <c r="DR39" s="46">
        <v>0</v>
      </c>
      <c r="DS39" s="46">
        <v>0</v>
      </c>
      <c r="DT39" s="46">
        <v>-11378375</v>
      </c>
      <c r="DU39" s="46">
        <v>-12443307</v>
      </c>
      <c r="DV39" s="46">
        <v>0</v>
      </c>
      <c r="DW39" s="46">
        <v>0</v>
      </c>
      <c r="DX39" s="46">
        <v>0</v>
      </c>
      <c r="DY39" s="46">
        <v>0</v>
      </c>
      <c r="DZ39" s="46">
        <v>0</v>
      </c>
      <c r="EA39" s="46">
        <v>0</v>
      </c>
      <c r="EB39" s="46">
        <v>0</v>
      </c>
      <c r="EC39" s="46">
        <v>0</v>
      </c>
      <c r="ED39" s="46">
        <v>0</v>
      </c>
      <c r="EE39" s="46">
        <v>0</v>
      </c>
      <c r="EF39" s="46">
        <v>0</v>
      </c>
      <c r="EG39" s="46">
        <v>0</v>
      </c>
      <c r="EH39" s="46">
        <v>0</v>
      </c>
      <c r="EI39" s="46">
        <v>0</v>
      </c>
      <c r="EJ39" s="46">
        <v>0</v>
      </c>
      <c r="EK39" s="46">
        <v>0</v>
      </c>
      <c r="EL39" s="46">
        <v>0</v>
      </c>
      <c r="EM39" s="46">
        <v>0</v>
      </c>
      <c r="EN39" s="46">
        <v>0</v>
      </c>
      <c r="EO39" s="46">
        <v>0</v>
      </c>
      <c r="EP39" s="46">
        <v>0</v>
      </c>
      <c r="EQ39" s="46">
        <v>0</v>
      </c>
      <c r="ER39" s="46">
        <v>0</v>
      </c>
      <c r="ES39" s="46">
        <v>0</v>
      </c>
      <c r="ET39" s="46">
        <v>0</v>
      </c>
      <c r="EU39" s="46">
        <v>0</v>
      </c>
      <c r="EV39" s="46">
        <v>0</v>
      </c>
      <c r="EW39" s="46">
        <v>0</v>
      </c>
      <c r="EX39" s="46">
        <v>0</v>
      </c>
      <c r="EY39" s="46">
        <v>0</v>
      </c>
      <c r="EZ39" s="46">
        <v>0</v>
      </c>
      <c r="FA39" s="46">
        <v>0</v>
      </c>
      <c r="FB39" s="46">
        <v>0</v>
      </c>
      <c r="FC39" s="46">
        <v>0</v>
      </c>
      <c r="FD39" s="46">
        <v>0</v>
      </c>
      <c r="FE39" s="46">
        <v>0</v>
      </c>
      <c r="FF39" s="46">
        <v>0</v>
      </c>
      <c r="FG39" s="46">
        <v>0</v>
      </c>
      <c r="FH39" s="46">
        <v>0</v>
      </c>
      <c r="FI39" s="46">
        <v>0</v>
      </c>
      <c r="FJ39" s="46">
        <v>0</v>
      </c>
      <c r="FK39" s="46">
        <v>0</v>
      </c>
      <c r="FL39" s="46">
        <v>0</v>
      </c>
      <c r="FM39" s="46">
        <v>0</v>
      </c>
      <c r="FN39" s="46">
        <v>30159408</v>
      </c>
      <c r="FO39" s="46">
        <v>14157740</v>
      </c>
      <c r="FP39" s="46">
        <v>0</v>
      </c>
      <c r="FQ39" s="46">
        <v>0</v>
      </c>
      <c r="FR39" s="46">
        <v>0</v>
      </c>
      <c r="FS39" s="46">
        <v>0</v>
      </c>
      <c r="FT39" s="46">
        <v>0</v>
      </c>
      <c r="FU39" s="46">
        <v>0</v>
      </c>
      <c r="FV39" s="46">
        <v>0</v>
      </c>
      <c r="FW39" s="46">
        <v>0</v>
      </c>
      <c r="FX39" s="46">
        <v>0</v>
      </c>
      <c r="FY39" s="46">
        <v>0</v>
      </c>
      <c r="FZ39" s="46">
        <v>0</v>
      </c>
      <c r="GA39" s="46">
        <v>0</v>
      </c>
      <c r="GB39" s="46">
        <v>0</v>
      </c>
      <c r="GC39" s="46">
        <v>0</v>
      </c>
      <c r="GD39" s="46">
        <v>0</v>
      </c>
      <c r="GE39" s="46">
        <v>0</v>
      </c>
      <c r="GF39" s="46">
        <v>0</v>
      </c>
      <c r="GG39" s="46">
        <v>0</v>
      </c>
      <c r="GH39" s="46">
        <v>0</v>
      </c>
      <c r="GI39" s="46">
        <v>0</v>
      </c>
      <c r="GJ39" s="46">
        <v>0</v>
      </c>
      <c r="GK39" s="46">
        <v>0</v>
      </c>
      <c r="GL39" s="46">
        <v>0</v>
      </c>
      <c r="GM39" s="46">
        <v>0</v>
      </c>
      <c r="GN39" s="46">
        <v>0</v>
      </c>
      <c r="GO39" s="46">
        <v>-6145736</v>
      </c>
      <c r="GP39" s="46">
        <v>-2388453</v>
      </c>
      <c r="GQ39" s="46">
        <v>0</v>
      </c>
      <c r="GR39" s="46">
        <v>0</v>
      </c>
      <c r="GS39" s="46">
        <v>0</v>
      </c>
      <c r="GT39" s="46">
        <v>0</v>
      </c>
      <c r="GU39" s="46">
        <v>0</v>
      </c>
      <c r="GV39" s="46">
        <v>0</v>
      </c>
      <c r="GW39" s="46">
        <v>0</v>
      </c>
      <c r="GX39" s="46">
        <v>-38425</v>
      </c>
      <c r="GY39" s="46">
        <v>-36304</v>
      </c>
      <c r="GZ39" s="46">
        <v>0</v>
      </c>
      <c r="HA39" s="46">
        <v>0</v>
      </c>
      <c r="HB39" s="46">
        <v>0</v>
      </c>
      <c r="HC39" s="46">
        <v>0</v>
      </c>
      <c r="HD39" s="46">
        <v>0</v>
      </c>
      <c r="HE39" s="46">
        <v>0</v>
      </c>
      <c r="HF39" s="46">
        <v>0</v>
      </c>
      <c r="HG39" s="46">
        <v>-11707886</v>
      </c>
      <c r="HH39" s="46">
        <v>-3028196</v>
      </c>
      <c r="HI39" s="46">
        <v>0</v>
      </c>
      <c r="HJ39" s="46">
        <v>0</v>
      </c>
      <c r="HK39" s="46">
        <v>0</v>
      </c>
      <c r="HL39" s="46">
        <v>0</v>
      </c>
      <c r="HM39" s="46">
        <v>0</v>
      </c>
      <c r="HN39" s="46">
        <v>0</v>
      </c>
      <c r="HO39" s="46">
        <v>0</v>
      </c>
      <c r="HP39" s="46">
        <v>0</v>
      </c>
      <c r="HQ39" s="46">
        <v>0</v>
      </c>
      <c r="HR39" s="46">
        <v>25844523</v>
      </c>
      <c r="HS39" s="46">
        <v>0</v>
      </c>
      <c r="HT39" s="46">
        <v>0</v>
      </c>
      <c r="HU39" s="46">
        <v>0</v>
      </c>
      <c r="HV39" s="46">
        <v>0</v>
      </c>
      <c r="HW39" s="46">
        <v>0</v>
      </c>
      <c r="HX39" s="46">
        <v>0</v>
      </c>
      <c r="HY39" s="46">
        <v>0</v>
      </c>
      <c r="HZ39" s="46">
        <v>0</v>
      </c>
      <c r="IA39" s="46">
        <v>0</v>
      </c>
      <c r="IB39" s="46">
        <v>0</v>
      </c>
      <c r="IC39" s="46">
        <v>0</v>
      </c>
      <c r="ID39" s="46">
        <v>0</v>
      </c>
      <c r="IE39" s="46">
        <v>0</v>
      </c>
      <c r="IF39" s="46">
        <v>0</v>
      </c>
      <c r="IG39" s="46">
        <v>0</v>
      </c>
      <c r="IH39" s="46">
        <v>0</v>
      </c>
      <c r="II39" s="46">
        <v>0</v>
      </c>
      <c r="IJ39" s="46">
        <v>0</v>
      </c>
      <c r="IK39" s="46">
        <v>0</v>
      </c>
      <c r="IL39" s="46">
        <v>0</v>
      </c>
      <c r="IM39" s="46">
        <v>0</v>
      </c>
      <c r="IN39" s="46">
        <v>0</v>
      </c>
      <c r="IO39" s="46">
        <v>0</v>
      </c>
      <c r="IP39" s="46">
        <v>427584</v>
      </c>
      <c r="IQ39" s="46">
        <v>1895574</v>
      </c>
      <c r="IR39" s="46">
        <v>8296</v>
      </c>
      <c r="IS39" s="46">
        <v>14540672</v>
      </c>
      <c r="IT39" s="46">
        <v>2297</v>
      </c>
      <c r="IU39" s="46">
        <v>246799</v>
      </c>
      <c r="IV39" s="46">
        <v>0</v>
      </c>
      <c r="IW39" s="46">
        <v>0</v>
      </c>
      <c r="IX39" s="46">
        <v>0</v>
      </c>
      <c r="IY39" s="46">
        <v>0</v>
      </c>
      <c r="IZ39" s="46">
        <v>0</v>
      </c>
      <c r="JA39" s="46">
        <v>0</v>
      </c>
      <c r="JB39" s="46">
        <v>0</v>
      </c>
      <c r="JC39" s="46">
        <v>0</v>
      </c>
      <c r="JD39" s="46">
        <v>0</v>
      </c>
      <c r="JE39" s="46">
        <v>0</v>
      </c>
      <c r="JF39" s="46">
        <v>0</v>
      </c>
      <c r="JG39" s="46">
        <v>0</v>
      </c>
      <c r="JH39" s="46">
        <v>0</v>
      </c>
      <c r="JI39" s="46">
        <v>20765</v>
      </c>
      <c r="JJ39" s="46">
        <v>0</v>
      </c>
      <c r="JK39" s="46">
        <v>16639770</v>
      </c>
      <c r="JL39" s="46">
        <v>0</v>
      </c>
      <c r="JM39" s="46">
        <v>7677648</v>
      </c>
      <c r="JN39" s="46">
        <v>3561750</v>
      </c>
      <c r="JO39" s="46">
        <v>0</v>
      </c>
      <c r="JP39" s="46">
        <v>0</v>
      </c>
      <c r="JQ39" s="46">
        <v>191532</v>
      </c>
      <c r="JR39" s="46">
        <v>842577</v>
      </c>
      <c r="JS39" s="46">
        <v>0</v>
      </c>
      <c r="JT39" s="46">
        <v>19513</v>
      </c>
      <c r="JU39" s="46">
        <v>0</v>
      </c>
      <c r="JV39" s="46">
        <v>0</v>
      </c>
      <c r="JW39" s="46">
        <v>0</v>
      </c>
      <c r="JX39" s="46">
        <v>0</v>
      </c>
      <c r="JY39" s="46">
        <v>0</v>
      </c>
      <c r="JZ39" s="46">
        <v>0</v>
      </c>
      <c r="KA39" s="46">
        <v>0</v>
      </c>
      <c r="KB39" s="46">
        <v>18924903</v>
      </c>
      <c r="KC39" s="46">
        <v>0</v>
      </c>
      <c r="KD39" s="46">
        <v>0</v>
      </c>
      <c r="KE39" s="46">
        <v>0</v>
      </c>
      <c r="KF39" s="46">
        <v>0</v>
      </c>
      <c r="KG39" s="46">
        <v>0</v>
      </c>
      <c r="KH39" s="46">
        <v>0</v>
      </c>
      <c r="KI39" s="46">
        <v>107232</v>
      </c>
      <c r="KJ39" s="46">
        <v>1557125</v>
      </c>
      <c r="KK39" s="46">
        <v>785179</v>
      </c>
      <c r="KL39" s="46">
        <v>1829248</v>
      </c>
      <c r="KM39" s="46">
        <v>6571</v>
      </c>
      <c r="KN39" s="46">
        <v>0</v>
      </c>
      <c r="KO39" s="46">
        <v>0</v>
      </c>
      <c r="KP39" s="46">
        <v>0</v>
      </c>
      <c r="KQ39" s="46">
        <v>1249464</v>
      </c>
      <c r="KR39" s="46">
        <v>37180833</v>
      </c>
      <c r="KS39" s="46">
        <v>15917854</v>
      </c>
      <c r="KT39" s="46">
        <v>0</v>
      </c>
      <c r="KU39" s="46">
        <v>3100605</v>
      </c>
      <c r="KV39" s="46">
        <v>0</v>
      </c>
      <c r="KW39" s="46">
        <v>0</v>
      </c>
      <c r="KX39" s="46">
        <v>0</v>
      </c>
      <c r="KY39" s="46">
        <v>0</v>
      </c>
      <c r="KZ39" s="46">
        <v>0</v>
      </c>
      <c r="LA39" s="46">
        <v>487385</v>
      </c>
      <c r="LB39" s="46">
        <v>76919</v>
      </c>
      <c r="LC39" s="46">
        <v>0</v>
      </c>
      <c r="LD39" s="46">
        <v>618367</v>
      </c>
      <c r="LE39" s="46">
        <v>0</v>
      </c>
      <c r="LF39" s="46">
        <v>0</v>
      </c>
      <c r="LG39" s="46">
        <v>0</v>
      </c>
      <c r="LH39" s="46">
        <v>0</v>
      </c>
      <c r="LI39" s="46">
        <v>0</v>
      </c>
      <c r="LJ39" s="46">
        <v>448229</v>
      </c>
      <c r="LK39" s="46">
        <v>435874</v>
      </c>
      <c r="LL39" s="46">
        <v>0</v>
      </c>
      <c r="LM39" s="46">
        <v>6203150</v>
      </c>
      <c r="LN39" s="46">
        <v>0</v>
      </c>
      <c r="LO39" s="46">
        <v>0</v>
      </c>
      <c r="LP39" s="46">
        <v>0</v>
      </c>
      <c r="LQ39" s="46">
        <v>0</v>
      </c>
      <c r="LR39" s="46">
        <v>0</v>
      </c>
      <c r="LS39" s="46">
        <v>0</v>
      </c>
      <c r="LT39" s="46">
        <v>0</v>
      </c>
      <c r="LU39" s="46">
        <v>0</v>
      </c>
      <c r="LV39" s="46">
        <v>0</v>
      </c>
      <c r="LW39" s="46">
        <v>0</v>
      </c>
      <c r="LX39" s="46">
        <v>0</v>
      </c>
      <c r="LY39" s="46">
        <v>0</v>
      </c>
      <c r="LZ39" s="46">
        <v>0</v>
      </c>
      <c r="MA39" s="46">
        <v>0</v>
      </c>
      <c r="MB39" s="46">
        <v>4712883</v>
      </c>
      <c r="MC39" s="46">
        <v>3338303</v>
      </c>
      <c r="MD39" s="46">
        <v>0</v>
      </c>
      <c r="ME39" s="46">
        <v>48866</v>
      </c>
      <c r="MF39" s="46">
        <v>0</v>
      </c>
      <c r="MG39" s="46">
        <v>0</v>
      </c>
      <c r="MH39" s="46">
        <v>0</v>
      </c>
      <c r="MI39" s="46">
        <v>0</v>
      </c>
      <c r="MJ39" s="46">
        <v>0</v>
      </c>
      <c r="MK39" s="46">
        <v>2798784</v>
      </c>
      <c r="ML39" s="46">
        <v>7735859</v>
      </c>
      <c r="MM39" s="46">
        <v>0</v>
      </c>
      <c r="MN39" s="46">
        <v>1455728</v>
      </c>
      <c r="MO39" s="46">
        <v>0</v>
      </c>
      <c r="MP39" s="46">
        <v>0</v>
      </c>
      <c r="MQ39" s="46">
        <v>0</v>
      </c>
      <c r="MR39" s="46">
        <v>0</v>
      </c>
      <c r="MS39" s="46">
        <v>0</v>
      </c>
      <c r="MT39" s="46">
        <v>7265216</v>
      </c>
      <c r="MU39" s="46">
        <v>12126179</v>
      </c>
      <c r="MV39" s="46">
        <v>0</v>
      </c>
      <c r="MW39" s="46">
        <v>1765913</v>
      </c>
      <c r="MX39" s="46">
        <v>0</v>
      </c>
      <c r="MY39" s="46">
        <v>0</v>
      </c>
      <c r="MZ39" s="46">
        <v>0</v>
      </c>
      <c r="NA39" s="46">
        <v>0</v>
      </c>
      <c r="NB39" s="46">
        <v>0</v>
      </c>
      <c r="NC39" s="46">
        <v>2704403</v>
      </c>
      <c r="ND39" s="46">
        <v>6023877</v>
      </c>
      <c r="NE39" s="46">
        <v>0</v>
      </c>
      <c r="NF39" s="46">
        <v>52876</v>
      </c>
      <c r="NG39" s="46">
        <v>0</v>
      </c>
      <c r="NH39" s="46">
        <v>0</v>
      </c>
      <c r="NI39" s="46">
        <v>0</v>
      </c>
      <c r="NJ39" s="46">
        <v>0</v>
      </c>
      <c r="NK39" s="46">
        <v>0</v>
      </c>
      <c r="NL39" s="46">
        <v>8948561</v>
      </c>
      <c r="NM39" s="46">
        <v>5583145</v>
      </c>
      <c r="NN39" s="46">
        <v>3207134</v>
      </c>
      <c r="NO39" s="46">
        <v>-10964465</v>
      </c>
      <c r="NP39" s="46">
        <v>0</v>
      </c>
      <c r="NQ39" s="46">
        <v>0</v>
      </c>
      <c r="NR39" s="46">
        <v>0</v>
      </c>
      <c r="NS39" s="46">
        <v>0</v>
      </c>
      <c r="NT39" s="46">
        <v>0</v>
      </c>
      <c r="NU39" s="46">
        <v>0</v>
      </c>
      <c r="NV39" s="46">
        <v>0</v>
      </c>
      <c r="NW39" s="46">
        <v>22297136</v>
      </c>
      <c r="NX39" s="46">
        <v>0</v>
      </c>
      <c r="NY39" s="46">
        <v>0</v>
      </c>
      <c r="NZ39" s="46">
        <v>0</v>
      </c>
      <c r="OA39" s="46">
        <v>0</v>
      </c>
      <c r="OB39" s="46">
        <v>0</v>
      </c>
      <c r="OC39" s="46">
        <v>0</v>
      </c>
      <c r="OD39" s="46">
        <v>691207</v>
      </c>
      <c r="OE39" s="46">
        <v>1088695</v>
      </c>
      <c r="OF39" s="46">
        <v>57273</v>
      </c>
      <c r="OG39" s="46">
        <v>880032</v>
      </c>
      <c r="OH39" s="46">
        <v>0</v>
      </c>
      <c r="OI39" s="46">
        <v>0</v>
      </c>
      <c r="OJ39" s="46">
        <v>0</v>
      </c>
      <c r="OK39" s="46">
        <v>0</v>
      </c>
      <c r="OL39" s="46">
        <v>0</v>
      </c>
      <c r="OM39" s="46">
        <v>1495821</v>
      </c>
      <c r="ON39" s="46">
        <v>205204</v>
      </c>
      <c r="OO39" s="46">
        <v>1134064</v>
      </c>
      <c r="OP39" s="46">
        <v>4105177</v>
      </c>
      <c r="OQ39" s="46">
        <v>15</v>
      </c>
      <c r="OR39" s="46">
        <v>67948</v>
      </c>
      <c r="OS39" s="46">
        <v>2233336</v>
      </c>
      <c r="OT39" s="46">
        <v>0</v>
      </c>
      <c r="OU39" s="46">
        <v>0</v>
      </c>
      <c r="OV39" s="46">
        <v>0</v>
      </c>
      <c r="OW39" s="46">
        <v>0</v>
      </c>
      <c r="OX39" s="46">
        <v>0</v>
      </c>
      <c r="OY39" s="46">
        <v>0</v>
      </c>
      <c r="OZ39" s="46">
        <v>0</v>
      </c>
      <c r="PA39" s="46">
        <v>0</v>
      </c>
      <c r="PB39" s="46">
        <v>-34765212</v>
      </c>
      <c r="PC39" s="46">
        <v>0</v>
      </c>
      <c r="PD39" s="46">
        <v>0</v>
      </c>
      <c r="PE39" s="46">
        <v>-2469427</v>
      </c>
      <c r="PF39" s="46">
        <v>-155225</v>
      </c>
      <c r="PG39" s="46">
        <v>-2651890</v>
      </c>
      <c r="PH39" s="46">
        <v>-15890297</v>
      </c>
      <c r="PI39" s="46">
        <v>85478</v>
      </c>
      <c r="PJ39" s="46">
        <v>379063</v>
      </c>
      <c r="PK39" s="46">
        <v>37433924</v>
      </c>
      <c r="PL39" s="46">
        <v>0</v>
      </c>
      <c r="PM39" s="46">
        <v>0</v>
      </c>
      <c r="PN39" s="46">
        <v>0</v>
      </c>
      <c r="PO39" s="46">
        <v>0</v>
      </c>
      <c r="PP39" s="46">
        <v>0</v>
      </c>
      <c r="PQ39" s="46">
        <v>0</v>
      </c>
      <c r="PR39" s="46">
        <v>0</v>
      </c>
      <c r="PS39" s="46">
        <v>0</v>
      </c>
      <c r="PT39" s="46">
        <v>0</v>
      </c>
      <c r="PU39" s="46">
        <v>0</v>
      </c>
      <c r="PV39" s="46">
        <v>0</v>
      </c>
      <c r="PW39" s="46">
        <v>-5976265</v>
      </c>
      <c r="PX39" s="46">
        <v>-1286290</v>
      </c>
      <c r="PY39" s="46">
        <v>-6111776</v>
      </c>
      <c r="PZ39" s="46">
        <v>-87125</v>
      </c>
      <c r="QA39" s="46">
        <v>0</v>
      </c>
      <c r="QB39" s="46">
        <v>0</v>
      </c>
      <c r="QC39" s="46">
        <v>0</v>
      </c>
      <c r="QD39" s="46">
        <v>0</v>
      </c>
      <c r="QE39" s="46">
        <v>0</v>
      </c>
      <c r="QF39" s="46">
        <v>0</v>
      </c>
      <c r="QG39" s="46">
        <v>2079617</v>
      </c>
      <c r="QH39" s="46">
        <v>1303488</v>
      </c>
      <c r="QI39" s="46">
        <v>624681</v>
      </c>
      <c r="QJ39" s="46">
        <v>0</v>
      </c>
      <c r="QK39" s="46">
        <v>3320678</v>
      </c>
      <c r="QL39" s="46">
        <v>0</v>
      </c>
      <c r="QM39" s="46">
        <v>0</v>
      </c>
      <c r="QN39" s="46">
        <v>0</v>
      </c>
      <c r="QO39" s="46">
        <v>0</v>
      </c>
      <c r="QP39" s="46">
        <v>0</v>
      </c>
      <c r="QQ39" s="46">
        <v>0</v>
      </c>
      <c r="QR39" s="46">
        <v>0</v>
      </c>
      <c r="QS39" s="46">
        <v>0</v>
      </c>
      <c r="QT39" s="46">
        <v>0</v>
      </c>
      <c r="QU39" s="46">
        <v>0</v>
      </c>
      <c r="QV39" s="46">
        <v>0</v>
      </c>
      <c r="QW39" s="46">
        <v>0</v>
      </c>
      <c r="QX39" s="46">
        <v>0</v>
      </c>
      <c r="QY39" s="46">
        <v>0</v>
      </c>
      <c r="QZ39" s="46">
        <v>0</v>
      </c>
      <c r="RA39" s="46">
        <v>0</v>
      </c>
      <c r="RB39" s="46">
        <v>0</v>
      </c>
      <c r="RC39" s="46">
        <v>0</v>
      </c>
      <c r="RD39" s="46">
        <v>0</v>
      </c>
      <c r="RE39" s="46">
        <v>0</v>
      </c>
      <c r="RF39" s="46">
        <v>0</v>
      </c>
      <c r="RG39" s="46">
        <v>0</v>
      </c>
      <c r="RH39" s="46">
        <v>0</v>
      </c>
      <c r="RI39" s="46">
        <v>0</v>
      </c>
      <c r="RJ39" s="46">
        <v>0</v>
      </c>
      <c r="RK39" s="46">
        <v>0</v>
      </c>
      <c r="RL39" s="46">
        <v>0</v>
      </c>
      <c r="RM39" s="46">
        <v>0</v>
      </c>
      <c r="RN39" s="46">
        <v>0</v>
      </c>
      <c r="RO39" s="46">
        <v>-12703899</v>
      </c>
      <c r="RP39" s="46">
        <v>0</v>
      </c>
      <c r="RQ39" s="46">
        <v>0</v>
      </c>
      <c r="RR39" s="46">
        <v>0</v>
      </c>
      <c r="RS39" s="46">
        <v>0</v>
      </c>
      <c r="RT39" s="46">
        <v>0</v>
      </c>
      <c r="RU39" s="46">
        <v>0</v>
      </c>
      <c r="RV39" s="46">
        <v>0</v>
      </c>
      <c r="RW39" s="46">
        <v>0</v>
      </c>
      <c r="RX39" s="46">
        <v>0</v>
      </c>
      <c r="RY39" s="46">
        <v>0</v>
      </c>
      <c r="RZ39" s="46">
        <v>0</v>
      </c>
      <c r="SA39" s="46">
        <v>0</v>
      </c>
      <c r="SB39" s="46">
        <v>0</v>
      </c>
      <c r="SC39" s="46">
        <v>0</v>
      </c>
      <c r="SD39" s="46">
        <v>0</v>
      </c>
      <c r="SE39" s="46">
        <v>0</v>
      </c>
      <c r="SF39" s="46">
        <v>0</v>
      </c>
      <c r="SG39" s="46">
        <v>0</v>
      </c>
      <c r="SH39" s="46">
        <v>0</v>
      </c>
      <c r="SI39" s="46">
        <v>0</v>
      </c>
      <c r="SJ39" s="46">
        <v>0</v>
      </c>
      <c r="SK39" s="46">
        <v>0</v>
      </c>
      <c r="SL39" s="46">
        <v>0</v>
      </c>
      <c r="SM39" s="46">
        <v>0</v>
      </c>
      <c r="SN39" s="46">
        <v>0</v>
      </c>
      <c r="SO39" s="46">
        <v>0</v>
      </c>
      <c r="SP39" s="46">
        <v>0</v>
      </c>
      <c r="SQ39" s="46">
        <v>691207</v>
      </c>
      <c r="SR39" s="46">
        <v>1088695</v>
      </c>
      <c r="SS39" s="46">
        <v>57273</v>
      </c>
      <c r="ST39" s="46">
        <v>880032</v>
      </c>
      <c r="SU39" s="46">
        <v>0</v>
      </c>
      <c r="SV39" s="46">
        <v>0</v>
      </c>
      <c r="SW39" s="46">
        <v>34765212</v>
      </c>
      <c r="SX39" s="46">
        <v>0</v>
      </c>
      <c r="SY39" s="46">
        <v>0</v>
      </c>
      <c r="SZ39" s="46">
        <v>589442</v>
      </c>
      <c r="TA39" s="46">
        <v>330225</v>
      </c>
      <c r="TB39" s="46">
        <v>12945</v>
      </c>
      <c r="TC39" s="46">
        <v>0</v>
      </c>
      <c r="TD39" s="46">
        <v>30189</v>
      </c>
      <c r="TE39" s="46">
        <v>398088</v>
      </c>
      <c r="TF39" s="46">
        <v>1180567</v>
      </c>
      <c r="TG39" s="46">
        <v>118478</v>
      </c>
      <c r="TH39" s="46">
        <v>0</v>
      </c>
      <c r="TI39" s="46">
        <v>57273</v>
      </c>
      <c r="TJ39" s="46">
        <v>0</v>
      </c>
      <c r="TK39" s="46">
        <v>0</v>
      </c>
      <c r="TL39" s="46">
        <v>0</v>
      </c>
      <c r="TM39" s="46">
        <v>0</v>
      </c>
      <c r="TN39" s="46">
        <v>0</v>
      </c>
      <c r="TO39" s="46">
        <v>0</v>
      </c>
      <c r="TP39" s="46">
        <v>0</v>
      </c>
      <c r="TQ39" s="46">
        <v>0</v>
      </c>
      <c r="TR39" s="46">
        <v>0</v>
      </c>
      <c r="TS39" s="46">
        <v>0</v>
      </c>
      <c r="TT39" s="46">
        <v>0</v>
      </c>
      <c r="TU39" s="46">
        <v>0</v>
      </c>
      <c r="TV39" s="46">
        <v>0</v>
      </c>
      <c r="TW39" s="46">
        <v>0</v>
      </c>
      <c r="TX39" s="46">
        <v>0</v>
      </c>
      <c r="TY39" s="46">
        <v>0</v>
      </c>
      <c r="TZ39" s="46">
        <v>0</v>
      </c>
      <c r="UA39" s="46">
        <v>0</v>
      </c>
      <c r="UB39" s="46">
        <v>0</v>
      </c>
      <c r="UC39" s="46">
        <v>0</v>
      </c>
      <c r="UD39" s="46">
        <v>0</v>
      </c>
      <c r="UE39" s="46">
        <v>56199292</v>
      </c>
      <c r="UF39" s="46">
        <v>1182671</v>
      </c>
      <c r="UG39" s="46">
        <v>7087253</v>
      </c>
      <c r="UH39" s="46">
        <v>0</v>
      </c>
      <c r="UI39" s="46">
        <v>8100052</v>
      </c>
      <c r="UJ39" s="46">
        <v>11990371</v>
      </c>
      <c r="UK39" s="46">
        <v>21157308</v>
      </c>
      <c r="UL39" s="46">
        <v>8781156</v>
      </c>
      <c r="UM39" s="46">
        <v>6774375</v>
      </c>
      <c r="UN39" s="46">
        <v>22297136</v>
      </c>
      <c r="UO3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2717207</v>
      </c>
      <c r="UP39" s="46">
        <f>SUM(Input[[#This Row],[Oth Exp E&amp;G]],Input[[#This Row],[Oth Exp Desg]],Input[[#This Row],[Oth Exp Aux]],Input[[#This Row],[Oth Exp R Exp]],Input[[#This Row],[Oth Exp Loan]],Input[[#This Row],[Oth Exp Annuity]],Input[[#This Row],[Oth Exp Unexp]],Input[[#This Row],[Oth Exp R of Ind]],Input[[#This Row],[Oth Exp Inv in P]])</f>
        <v>9241565</v>
      </c>
      <c r="UQ39" s="46"/>
      <c r="UR39" s="46"/>
      <c r="US39" s="8" t="s">
        <v>739</v>
      </c>
      <c r="UT39" s="47">
        <v>3259422014</v>
      </c>
      <c r="UU39" s="8" t="s">
        <v>82</v>
      </c>
      <c r="UV39" s="8" t="s">
        <v>740</v>
      </c>
      <c r="UW39" s="47">
        <v>3259422014</v>
      </c>
      <c r="UX39" s="8" t="s">
        <v>741</v>
      </c>
      <c r="UY39" s="51" cm="1">
        <f t="array" ref="UY39">IFERROR(_xlfn.IFS(Input[[#This Row],[Type]]="HRI",SUMIFS('FTSE | FTFE'!$P$8:$P$77,'FTSE | FTFE'!$H$8:$H$77,A39),Input[[#This Row],[Type]]="UNIV",SUMIFS('FTSE | FTFE'!$P$104:$P$139,'FTSE | FTFE'!$H$104:$H$139,A39),OR(Input[[#This Row],[Type]]="TSTC",Input[[#This Row],[Type]]="LSC"),SUMIFS('FTSE | FTFE'!$O$88:$O$96,'FTSE | FTFE'!$H$88:$H$96,A39),Input[[#This Row],[Type]]="AHM",SUMIFS(Hidden!$H$42:$H$45,Hidden!$G$42:$G$45,A39)),"N/A")</f>
        <v>8110</v>
      </c>
      <c r="UZ39" s="51" cm="1">
        <f t="array" ref="UZ39">IFERROR(_xlfn.IFS(Input[[#This Row],[Type]]="HRI",SUMIFS('FTSE | FTFE'!$Q$8:$Q$77,'FTSE | FTFE'!$H$8:$H$77,A39),Input[[#This Row],[Type]]="UNIV",SUMIFS('FTSE | FTFE'!$Q$104:$Q$139,'FTSE | FTFE'!$H$104:$H$139,A39),OR(Input[[#This Row],[Type]]="TSTC",Input[[#This Row],[Type]]="LSC"),SUMIFS('FTSE | FTFE'!$P$88:$P$96,'FTSE | FTFE'!$H$88:$H$96,A39)),"N/A")</f>
        <v>170</v>
      </c>
      <c r="VA3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56920589</v>
      </c>
      <c r="VB3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6997943</v>
      </c>
      <c r="VC39" s="46">
        <f>SUM(Input[[#This Row],[Fed G&amp;C E&amp;G]],Input[[#This Row],[Fed G&amp;C Desg]],Input[[#This Row],[Fed G&amp;C R Exp]],Input[[#This Row],[Fed G&amp;C Loan]],Input[[#This Row],[Fed G&amp;C Annuity]],Input[[#This Row],[Fed G&amp;C Unexp]],Input[[#This Row],[Fed G&amp;C R of Ind]],Input[[#This Row],[Fed G&amp;C Inv in P]])</f>
        <v>25844523</v>
      </c>
      <c r="VD3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50816121</v>
      </c>
      <c r="VE3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16622595</v>
      </c>
      <c r="VF3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12267361</v>
      </c>
      <c r="VG39" s="46">
        <f>SUM(Input[[#This Row],[Oth Inc E&amp;G]],Input[[#This Row],[Oth Exp Desg]],Input[[#This Row],[Oth Exp R Exp]],Input[[#This Row],[Oth Exp Loan]],Input[[#This Row],[Oth Exp Annuity]],Input[[#This Row],[Oth Exp Unexp]],Input[[#This Row],[Oth Exp R of Ind]],Input[[#This Row],[Oth Exp Inv in P]])</f>
        <v>6718912</v>
      </c>
      <c r="VH39" s="46">
        <f>SUM(Input[[#This Row],[Instr E&amp;G]],Input[[#This Row],[Instr Desg]],Input[[#This Row],[Instr R Exp]],Input[[#This Row],[Instr Loan]],Input[[#This Row],[Instr Annuity]],Input[[#This Row],[Instr Unexp]],Input[[#This Row],[Instr R of Ind]],Input[[#This Row],[Instr Inv in P]])</f>
        <v>56199292</v>
      </c>
      <c r="VI39" s="46">
        <f>SUM(Input[[#This Row],[Res E&amp;G]],Input[[#This Row],[Res Desg]],Input[[#This Row],[Res R Exp]],Input[[#This Row],[Res Loan]],Input[[#This Row],[Res Annuity]],Input[[#This Row],[Res Unexp]],Input[[#This Row],[Res R of Ind]],Input[[#This Row],[Res Inv in P]])</f>
        <v>1182671</v>
      </c>
      <c r="VJ39" s="46">
        <f>SUM(Input[[#This Row],[Acad Sup E&amp;G]],Input[[#This Row],[Acad Sup Desg]],Input[[#This Row],[Acad Sup R Exp]],Input[[#This Row],[Acad Sup Loan]],Input[[#This Row],[Acad Sup Annuity]],Input[[#This Row],[Acad Sup Unexp]],Input[[#This Row],[Acad Sup R of Ind]],Input[[#This Row],[Acad Sup Inv in P]])</f>
        <v>8100052</v>
      </c>
      <c r="VK39" s="46">
        <f>SUM(Input[[#This Row],[Stu Svc E&amp;G]],Input[[#This Row],[Stu Svc Desg]],Input[[#This Row],[Stu Svc R Exp]],Input[[#This Row],[Stu Svc Loan]],Input[[#This Row],[Stu Svc Annuity]],Input[[#This Row],[Stu Svc Unexp]],Input[[#This Row],[Stu Svc R of Ind]],Input[[#This Row],[Stu Svc Inv in P]])</f>
        <v>11990371</v>
      </c>
      <c r="VL39" s="46">
        <f>SUM(Input[[#This Row],[Inst. Spt E&amp;G]],Input[[#This Row],[Inst. Spt Desg]],Input[[#This Row],[Inst. Spt R Exp]],Input[[#This Row],[Inst. Spt Loan]],Input[[#This Row],[Inst. Spt Annuity]],Input[[#This Row],[Inst. Spt Unexp]],Input[[#This Row],[Inst. Spt R of Ind]],Input[[#This Row],[Inst. Spt Inv in P]])</f>
        <v>21157308</v>
      </c>
      <c r="VM39" s="46">
        <f>SUM(Input[[#This Row],[M&amp;O Plnt E&amp;G]],Input[[#This Row],[M&amp;O Plnt Desg]],Input[[#This Row],[M&amp;O Plnt R Exp]],Input[[#This Row],[M&amp;O Plnt Loan]],Input[[#This Row],[M&amp;O Plnt Annuity]],Input[[#This Row],[M&amp;O Plnt Unexp]],Input[[#This Row],[M&amp;O Plnt R of Ind]],Input[[#This Row],[M&amp;O Plnt Inv in P]])</f>
        <v>8781156</v>
      </c>
      <c r="VN39" s="46">
        <f>SUM(Input[[#This Row],[Schl &amp; Fell E&amp;G]],Input[[#This Row],[Schl &amp; Fell Desg]],Input[[#This Row],[Schl &amp; Fell R Exp]],Input[[#This Row],[Schl &amp; Fell Loan]],Input[[#This Row],[Schl &amp; Fell Annuity]],Input[[#This Row],[Schl &amp; Fell Unexp]],Input[[#This Row],[Schl &amp; Fell R of Ind]],Input[[#This Row],[Schl &amp; Fell Inv in P]])</f>
        <v>3567241</v>
      </c>
      <c r="VO39" s="46">
        <f>SUM(Input[[#This Row],[Cap Out fund E&amp;G]],Input[[#This Row],[Cap Out fund Desg]],Input[[#This Row],[Cap Out fund R Exp]],Input[[#This Row],[Cap Out fund Loan]],Input[[#This Row],[Cap Out fund Annuity]],Input[[#This Row],[Cap Out fund Unexp]],Input[[#This Row],[Cap Out fund R of Ind]],Input[[#This Row],[Cap Out fund Inv in P]])</f>
        <v>2659934</v>
      </c>
      <c r="VP39" s="46">
        <f>SUM(Input[[#This Row],[Oth Exp E&amp;G]],Input[[#This Row],[Oth Exp Desg]],Input[[#This Row],[Oth Exp R Exp]],Input[[#This Row],[Oth Exp Loan]],Input[[#This Row],[Oth Exp Annuity]],Input[[#This Row],[Oth Exp Unexp]],Input[[#This Row],[Oth Exp R of Ind]],Input[[#This Row],[Oth Exp Inv in P]],Input[[#This Row],[Oth Exp Inv in P]])</f>
        <v>8107501</v>
      </c>
    </row>
    <row r="40" spans="1:588" ht="30" customHeight="1" x14ac:dyDescent="0.3">
      <c r="A40" s="15" t="s">
        <v>26</v>
      </c>
      <c r="B40" s="36" t="s">
        <v>109</v>
      </c>
      <c r="C40" s="36" t="s">
        <v>110</v>
      </c>
      <c r="D40" s="36">
        <v>603</v>
      </c>
      <c r="E40" s="36" t="s">
        <v>132</v>
      </c>
      <c r="F40" s="95" cm="1">
        <f t="array" ref="F40">IFERROR(_xlfn.IFS(Input[[#This Row],[Type]]="HRI",SUMIFS('FTSE | FTFE'!$I$8:$I$77,'FTSE | FTFE'!$H$8:$H$77,A40),Input[[#This Row],[Type]]="UNIV",SUMIFS('FTSE | FTFE'!$I$104:$I$139,'FTSE | FTFE'!$H$104:$H$139,A40),OR(Input[[#This Row],[Type]]="TSTC",Input[[#This Row],[Type]]="LSC"),SUMIFS('FTSE | FTFE'!$I$88:$I$96,'FTSE | FTFE'!$H$88:$H$96,A40)),"N/A")</f>
        <v>3592</v>
      </c>
      <c r="G40" s="46">
        <v>33756230</v>
      </c>
      <c r="H40" s="46">
        <v>0</v>
      </c>
      <c r="I40" s="46">
        <v>0</v>
      </c>
      <c r="J40" s="46">
        <v>0</v>
      </c>
      <c r="K40" s="46">
        <v>0</v>
      </c>
      <c r="L40" s="46">
        <v>0</v>
      </c>
      <c r="M40" s="46">
        <v>0</v>
      </c>
      <c r="N40" s="46">
        <v>0</v>
      </c>
      <c r="O40" s="46">
        <v>0</v>
      </c>
      <c r="P40" s="46">
        <v>255581</v>
      </c>
      <c r="Q40" s="46">
        <v>192</v>
      </c>
      <c r="R40" s="46">
        <v>0</v>
      </c>
      <c r="S40" s="46">
        <v>6861629</v>
      </c>
      <c r="T40" s="46">
        <v>0</v>
      </c>
      <c r="U40" s="46">
        <v>0</v>
      </c>
      <c r="V40" s="46">
        <v>0</v>
      </c>
      <c r="W40" s="46">
        <v>0</v>
      </c>
      <c r="X40" s="46">
        <v>0</v>
      </c>
      <c r="Y40" s="46">
        <v>5082034</v>
      </c>
      <c r="Z40" s="46">
        <v>0</v>
      </c>
      <c r="AA40" s="46">
        <v>0</v>
      </c>
      <c r="AB40" s="46">
        <v>0</v>
      </c>
      <c r="AC40" s="46">
        <v>0</v>
      </c>
      <c r="AD40" s="46">
        <v>0</v>
      </c>
      <c r="AE40" s="46">
        <v>0</v>
      </c>
      <c r="AF40" s="46">
        <v>0</v>
      </c>
      <c r="AG40" s="46">
        <v>0</v>
      </c>
      <c r="AH40" s="46">
        <v>0</v>
      </c>
      <c r="AI40" s="46">
        <v>0</v>
      </c>
      <c r="AJ40" s="46">
        <v>0</v>
      </c>
      <c r="AK40" s="46">
        <v>0</v>
      </c>
      <c r="AL40" s="46">
        <v>0</v>
      </c>
      <c r="AM40" s="46">
        <v>0</v>
      </c>
      <c r="AN40" s="46">
        <v>0</v>
      </c>
      <c r="AO40" s="46">
        <v>0</v>
      </c>
      <c r="AP40" s="46">
        <v>0</v>
      </c>
      <c r="AQ40" s="46">
        <v>-2989660</v>
      </c>
      <c r="AR40" s="46">
        <v>-96148</v>
      </c>
      <c r="AS40" s="46">
        <v>0</v>
      </c>
      <c r="AT40" s="46">
        <v>0</v>
      </c>
      <c r="AU40" s="46">
        <v>0</v>
      </c>
      <c r="AV40" s="46">
        <v>0</v>
      </c>
      <c r="AW40" s="46">
        <v>0</v>
      </c>
      <c r="AX40" s="46">
        <v>0</v>
      </c>
      <c r="AY40" s="46">
        <v>0</v>
      </c>
      <c r="AZ40" s="46">
        <v>0</v>
      </c>
      <c r="BA40" s="46">
        <v>0</v>
      </c>
      <c r="BB40" s="46">
        <v>0</v>
      </c>
      <c r="BC40" s="46">
        <v>0</v>
      </c>
      <c r="BD40" s="46">
        <v>0</v>
      </c>
      <c r="BE40" s="46">
        <v>0</v>
      </c>
      <c r="BF40" s="46">
        <v>0</v>
      </c>
      <c r="BG40" s="46">
        <v>0</v>
      </c>
      <c r="BH40" s="46">
        <v>0</v>
      </c>
      <c r="BI40" s="46">
        <v>0</v>
      </c>
      <c r="BJ40" s="46">
        <v>0</v>
      </c>
      <c r="BK40" s="46">
        <v>0</v>
      </c>
      <c r="BL40" s="46">
        <v>0</v>
      </c>
      <c r="BM40" s="46">
        <v>0</v>
      </c>
      <c r="BN40" s="46">
        <v>0</v>
      </c>
      <c r="BO40" s="46">
        <v>0</v>
      </c>
      <c r="BP40" s="46">
        <v>0</v>
      </c>
      <c r="BQ40" s="46">
        <v>0</v>
      </c>
      <c r="BR40" s="46">
        <v>0</v>
      </c>
      <c r="BS40" s="46">
        <v>0</v>
      </c>
      <c r="BT40" s="46">
        <v>0</v>
      </c>
      <c r="BU40" s="46">
        <v>0</v>
      </c>
      <c r="BV40" s="46">
        <v>0</v>
      </c>
      <c r="BW40" s="46">
        <v>0</v>
      </c>
      <c r="BX40" s="46">
        <v>0</v>
      </c>
      <c r="BY40" s="46">
        <v>0</v>
      </c>
      <c r="BZ40" s="46">
        <v>0</v>
      </c>
      <c r="CA40" s="46">
        <v>6843082</v>
      </c>
      <c r="CB40" s="46">
        <v>19385907</v>
      </c>
      <c r="CC40" s="46">
        <v>0</v>
      </c>
      <c r="CD40" s="46">
        <v>0</v>
      </c>
      <c r="CE40" s="46">
        <v>0</v>
      </c>
      <c r="CF40" s="46">
        <v>0</v>
      </c>
      <c r="CG40" s="46">
        <v>0</v>
      </c>
      <c r="CH40" s="46">
        <v>0</v>
      </c>
      <c r="CI40" s="46">
        <v>0</v>
      </c>
      <c r="CJ40" s="46">
        <v>0</v>
      </c>
      <c r="CK40" s="46">
        <v>0</v>
      </c>
      <c r="CL40" s="46">
        <v>0</v>
      </c>
      <c r="CM40" s="46">
        <v>0</v>
      </c>
      <c r="CN40" s="46">
        <v>0</v>
      </c>
      <c r="CO40" s="46">
        <v>0</v>
      </c>
      <c r="CP40" s="46">
        <v>0</v>
      </c>
      <c r="CQ40" s="46">
        <v>0</v>
      </c>
      <c r="CR40" s="46">
        <v>0</v>
      </c>
      <c r="CS40" s="46">
        <v>0</v>
      </c>
      <c r="CT40" s="46">
        <v>0</v>
      </c>
      <c r="CU40" s="46">
        <v>0</v>
      </c>
      <c r="CV40" s="46">
        <v>0</v>
      </c>
      <c r="CW40" s="46">
        <v>0</v>
      </c>
      <c r="CX40" s="46">
        <v>0</v>
      </c>
      <c r="CY40" s="46">
        <v>0</v>
      </c>
      <c r="CZ40" s="46">
        <v>0</v>
      </c>
      <c r="DA40" s="46">
        <v>0</v>
      </c>
      <c r="DB40" s="46">
        <v>-405521</v>
      </c>
      <c r="DC40" s="46">
        <v>-1331880</v>
      </c>
      <c r="DD40" s="46">
        <v>0</v>
      </c>
      <c r="DE40" s="46">
        <v>0</v>
      </c>
      <c r="DF40" s="46">
        <v>0</v>
      </c>
      <c r="DG40" s="46">
        <v>0</v>
      </c>
      <c r="DH40" s="46">
        <v>0</v>
      </c>
      <c r="DI40" s="46">
        <v>0</v>
      </c>
      <c r="DJ40" s="46">
        <v>0</v>
      </c>
      <c r="DK40" s="46">
        <v>0</v>
      </c>
      <c r="DL40" s="46">
        <v>-30451</v>
      </c>
      <c r="DM40" s="46">
        <v>0</v>
      </c>
      <c r="DN40" s="46">
        <v>0</v>
      </c>
      <c r="DO40" s="46">
        <v>0</v>
      </c>
      <c r="DP40" s="46">
        <v>0</v>
      </c>
      <c r="DQ40" s="46">
        <v>0</v>
      </c>
      <c r="DR40" s="46">
        <v>0</v>
      </c>
      <c r="DS40" s="46">
        <v>0</v>
      </c>
      <c r="DT40" s="46">
        <v>-3257323</v>
      </c>
      <c r="DU40" s="46">
        <v>-6643966</v>
      </c>
      <c r="DV40" s="46">
        <v>0</v>
      </c>
      <c r="DW40" s="46">
        <v>0</v>
      </c>
      <c r="DX40" s="46">
        <v>0</v>
      </c>
      <c r="DY40" s="46">
        <v>0</v>
      </c>
      <c r="DZ40" s="46">
        <v>0</v>
      </c>
      <c r="EA40" s="46">
        <v>0</v>
      </c>
      <c r="EB40" s="46">
        <v>0</v>
      </c>
      <c r="EC40" s="46">
        <v>0</v>
      </c>
      <c r="ED40" s="46">
        <v>0</v>
      </c>
      <c r="EE40" s="46">
        <v>0</v>
      </c>
      <c r="EF40" s="46">
        <v>0</v>
      </c>
      <c r="EG40" s="46">
        <v>0</v>
      </c>
      <c r="EH40" s="46">
        <v>0</v>
      </c>
      <c r="EI40" s="46">
        <v>0</v>
      </c>
      <c r="EJ40" s="46">
        <v>0</v>
      </c>
      <c r="EK40" s="46">
        <v>0</v>
      </c>
      <c r="EL40" s="46">
        <v>0</v>
      </c>
      <c r="EM40" s="46">
        <v>0</v>
      </c>
      <c r="EN40" s="46">
        <v>0</v>
      </c>
      <c r="EO40" s="46">
        <v>0</v>
      </c>
      <c r="EP40" s="46">
        <v>0</v>
      </c>
      <c r="EQ40" s="46">
        <v>0</v>
      </c>
      <c r="ER40" s="46">
        <v>0</v>
      </c>
      <c r="ES40" s="46">
        <v>0</v>
      </c>
      <c r="ET40" s="46">
        <v>0</v>
      </c>
      <c r="EU40" s="46">
        <v>0</v>
      </c>
      <c r="EV40" s="46">
        <v>0</v>
      </c>
      <c r="EW40" s="46">
        <v>0</v>
      </c>
      <c r="EX40" s="46">
        <v>0</v>
      </c>
      <c r="EY40" s="46">
        <v>0</v>
      </c>
      <c r="EZ40" s="46">
        <v>0</v>
      </c>
      <c r="FA40" s="46">
        <v>0</v>
      </c>
      <c r="FB40" s="46">
        <v>0</v>
      </c>
      <c r="FC40" s="46">
        <v>0</v>
      </c>
      <c r="FD40" s="46">
        <v>0</v>
      </c>
      <c r="FE40" s="46">
        <v>0</v>
      </c>
      <c r="FF40" s="46">
        <v>0</v>
      </c>
      <c r="FG40" s="46">
        <v>0</v>
      </c>
      <c r="FH40" s="46">
        <v>0</v>
      </c>
      <c r="FI40" s="46">
        <v>0</v>
      </c>
      <c r="FJ40" s="46">
        <v>0</v>
      </c>
      <c r="FK40" s="46">
        <v>0</v>
      </c>
      <c r="FL40" s="46">
        <v>0</v>
      </c>
      <c r="FM40" s="46">
        <v>40830</v>
      </c>
      <c r="FN40" s="46">
        <v>24491257</v>
      </c>
      <c r="FO40" s="46">
        <v>0</v>
      </c>
      <c r="FP40" s="46">
        <v>0</v>
      </c>
      <c r="FQ40" s="46">
        <v>0</v>
      </c>
      <c r="FR40" s="46">
        <v>0</v>
      </c>
      <c r="FS40" s="46">
        <v>0</v>
      </c>
      <c r="FT40" s="46">
        <v>0</v>
      </c>
      <c r="FU40" s="46">
        <v>0</v>
      </c>
      <c r="FV40" s="46">
        <v>0</v>
      </c>
      <c r="FW40" s="46">
        <v>0</v>
      </c>
      <c r="FX40" s="46">
        <v>0</v>
      </c>
      <c r="FY40" s="46">
        <v>0</v>
      </c>
      <c r="FZ40" s="46">
        <v>0</v>
      </c>
      <c r="GA40" s="46">
        <v>0</v>
      </c>
      <c r="GB40" s="46">
        <v>0</v>
      </c>
      <c r="GC40" s="46">
        <v>0</v>
      </c>
      <c r="GD40" s="46">
        <v>0</v>
      </c>
      <c r="GE40" s="46">
        <v>0</v>
      </c>
      <c r="GF40" s="46">
        <v>0</v>
      </c>
      <c r="GG40" s="46">
        <v>0</v>
      </c>
      <c r="GH40" s="46">
        <v>0</v>
      </c>
      <c r="GI40" s="46">
        <v>0</v>
      </c>
      <c r="GJ40" s="46">
        <v>0</v>
      </c>
      <c r="GK40" s="46">
        <v>0</v>
      </c>
      <c r="GL40" s="46">
        <v>0</v>
      </c>
      <c r="GM40" s="46">
        <v>0</v>
      </c>
      <c r="GN40" s="46">
        <v>-2115</v>
      </c>
      <c r="GO40" s="46">
        <v>-1534081</v>
      </c>
      <c r="GP40" s="46">
        <v>0</v>
      </c>
      <c r="GQ40" s="46">
        <v>0</v>
      </c>
      <c r="GR40" s="46">
        <v>0</v>
      </c>
      <c r="GS40" s="46">
        <v>0</v>
      </c>
      <c r="GT40" s="46">
        <v>0</v>
      </c>
      <c r="GU40" s="46">
        <v>0</v>
      </c>
      <c r="GV40" s="46">
        <v>0</v>
      </c>
      <c r="GW40" s="46">
        <v>0</v>
      </c>
      <c r="GX40" s="46">
        <v>-975446</v>
      </c>
      <c r="GY40" s="46">
        <v>0</v>
      </c>
      <c r="GZ40" s="46">
        <v>0</v>
      </c>
      <c r="HA40" s="46">
        <v>0</v>
      </c>
      <c r="HB40" s="46">
        <v>0</v>
      </c>
      <c r="HC40" s="46">
        <v>0</v>
      </c>
      <c r="HD40" s="46">
        <v>0</v>
      </c>
      <c r="HE40" s="46">
        <v>0</v>
      </c>
      <c r="HF40" s="46">
        <v>-6358</v>
      </c>
      <c r="HG40" s="46">
        <v>-7605258</v>
      </c>
      <c r="HH40" s="46">
        <v>0</v>
      </c>
      <c r="HI40" s="46">
        <v>0</v>
      </c>
      <c r="HJ40" s="46">
        <v>0</v>
      </c>
      <c r="HK40" s="46">
        <v>0</v>
      </c>
      <c r="HL40" s="46">
        <v>0</v>
      </c>
      <c r="HM40" s="46">
        <v>0</v>
      </c>
      <c r="HN40" s="46">
        <v>0</v>
      </c>
      <c r="HO40" s="46">
        <v>0</v>
      </c>
      <c r="HP40" s="46">
        <v>11190</v>
      </c>
      <c r="HQ40" s="46">
        <v>0</v>
      </c>
      <c r="HR40" s="46">
        <v>15645136</v>
      </c>
      <c r="HS40" s="46">
        <v>0</v>
      </c>
      <c r="HT40" s="46">
        <v>0</v>
      </c>
      <c r="HU40" s="46">
        <v>0</v>
      </c>
      <c r="HV40" s="46">
        <v>0</v>
      </c>
      <c r="HW40" s="46">
        <v>0</v>
      </c>
      <c r="HX40" s="46">
        <v>0</v>
      </c>
      <c r="HY40" s="46">
        <v>0</v>
      </c>
      <c r="HZ40" s="46">
        <v>0</v>
      </c>
      <c r="IA40" s="46">
        <v>0</v>
      </c>
      <c r="IB40" s="46">
        <v>0</v>
      </c>
      <c r="IC40" s="46">
        <v>0</v>
      </c>
      <c r="ID40" s="46">
        <v>0</v>
      </c>
      <c r="IE40" s="46">
        <v>0</v>
      </c>
      <c r="IF40" s="46">
        <v>0</v>
      </c>
      <c r="IG40" s="46">
        <v>0</v>
      </c>
      <c r="IH40" s="46">
        <v>0</v>
      </c>
      <c r="II40" s="46">
        <v>0</v>
      </c>
      <c r="IJ40" s="46">
        <v>0</v>
      </c>
      <c r="IK40" s="46">
        <v>0</v>
      </c>
      <c r="IL40" s="46">
        <v>0</v>
      </c>
      <c r="IM40" s="46">
        <v>0</v>
      </c>
      <c r="IN40" s="46">
        <v>0</v>
      </c>
      <c r="IO40" s="46">
        <v>0</v>
      </c>
      <c r="IP40" s="46">
        <v>321885</v>
      </c>
      <c r="IQ40" s="46">
        <v>1941648</v>
      </c>
      <c r="IR40" s="46">
        <v>0</v>
      </c>
      <c r="IS40" s="46">
        <v>1511231</v>
      </c>
      <c r="IT40" s="46">
        <v>0</v>
      </c>
      <c r="IU40" s="46">
        <v>234883</v>
      </c>
      <c r="IV40" s="46">
        <v>5357</v>
      </c>
      <c r="IW40" s="46">
        <v>0</v>
      </c>
      <c r="IX40" s="46">
        <v>0</v>
      </c>
      <c r="IY40" s="46">
        <v>0</v>
      </c>
      <c r="IZ40" s="46">
        <v>126</v>
      </c>
      <c r="JA40" s="46">
        <v>0</v>
      </c>
      <c r="JB40" s="46">
        <v>0</v>
      </c>
      <c r="JC40" s="46">
        <v>0</v>
      </c>
      <c r="JD40" s="46">
        <v>0</v>
      </c>
      <c r="JE40" s="46">
        <v>0</v>
      </c>
      <c r="JF40" s="46">
        <v>0</v>
      </c>
      <c r="JG40" s="46">
        <v>0</v>
      </c>
      <c r="JH40" s="46">
        <v>0</v>
      </c>
      <c r="JI40" s="46">
        <v>292741</v>
      </c>
      <c r="JJ40" s="46">
        <v>0</v>
      </c>
      <c r="JK40" s="46">
        <v>7587309</v>
      </c>
      <c r="JL40" s="46">
        <v>0</v>
      </c>
      <c r="JM40" s="46">
        <v>0</v>
      </c>
      <c r="JN40" s="46">
        <v>1262156</v>
      </c>
      <c r="JO40" s="46">
        <v>0</v>
      </c>
      <c r="JP40" s="46">
        <v>0</v>
      </c>
      <c r="JQ40" s="46">
        <v>725</v>
      </c>
      <c r="JR40" s="46">
        <v>1257908</v>
      </c>
      <c r="JS40" s="46">
        <v>0</v>
      </c>
      <c r="JT40" s="46">
        <v>29471</v>
      </c>
      <c r="JU40" s="46">
        <v>0</v>
      </c>
      <c r="JV40" s="46">
        <v>0</v>
      </c>
      <c r="JW40" s="46">
        <v>0</v>
      </c>
      <c r="JX40" s="46">
        <v>0</v>
      </c>
      <c r="JY40" s="46">
        <v>0</v>
      </c>
      <c r="JZ40" s="46">
        <v>0</v>
      </c>
      <c r="KA40" s="46">
        <v>0</v>
      </c>
      <c r="KB40" s="46">
        <v>9791279</v>
      </c>
      <c r="KC40" s="46">
        <v>0</v>
      </c>
      <c r="KD40" s="46">
        <v>0</v>
      </c>
      <c r="KE40" s="46">
        <v>0</v>
      </c>
      <c r="KF40" s="46">
        <v>0</v>
      </c>
      <c r="KG40" s="46">
        <v>0</v>
      </c>
      <c r="KH40" s="46">
        <v>0</v>
      </c>
      <c r="KI40" s="46">
        <v>0</v>
      </c>
      <c r="KJ40" s="46">
        <v>1251873</v>
      </c>
      <c r="KK40" s="46">
        <v>112342</v>
      </c>
      <c r="KL40" s="46">
        <v>231579</v>
      </c>
      <c r="KM40" s="46">
        <v>44567</v>
      </c>
      <c r="KN40" s="46">
        <v>0</v>
      </c>
      <c r="KO40" s="46">
        <v>234054</v>
      </c>
      <c r="KP40" s="46">
        <v>0</v>
      </c>
      <c r="KQ40" s="46">
        <v>0</v>
      </c>
      <c r="KR40" s="46">
        <v>22202318</v>
      </c>
      <c r="KS40" s="46">
        <v>9128537</v>
      </c>
      <c r="KT40" s="46">
        <v>0</v>
      </c>
      <c r="KU40" s="46">
        <v>891145</v>
      </c>
      <c r="KV40" s="46">
        <v>0</v>
      </c>
      <c r="KW40" s="46">
        <v>0</v>
      </c>
      <c r="KX40" s="46">
        <v>0</v>
      </c>
      <c r="KY40" s="46">
        <v>0</v>
      </c>
      <c r="KZ40" s="46">
        <v>0</v>
      </c>
      <c r="LA40" s="46">
        <v>158855</v>
      </c>
      <c r="LB40" s="46">
        <v>268035</v>
      </c>
      <c r="LC40" s="46">
        <v>0</v>
      </c>
      <c r="LD40" s="46">
        <v>623702</v>
      </c>
      <c r="LE40" s="46">
        <v>0</v>
      </c>
      <c r="LF40" s="46">
        <v>0</v>
      </c>
      <c r="LG40" s="46">
        <v>0</v>
      </c>
      <c r="LH40" s="46">
        <v>0</v>
      </c>
      <c r="LI40" s="46">
        <v>0</v>
      </c>
      <c r="LJ40" s="46">
        <v>115855</v>
      </c>
      <c r="LK40" s="46">
        <v>266242</v>
      </c>
      <c r="LL40" s="46">
        <v>0</v>
      </c>
      <c r="LM40" s="46">
        <v>1324392</v>
      </c>
      <c r="LN40" s="46">
        <v>0</v>
      </c>
      <c r="LO40" s="46">
        <v>0</v>
      </c>
      <c r="LP40" s="46">
        <v>0</v>
      </c>
      <c r="LQ40" s="46">
        <v>0</v>
      </c>
      <c r="LR40" s="46">
        <v>0</v>
      </c>
      <c r="LS40" s="46">
        <v>0</v>
      </c>
      <c r="LT40" s="46">
        <v>0</v>
      </c>
      <c r="LU40" s="46">
        <v>0</v>
      </c>
      <c r="LV40" s="46">
        <v>0</v>
      </c>
      <c r="LW40" s="46">
        <v>0</v>
      </c>
      <c r="LX40" s="46">
        <v>0</v>
      </c>
      <c r="LY40" s="46">
        <v>0</v>
      </c>
      <c r="LZ40" s="46">
        <v>0</v>
      </c>
      <c r="MA40" s="46">
        <v>0</v>
      </c>
      <c r="MB40" s="46">
        <v>2847711</v>
      </c>
      <c r="MC40" s="46">
        <v>2895752</v>
      </c>
      <c r="MD40" s="46">
        <v>0</v>
      </c>
      <c r="ME40" s="46">
        <v>1111995</v>
      </c>
      <c r="MF40" s="46">
        <v>0</v>
      </c>
      <c r="MG40" s="46">
        <v>0</v>
      </c>
      <c r="MH40" s="46">
        <v>0</v>
      </c>
      <c r="MI40" s="46">
        <v>0</v>
      </c>
      <c r="MJ40" s="46">
        <v>0</v>
      </c>
      <c r="MK40" s="46">
        <v>2340555</v>
      </c>
      <c r="ML40" s="46">
        <v>10503214</v>
      </c>
      <c r="MM40" s="46">
        <v>0</v>
      </c>
      <c r="MN40" s="46">
        <v>1099472</v>
      </c>
      <c r="MO40" s="46">
        <v>349735</v>
      </c>
      <c r="MP40" s="46">
        <v>0</v>
      </c>
      <c r="MQ40" s="46">
        <v>0</v>
      </c>
      <c r="MR40" s="46">
        <v>0</v>
      </c>
      <c r="MS40" s="46">
        <v>0</v>
      </c>
      <c r="MT40" s="46">
        <v>2192346</v>
      </c>
      <c r="MU40" s="46">
        <v>4890391</v>
      </c>
      <c r="MV40" s="46">
        <v>0</v>
      </c>
      <c r="MW40" s="46">
        <v>329654</v>
      </c>
      <c r="MX40" s="46">
        <v>0</v>
      </c>
      <c r="MY40" s="46">
        <v>0</v>
      </c>
      <c r="MZ40" s="46">
        <v>0</v>
      </c>
      <c r="NA40" s="46">
        <v>0</v>
      </c>
      <c r="NB40" s="46">
        <v>0</v>
      </c>
      <c r="NC40" s="46">
        <v>5096680</v>
      </c>
      <c r="ND40" s="46">
        <v>1720632</v>
      </c>
      <c r="NE40" s="46">
        <v>0</v>
      </c>
      <c r="NF40" s="46">
        <v>16594</v>
      </c>
      <c r="NG40" s="46">
        <v>0</v>
      </c>
      <c r="NH40" s="46">
        <v>0</v>
      </c>
      <c r="NI40" s="46">
        <v>419138</v>
      </c>
      <c r="NJ40" s="46">
        <v>800</v>
      </c>
      <c r="NK40" s="46">
        <v>0</v>
      </c>
      <c r="NL40" s="46">
        <v>0</v>
      </c>
      <c r="NM40" s="46">
        <v>0</v>
      </c>
      <c r="NN40" s="46">
        <v>0</v>
      </c>
      <c r="NO40" s="46">
        <v>9199009</v>
      </c>
      <c r="NP40" s="46">
        <v>0</v>
      </c>
      <c r="NQ40" s="46">
        <v>0</v>
      </c>
      <c r="NR40" s="46">
        <v>0</v>
      </c>
      <c r="NS40" s="46">
        <v>0</v>
      </c>
      <c r="NT40" s="46">
        <v>0</v>
      </c>
      <c r="NU40" s="46">
        <v>0</v>
      </c>
      <c r="NV40" s="46">
        <v>0</v>
      </c>
      <c r="NW40" s="46">
        <v>9328242</v>
      </c>
      <c r="NX40" s="46">
        <v>0</v>
      </c>
      <c r="NY40" s="46">
        <v>0</v>
      </c>
      <c r="NZ40" s="46">
        <v>0</v>
      </c>
      <c r="OA40" s="46">
        <v>0</v>
      </c>
      <c r="OB40" s="46">
        <v>0</v>
      </c>
      <c r="OC40" s="46">
        <v>0</v>
      </c>
      <c r="OD40" s="46">
        <v>760470</v>
      </c>
      <c r="OE40" s="46">
        <v>806719</v>
      </c>
      <c r="OF40" s="46">
        <v>36769</v>
      </c>
      <c r="OG40" s="46">
        <v>349668</v>
      </c>
      <c r="OH40" s="46">
        <v>0</v>
      </c>
      <c r="OI40" s="46">
        <v>0</v>
      </c>
      <c r="OJ40" s="46">
        <v>0</v>
      </c>
      <c r="OK40" s="46">
        <v>0</v>
      </c>
      <c r="OL40" s="46">
        <v>0</v>
      </c>
      <c r="OM40" s="46">
        <v>0</v>
      </c>
      <c r="ON40" s="46">
        <v>20571</v>
      </c>
      <c r="OO40" s="46">
        <v>0</v>
      </c>
      <c r="OP40" s="46">
        <v>0</v>
      </c>
      <c r="OQ40" s="46">
        <v>0</v>
      </c>
      <c r="OR40" s="46">
        <v>0</v>
      </c>
      <c r="OS40" s="46">
        <v>0</v>
      </c>
      <c r="OT40" s="46">
        <v>0</v>
      </c>
      <c r="OU40" s="46">
        <v>52930</v>
      </c>
      <c r="OV40" s="46">
        <v>0</v>
      </c>
      <c r="OW40" s="46">
        <v>0</v>
      </c>
      <c r="OX40" s="46">
        <v>0</v>
      </c>
      <c r="OY40" s="46">
        <v>0</v>
      </c>
      <c r="OZ40" s="46">
        <v>0</v>
      </c>
      <c r="PA40" s="46">
        <v>0</v>
      </c>
      <c r="PB40" s="46">
        <v>-30058729</v>
      </c>
      <c r="PC40" s="46">
        <v>0</v>
      </c>
      <c r="PD40" s="46">
        <v>0</v>
      </c>
      <c r="PE40" s="46">
        <v>-5581196</v>
      </c>
      <c r="PF40" s="46">
        <v>5210665</v>
      </c>
      <c r="PG40" s="46">
        <v>422721</v>
      </c>
      <c r="PH40" s="46">
        <v>-16645066</v>
      </c>
      <c r="PI40" s="46">
        <v>81105</v>
      </c>
      <c r="PJ40" s="46">
        <v>-33051</v>
      </c>
      <c r="PK40" s="46">
        <v>-30033729</v>
      </c>
      <c r="PL40" s="46">
        <v>2347875</v>
      </c>
      <c r="PM40" s="46">
        <v>83931283</v>
      </c>
      <c r="PN40" s="46">
        <v>0</v>
      </c>
      <c r="PO40" s="46">
        <v>0</v>
      </c>
      <c r="PP40" s="46">
        <v>0</v>
      </c>
      <c r="PQ40" s="46">
        <v>0</v>
      </c>
      <c r="PR40" s="46">
        <v>0</v>
      </c>
      <c r="PS40" s="46">
        <v>0</v>
      </c>
      <c r="PT40" s="46">
        <v>27661956</v>
      </c>
      <c r="PU40" s="46">
        <v>0</v>
      </c>
      <c r="PV40" s="46">
        <v>0</v>
      </c>
      <c r="PW40" s="46">
        <v>0</v>
      </c>
      <c r="PX40" s="46">
        <v>0</v>
      </c>
      <c r="PY40" s="46">
        <v>0</v>
      </c>
      <c r="PZ40" s="46">
        <v>0</v>
      </c>
      <c r="QA40" s="46">
        <v>0</v>
      </c>
      <c r="QB40" s="46">
        <v>0</v>
      </c>
      <c r="QC40" s="46">
        <v>0</v>
      </c>
      <c r="QD40" s="46">
        <v>-9137075</v>
      </c>
      <c r="QE40" s="46">
        <v>0</v>
      </c>
      <c r="QF40" s="46">
        <v>0</v>
      </c>
      <c r="QG40" s="46">
        <v>1376985</v>
      </c>
      <c r="QH40" s="46">
        <v>210426</v>
      </c>
      <c r="QI40" s="46">
        <v>69201</v>
      </c>
      <c r="QJ40" s="46">
        <v>-71094</v>
      </c>
      <c r="QK40" s="46">
        <v>1417290</v>
      </c>
      <c r="QL40" s="46">
        <v>97327</v>
      </c>
      <c r="QM40" s="46">
        <v>0</v>
      </c>
      <c r="QN40" s="46">
        <v>0</v>
      </c>
      <c r="QO40" s="46">
        <v>0</v>
      </c>
      <c r="QP40" s="46">
        <v>0</v>
      </c>
      <c r="QQ40" s="46">
        <v>0</v>
      </c>
      <c r="QR40" s="46">
        <v>0</v>
      </c>
      <c r="QS40" s="46">
        <v>0</v>
      </c>
      <c r="QT40" s="46">
        <v>106157</v>
      </c>
      <c r="QU40" s="46">
        <v>0</v>
      </c>
      <c r="QV40" s="46">
        <v>0</v>
      </c>
      <c r="QW40" s="46">
        <v>0</v>
      </c>
      <c r="QX40" s="46">
        <v>0</v>
      </c>
      <c r="QY40" s="46">
        <v>0</v>
      </c>
      <c r="QZ40" s="46">
        <v>0</v>
      </c>
      <c r="RA40" s="46">
        <v>0</v>
      </c>
      <c r="RB40" s="46">
        <v>0</v>
      </c>
      <c r="RC40" s="46">
        <v>0</v>
      </c>
      <c r="RD40" s="46">
        <v>0</v>
      </c>
      <c r="RE40" s="46">
        <v>6790000</v>
      </c>
      <c r="RF40" s="46">
        <v>0</v>
      </c>
      <c r="RG40" s="46">
        <v>0</v>
      </c>
      <c r="RH40" s="46">
        <v>0</v>
      </c>
      <c r="RI40" s="46">
        <v>0</v>
      </c>
      <c r="RJ40" s="46">
        <v>0</v>
      </c>
      <c r="RK40" s="46">
        <v>0</v>
      </c>
      <c r="RL40" s="46">
        <v>0</v>
      </c>
      <c r="RM40" s="46">
        <v>0</v>
      </c>
      <c r="RN40" s="46">
        <v>0</v>
      </c>
      <c r="RO40" s="46">
        <v>-13888101</v>
      </c>
      <c r="RP40" s="46">
        <v>0</v>
      </c>
      <c r="RQ40" s="46">
        <v>0</v>
      </c>
      <c r="RR40" s="46">
        <v>0</v>
      </c>
      <c r="RS40" s="46">
        <v>0</v>
      </c>
      <c r="RT40" s="46">
        <v>0</v>
      </c>
      <c r="RU40" s="46">
        <v>0</v>
      </c>
      <c r="RV40" s="46">
        <v>0</v>
      </c>
      <c r="RW40" s="46">
        <v>0</v>
      </c>
      <c r="RX40" s="46">
        <v>0</v>
      </c>
      <c r="RY40" s="46">
        <v>0</v>
      </c>
      <c r="RZ40" s="46">
        <v>0</v>
      </c>
      <c r="SA40" s="46">
        <v>0</v>
      </c>
      <c r="SB40" s="46">
        <v>0</v>
      </c>
      <c r="SC40" s="46">
        <v>0</v>
      </c>
      <c r="SD40" s="46">
        <v>0</v>
      </c>
      <c r="SE40" s="46">
        <v>0</v>
      </c>
      <c r="SF40" s="46">
        <v>0</v>
      </c>
      <c r="SG40" s="46">
        <v>0</v>
      </c>
      <c r="SH40" s="46">
        <v>0</v>
      </c>
      <c r="SI40" s="46">
        <v>0</v>
      </c>
      <c r="SJ40" s="46">
        <v>0</v>
      </c>
      <c r="SK40" s="46">
        <v>0</v>
      </c>
      <c r="SL40" s="46">
        <v>0</v>
      </c>
      <c r="SM40" s="46">
        <v>0</v>
      </c>
      <c r="SN40" s="46">
        <v>0</v>
      </c>
      <c r="SO40" s="46">
        <v>0</v>
      </c>
      <c r="SP40" s="46">
        <v>0</v>
      </c>
      <c r="SQ40" s="46">
        <v>760470</v>
      </c>
      <c r="SR40" s="46">
        <v>806719</v>
      </c>
      <c r="SS40" s="46">
        <v>36769</v>
      </c>
      <c r="ST40" s="46">
        <v>349668</v>
      </c>
      <c r="SU40" s="46">
        <v>0</v>
      </c>
      <c r="SV40" s="46">
        <v>0</v>
      </c>
      <c r="SW40" s="46">
        <v>30058729</v>
      </c>
      <c r="SX40" s="46">
        <v>0</v>
      </c>
      <c r="SY40" s="46">
        <v>0</v>
      </c>
      <c r="SZ40" s="46">
        <v>23763</v>
      </c>
      <c r="TA40" s="46">
        <v>362963</v>
      </c>
      <c r="TB40" s="46">
        <v>14</v>
      </c>
      <c r="TC40" s="46">
        <v>0</v>
      </c>
      <c r="TD40" s="46">
        <v>1136171</v>
      </c>
      <c r="TE40" s="46">
        <v>-198768</v>
      </c>
      <c r="TF40" s="46">
        <v>298164</v>
      </c>
      <c r="TG40" s="46">
        <v>294550</v>
      </c>
      <c r="TH40" s="46">
        <v>0</v>
      </c>
      <c r="TI40" s="46">
        <v>36769</v>
      </c>
      <c r="TJ40" s="46">
        <v>0</v>
      </c>
      <c r="TK40" s="46">
        <v>0</v>
      </c>
      <c r="TL40" s="46">
        <v>3400</v>
      </c>
      <c r="TM40" s="46">
        <v>0</v>
      </c>
      <c r="TN40" s="46">
        <v>0</v>
      </c>
      <c r="TO40" s="46">
        <v>0</v>
      </c>
      <c r="TP40" s="46">
        <v>0</v>
      </c>
      <c r="TQ40" s="46">
        <v>0</v>
      </c>
      <c r="TR40" s="46">
        <v>0</v>
      </c>
      <c r="TS40" s="46">
        <v>0</v>
      </c>
      <c r="TT40" s="46">
        <v>0</v>
      </c>
      <c r="TU40" s="46">
        <v>0</v>
      </c>
      <c r="TV40" s="46">
        <v>0</v>
      </c>
      <c r="TW40" s="46">
        <v>0</v>
      </c>
      <c r="TX40" s="46">
        <v>0</v>
      </c>
      <c r="TY40" s="46">
        <v>0</v>
      </c>
      <c r="TZ40" s="46">
        <v>0</v>
      </c>
      <c r="UA40" s="46">
        <v>0</v>
      </c>
      <c r="UB40" s="46">
        <v>0</v>
      </c>
      <c r="UC40" s="46">
        <v>0</v>
      </c>
      <c r="UD40" s="46">
        <v>0</v>
      </c>
      <c r="UE40" s="46">
        <v>32222000</v>
      </c>
      <c r="UF40" s="46">
        <v>1050592</v>
      </c>
      <c r="UG40" s="46">
        <v>1706489</v>
      </c>
      <c r="UH40" s="46">
        <v>0</v>
      </c>
      <c r="UI40" s="46">
        <v>6855458</v>
      </c>
      <c r="UJ40" s="46">
        <v>14292976</v>
      </c>
      <c r="UK40" s="46">
        <v>7412391</v>
      </c>
      <c r="UL40" s="46">
        <v>7253844</v>
      </c>
      <c r="UM40" s="46">
        <v>9199009</v>
      </c>
      <c r="UN40" s="46">
        <v>9328242</v>
      </c>
      <c r="UO4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1953626</v>
      </c>
      <c r="UP40" s="46">
        <f>SUM(Input[[#This Row],[Oth Exp E&amp;G]],Input[[#This Row],[Oth Exp Desg]],Input[[#This Row],[Oth Exp Aux]],Input[[#This Row],[Oth Exp R Exp]],Input[[#This Row],[Oth Exp Loan]],Input[[#This Row],[Oth Exp Annuity]],Input[[#This Row],[Oth Exp Unexp]],Input[[#This Row],[Oth Exp R of Ind]],Input[[#This Row],[Oth Exp Inv in P]])</f>
        <v>73501</v>
      </c>
      <c r="UQ40" s="46"/>
      <c r="UR40" s="46"/>
      <c r="US40" s="8" t="s">
        <v>756</v>
      </c>
      <c r="UT40" s="47">
        <v>9403974237</v>
      </c>
      <c r="UU40" s="8" t="s">
        <v>83</v>
      </c>
      <c r="UV40" s="8" t="s">
        <v>757</v>
      </c>
      <c r="UW40" s="47">
        <v>9403974275</v>
      </c>
      <c r="UX40" s="8" t="s">
        <v>758</v>
      </c>
      <c r="UY40" s="51" cm="1">
        <f t="array" ref="UY40">IFERROR(_xlfn.IFS(Input[[#This Row],[Type]]="HRI",SUMIFS('FTSE | FTFE'!$P$8:$P$77,'FTSE | FTFE'!$H$8:$H$77,A40),Input[[#This Row],[Type]]="UNIV",SUMIFS('FTSE | FTFE'!$P$104:$P$139,'FTSE | FTFE'!$H$104:$H$139,A40),OR(Input[[#This Row],[Type]]="TSTC",Input[[#This Row],[Type]]="LSC"),SUMIFS('FTSE | FTFE'!$O$88:$O$96,'FTSE | FTFE'!$H$88:$H$96,A40),Input[[#This Row],[Type]]="AHM",SUMIFS(Hidden!$H$42:$H$45,Hidden!$G$42:$G$45,A40)),"N/A")</f>
        <v>3977</v>
      </c>
      <c r="UZ40" s="51" cm="1">
        <f t="array" ref="UZ40">IFERROR(_xlfn.IFS(Input[[#This Row],[Type]]="HRI",SUMIFS('FTSE | FTFE'!$Q$8:$Q$77,'FTSE | FTFE'!$H$8:$H$77,A40),Input[[#This Row],[Type]]="UNIV",SUMIFS('FTSE | FTFE'!$Q$104:$Q$139,'FTSE | FTFE'!$H$104:$H$139,A40),OR(Input[[#This Row],[Type]]="TSTC",Input[[#This Row],[Type]]="LSC"),SUMIFS('FTSE | FTFE'!$P$88:$P$96,'FTSE | FTFE'!$H$88:$H$96,A40)),"N/A")</f>
        <v>164</v>
      </c>
      <c r="VA4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40873632</v>
      </c>
      <c r="VB4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5082034</v>
      </c>
      <c r="VC40" s="46">
        <f>SUM(Input[[#This Row],[Fed G&amp;C E&amp;G]],Input[[#This Row],[Fed G&amp;C Desg]],Input[[#This Row],[Fed G&amp;C R Exp]],Input[[#This Row],[Fed G&amp;C Loan]],Input[[#This Row],[Fed G&amp;C Annuity]],Input[[#This Row],[Fed G&amp;C Unexp]],Input[[#This Row],[Fed G&amp;C R of Ind]],Input[[#This Row],[Fed G&amp;C Inv in P]])</f>
        <v>15656326</v>
      </c>
      <c r="VD4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16207513</v>
      </c>
      <c r="VE4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14559848</v>
      </c>
      <c r="VF4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14408829</v>
      </c>
      <c r="VG40" s="46">
        <f>SUM(Input[[#This Row],[Oth Inc E&amp;G]],Input[[#This Row],[Oth Exp Desg]],Input[[#This Row],[Oth Exp R Exp]],Input[[#This Row],[Oth Exp Loan]],Input[[#This Row],[Oth Exp Annuity]],Input[[#This Row],[Oth Exp Unexp]],Input[[#This Row],[Oth Exp R of Ind]],Input[[#This Row],[Oth Exp Inv in P]])</f>
        <v>73501</v>
      </c>
      <c r="VH40" s="46">
        <f>SUM(Input[[#This Row],[Instr E&amp;G]],Input[[#This Row],[Instr Desg]],Input[[#This Row],[Instr R Exp]],Input[[#This Row],[Instr Loan]],Input[[#This Row],[Instr Annuity]],Input[[#This Row],[Instr Unexp]],Input[[#This Row],[Instr R of Ind]],Input[[#This Row],[Instr Inv in P]])</f>
        <v>32222000</v>
      </c>
      <c r="VI40" s="46">
        <f>SUM(Input[[#This Row],[Res E&amp;G]],Input[[#This Row],[Res Desg]],Input[[#This Row],[Res R Exp]],Input[[#This Row],[Res Loan]],Input[[#This Row],[Res Annuity]],Input[[#This Row],[Res Unexp]],Input[[#This Row],[Res R of Ind]],Input[[#This Row],[Res Inv in P]])</f>
        <v>1050592</v>
      </c>
      <c r="VJ40" s="46">
        <f>SUM(Input[[#This Row],[Acad Sup E&amp;G]],Input[[#This Row],[Acad Sup Desg]],Input[[#This Row],[Acad Sup R Exp]],Input[[#This Row],[Acad Sup Loan]],Input[[#This Row],[Acad Sup Annuity]],Input[[#This Row],[Acad Sup Unexp]],Input[[#This Row],[Acad Sup R of Ind]],Input[[#This Row],[Acad Sup Inv in P]])</f>
        <v>6855458</v>
      </c>
      <c r="VK40" s="46">
        <f>SUM(Input[[#This Row],[Stu Svc E&amp;G]],Input[[#This Row],[Stu Svc Desg]],Input[[#This Row],[Stu Svc R Exp]],Input[[#This Row],[Stu Svc Loan]],Input[[#This Row],[Stu Svc Annuity]],Input[[#This Row],[Stu Svc Unexp]],Input[[#This Row],[Stu Svc R of Ind]],Input[[#This Row],[Stu Svc Inv in P]])</f>
        <v>14292976</v>
      </c>
      <c r="VL40" s="46">
        <f>SUM(Input[[#This Row],[Inst. Spt E&amp;G]],Input[[#This Row],[Inst. Spt Desg]],Input[[#This Row],[Inst. Spt R Exp]],Input[[#This Row],[Inst. Spt Loan]],Input[[#This Row],[Inst. Spt Annuity]],Input[[#This Row],[Inst. Spt Unexp]],Input[[#This Row],[Inst. Spt R of Ind]],Input[[#This Row],[Inst. Spt Inv in P]])</f>
        <v>7412391</v>
      </c>
      <c r="VM40" s="46">
        <f>SUM(Input[[#This Row],[M&amp;O Plnt E&amp;G]],Input[[#This Row],[M&amp;O Plnt Desg]],Input[[#This Row],[M&amp;O Plnt R Exp]],Input[[#This Row],[M&amp;O Plnt Loan]],Input[[#This Row],[M&amp;O Plnt Annuity]],Input[[#This Row],[M&amp;O Plnt Unexp]],Input[[#This Row],[M&amp;O Plnt R of Ind]],Input[[#This Row],[M&amp;O Plnt Inv in P]])</f>
        <v>7253844</v>
      </c>
      <c r="VN40" s="46">
        <f>SUM(Input[[#This Row],[Schl &amp; Fell E&amp;G]],Input[[#This Row],[Schl &amp; Fell Desg]],Input[[#This Row],[Schl &amp; Fell R Exp]],Input[[#This Row],[Schl &amp; Fell Loan]],Input[[#This Row],[Schl &amp; Fell Annuity]],Input[[#This Row],[Schl &amp; Fell Unexp]],Input[[#This Row],[Schl &amp; Fell R of Ind]],Input[[#This Row],[Schl &amp; Fell Inv in P]])</f>
        <v>9199009</v>
      </c>
      <c r="VO40" s="46">
        <f>SUM(Input[[#This Row],[Cap Out fund E&amp;G]],Input[[#This Row],[Cap Out fund Desg]],Input[[#This Row],[Cap Out fund R Exp]],Input[[#This Row],[Cap Out fund Loan]],Input[[#This Row],[Cap Out fund Annuity]],Input[[#This Row],[Cap Out fund Unexp]],Input[[#This Row],[Cap Out fund R of Ind]],Input[[#This Row],[Cap Out fund Inv in P]])</f>
        <v>1916857</v>
      </c>
      <c r="VP40" s="46">
        <f>SUM(Input[[#This Row],[Oth Exp E&amp;G]],Input[[#This Row],[Oth Exp Desg]],Input[[#This Row],[Oth Exp R Exp]],Input[[#This Row],[Oth Exp Loan]],Input[[#This Row],[Oth Exp Annuity]],Input[[#This Row],[Oth Exp Unexp]],Input[[#This Row],[Oth Exp R of Ind]],Input[[#This Row],[Oth Exp Inv in P]],Input[[#This Row],[Oth Exp Inv in P]])</f>
        <v>126431</v>
      </c>
    </row>
    <row r="41" spans="1:588" ht="30" customHeight="1" x14ac:dyDescent="0.3">
      <c r="A41" s="15" t="s">
        <v>64</v>
      </c>
      <c r="B41" s="36" t="s">
        <v>106</v>
      </c>
      <c r="C41" s="36" t="s">
        <v>110</v>
      </c>
      <c r="D41" s="36">
        <v>700</v>
      </c>
      <c r="E41" s="36" t="s">
        <v>134</v>
      </c>
      <c r="F41" s="95" cm="1">
        <f t="array" ref="F41">IFERROR(_xlfn.IFS(Input[[#This Row],[Type]]="HRI",SUMIFS('FTSE | FTFE'!$I$8:$I$77,'FTSE | FTFE'!$H$8:$H$77,A41),Input[[#This Row],[Type]]="UNIV",SUMIFS('FTSE | FTFE'!$I$104:$I$139,'FTSE | FTFE'!$H$104:$H$139,A41),OR(Input[[#This Row],[Type]]="TSTC",Input[[#This Row],[Type]]="LSC"),SUMIFS('FTSE | FTFE'!$I$88:$I$96,'FTSE | FTFE'!$H$88:$H$96,A41)),"N/A")</f>
        <v>3646</v>
      </c>
      <c r="G41" s="46">
        <v>103165228</v>
      </c>
      <c r="H41" s="46">
        <v>0</v>
      </c>
      <c r="I41" s="46">
        <v>0</v>
      </c>
      <c r="J41" s="46">
        <v>0</v>
      </c>
      <c r="K41" s="46">
        <v>0</v>
      </c>
      <c r="L41" s="46">
        <v>0</v>
      </c>
      <c r="M41" s="46">
        <v>0</v>
      </c>
      <c r="N41" s="46">
        <v>0</v>
      </c>
      <c r="O41" s="46">
        <v>0</v>
      </c>
      <c r="P41" s="46">
        <v>0</v>
      </c>
      <c r="Q41" s="46">
        <v>0</v>
      </c>
      <c r="R41" s="46">
        <v>0</v>
      </c>
      <c r="S41" s="46">
        <v>10684207</v>
      </c>
      <c r="T41" s="46">
        <v>0</v>
      </c>
      <c r="U41" s="46">
        <v>0</v>
      </c>
      <c r="V41" s="46">
        <v>0</v>
      </c>
      <c r="W41" s="46">
        <v>0</v>
      </c>
      <c r="X41" s="46">
        <v>0</v>
      </c>
      <c r="Y41" s="46">
        <v>14993229</v>
      </c>
      <c r="Z41" s="46">
        <v>0</v>
      </c>
      <c r="AA41" s="46">
        <v>0</v>
      </c>
      <c r="AB41" s="46">
        <v>0</v>
      </c>
      <c r="AC41" s="46">
        <v>0</v>
      </c>
      <c r="AD41" s="46">
        <v>0</v>
      </c>
      <c r="AE41" s="46">
        <v>0</v>
      </c>
      <c r="AF41" s="46">
        <v>0</v>
      </c>
      <c r="AG41" s="46">
        <v>0</v>
      </c>
      <c r="AH41" s="46">
        <v>0</v>
      </c>
      <c r="AI41" s="46">
        <v>0</v>
      </c>
      <c r="AJ41" s="46">
        <v>0</v>
      </c>
      <c r="AK41" s="46">
        <v>0</v>
      </c>
      <c r="AL41" s="46">
        <v>0</v>
      </c>
      <c r="AM41" s="46">
        <v>0</v>
      </c>
      <c r="AN41" s="46">
        <v>0</v>
      </c>
      <c r="AO41" s="46">
        <v>0</v>
      </c>
      <c r="AP41" s="46">
        <v>0</v>
      </c>
      <c r="AQ41" s="46">
        <v>0</v>
      </c>
      <c r="AR41" s="46">
        <v>0</v>
      </c>
      <c r="AS41" s="46">
        <v>0</v>
      </c>
      <c r="AT41" s="46">
        <v>0</v>
      </c>
      <c r="AU41" s="46">
        <v>0</v>
      </c>
      <c r="AV41" s="46">
        <v>0</v>
      </c>
      <c r="AW41" s="46">
        <v>0</v>
      </c>
      <c r="AX41" s="46">
        <v>0</v>
      </c>
      <c r="AY41" s="46">
        <v>0</v>
      </c>
      <c r="AZ41" s="46">
        <v>0</v>
      </c>
      <c r="BA41" s="46">
        <v>0</v>
      </c>
      <c r="BB41" s="46">
        <v>0</v>
      </c>
      <c r="BC41" s="46">
        <v>0</v>
      </c>
      <c r="BD41" s="46">
        <v>0</v>
      </c>
      <c r="BE41" s="46">
        <v>0</v>
      </c>
      <c r="BF41" s="46">
        <v>0</v>
      </c>
      <c r="BG41" s="46">
        <v>0</v>
      </c>
      <c r="BH41" s="46">
        <v>0</v>
      </c>
      <c r="BI41" s="46">
        <v>0</v>
      </c>
      <c r="BJ41" s="46">
        <v>0</v>
      </c>
      <c r="BK41" s="46">
        <v>0</v>
      </c>
      <c r="BL41" s="46">
        <v>0</v>
      </c>
      <c r="BM41" s="46">
        <v>0</v>
      </c>
      <c r="BN41" s="46">
        <v>0</v>
      </c>
      <c r="BO41" s="46">
        <v>0</v>
      </c>
      <c r="BP41" s="46">
        <v>0</v>
      </c>
      <c r="BQ41" s="46">
        <v>0</v>
      </c>
      <c r="BR41" s="46">
        <v>0</v>
      </c>
      <c r="BS41" s="46">
        <v>0</v>
      </c>
      <c r="BT41" s="46">
        <v>0</v>
      </c>
      <c r="BU41" s="46">
        <v>0</v>
      </c>
      <c r="BV41" s="46">
        <v>0</v>
      </c>
      <c r="BW41" s="46">
        <v>0</v>
      </c>
      <c r="BX41" s="46">
        <v>0</v>
      </c>
      <c r="BY41" s="46">
        <v>0</v>
      </c>
      <c r="BZ41" s="46">
        <v>0</v>
      </c>
      <c r="CA41" s="46">
        <v>40670714</v>
      </c>
      <c r="CB41" s="46">
        <v>88244934</v>
      </c>
      <c r="CC41" s="46">
        <v>0</v>
      </c>
      <c r="CD41" s="46">
        <v>0</v>
      </c>
      <c r="CE41" s="46">
        <v>0</v>
      </c>
      <c r="CF41" s="46">
        <v>0</v>
      </c>
      <c r="CG41" s="46">
        <v>0</v>
      </c>
      <c r="CH41" s="46">
        <v>0</v>
      </c>
      <c r="CI41" s="46">
        <v>0</v>
      </c>
      <c r="CJ41" s="46">
        <v>-4162310</v>
      </c>
      <c r="CK41" s="46">
        <v>0</v>
      </c>
      <c r="CL41" s="46">
        <v>0</v>
      </c>
      <c r="CM41" s="46">
        <v>0</v>
      </c>
      <c r="CN41" s="46">
        <v>0</v>
      </c>
      <c r="CO41" s="46">
        <v>0</v>
      </c>
      <c r="CP41" s="46">
        <v>0</v>
      </c>
      <c r="CQ41" s="46">
        <v>0</v>
      </c>
      <c r="CR41" s="46">
        <v>0</v>
      </c>
      <c r="CS41" s="46">
        <v>0</v>
      </c>
      <c r="CT41" s="46">
        <v>-25069</v>
      </c>
      <c r="CU41" s="46">
        <v>0</v>
      </c>
      <c r="CV41" s="46">
        <v>0</v>
      </c>
      <c r="CW41" s="46">
        <v>0</v>
      </c>
      <c r="CX41" s="46">
        <v>0</v>
      </c>
      <c r="CY41" s="46">
        <v>0</v>
      </c>
      <c r="CZ41" s="46">
        <v>0</v>
      </c>
      <c r="DA41" s="46">
        <v>0</v>
      </c>
      <c r="DB41" s="46">
        <v>-3926912</v>
      </c>
      <c r="DC41" s="46">
        <v>0</v>
      </c>
      <c r="DD41" s="46">
        <v>0</v>
      </c>
      <c r="DE41" s="46">
        <v>0</v>
      </c>
      <c r="DF41" s="46">
        <v>0</v>
      </c>
      <c r="DG41" s="46">
        <v>0</v>
      </c>
      <c r="DH41" s="46">
        <v>0</v>
      </c>
      <c r="DI41" s="46">
        <v>0</v>
      </c>
      <c r="DJ41" s="46">
        <v>0</v>
      </c>
      <c r="DK41" s="46">
        <v>0</v>
      </c>
      <c r="DL41" s="46">
        <v>-3498132</v>
      </c>
      <c r="DM41" s="46">
        <v>0</v>
      </c>
      <c r="DN41" s="46">
        <v>0</v>
      </c>
      <c r="DO41" s="46">
        <v>0</v>
      </c>
      <c r="DP41" s="46">
        <v>0</v>
      </c>
      <c r="DQ41" s="46">
        <v>0</v>
      </c>
      <c r="DR41" s="46">
        <v>0</v>
      </c>
      <c r="DS41" s="46">
        <v>0</v>
      </c>
      <c r="DT41" s="46">
        <v>0</v>
      </c>
      <c r="DU41" s="46">
        <v>0</v>
      </c>
      <c r="DV41" s="46">
        <v>0</v>
      </c>
      <c r="DW41" s="46">
        <v>0</v>
      </c>
      <c r="DX41" s="46">
        <v>0</v>
      </c>
      <c r="DY41" s="46">
        <v>0</v>
      </c>
      <c r="DZ41" s="46">
        <v>0</v>
      </c>
      <c r="EA41" s="46">
        <v>0</v>
      </c>
      <c r="EB41" s="46">
        <v>0</v>
      </c>
      <c r="EC41" s="46">
        <v>0</v>
      </c>
      <c r="ED41" s="46">
        <v>0</v>
      </c>
      <c r="EE41" s="46">
        <v>0</v>
      </c>
      <c r="EF41" s="46">
        <v>0</v>
      </c>
      <c r="EG41" s="46">
        <v>0</v>
      </c>
      <c r="EH41" s="46">
        <v>0</v>
      </c>
      <c r="EI41" s="46">
        <v>0</v>
      </c>
      <c r="EJ41" s="46">
        <v>0</v>
      </c>
      <c r="EK41" s="46">
        <v>0</v>
      </c>
      <c r="EL41" s="46">
        <v>0</v>
      </c>
      <c r="EM41" s="46">
        <v>0</v>
      </c>
      <c r="EN41" s="46">
        <v>0</v>
      </c>
      <c r="EO41" s="46">
        <v>0</v>
      </c>
      <c r="EP41" s="46">
        <v>0</v>
      </c>
      <c r="EQ41" s="46">
        <v>0</v>
      </c>
      <c r="ER41" s="46">
        <v>0</v>
      </c>
      <c r="ES41" s="46">
        <v>0</v>
      </c>
      <c r="ET41" s="46">
        <v>0</v>
      </c>
      <c r="EU41" s="46">
        <v>0</v>
      </c>
      <c r="EV41" s="46">
        <v>0</v>
      </c>
      <c r="EW41" s="46">
        <v>0</v>
      </c>
      <c r="EX41" s="46">
        <v>0</v>
      </c>
      <c r="EY41" s="46">
        <v>0</v>
      </c>
      <c r="EZ41" s="46">
        <v>0</v>
      </c>
      <c r="FA41" s="46">
        <v>0</v>
      </c>
      <c r="FB41" s="46">
        <v>0</v>
      </c>
      <c r="FC41" s="46">
        <v>0</v>
      </c>
      <c r="FD41" s="46">
        <v>0</v>
      </c>
      <c r="FE41" s="46">
        <v>0</v>
      </c>
      <c r="FF41" s="46">
        <v>0</v>
      </c>
      <c r="FG41" s="46">
        <v>0</v>
      </c>
      <c r="FH41" s="46">
        <v>0</v>
      </c>
      <c r="FI41" s="46">
        <v>0</v>
      </c>
      <c r="FJ41" s="46">
        <v>0</v>
      </c>
      <c r="FK41" s="46">
        <v>0</v>
      </c>
      <c r="FL41" s="46">
        <v>0</v>
      </c>
      <c r="FM41" s="46">
        <v>576765</v>
      </c>
      <c r="FN41" s="46">
        <v>26551247</v>
      </c>
      <c r="FO41" s="46">
        <v>0</v>
      </c>
      <c r="FP41" s="46">
        <v>0</v>
      </c>
      <c r="FQ41" s="46">
        <v>0</v>
      </c>
      <c r="FR41" s="46">
        <v>0</v>
      </c>
      <c r="FS41" s="46">
        <v>0</v>
      </c>
      <c r="FT41" s="46">
        <v>0</v>
      </c>
      <c r="FU41" s="46">
        <v>0</v>
      </c>
      <c r="FV41" s="46">
        <v>0</v>
      </c>
      <c r="FW41" s="46">
        <v>0</v>
      </c>
      <c r="FX41" s="46">
        <v>0</v>
      </c>
      <c r="FY41" s="46">
        <v>0</v>
      </c>
      <c r="FZ41" s="46">
        <v>0</v>
      </c>
      <c r="GA41" s="46">
        <v>0</v>
      </c>
      <c r="GB41" s="46">
        <v>0</v>
      </c>
      <c r="GC41" s="46">
        <v>0</v>
      </c>
      <c r="GD41" s="46">
        <v>0</v>
      </c>
      <c r="GE41" s="46">
        <v>0</v>
      </c>
      <c r="GF41" s="46">
        <v>0</v>
      </c>
      <c r="GG41" s="46">
        <v>0</v>
      </c>
      <c r="GH41" s="46">
        <v>0</v>
      </c>
      <c r="GI41" s="46">
        <v>0</v>
      </c>
      <c r="GJ41" s="46">
        <v>0</v>
      </c>
      <c r="GK41" s="46">
        <v>0</v>
      </c>
      <c r="GL41" s="46">
        <v>0</v>
      </c>
      <c r="GM41" s="46">
        <v>0</v>
      </c>
      <c r="GN41" s="46">
        <v>-1994712</v>
      </c>
      <c r="GO41" s="46">
        <v>0</v>
      </c>
      <c r="GP41" s="46">
        <v>0</v>
      </c>
      <c r="GQ41" s="46">
        <v>0</v>
      </c>
      <c r="GR41" s="46">
        <v>0</v>
      </c>
      <c r="GS41" s="46">
        <v>0</v>
      </c>
      <c r="GT41" s="46">
        <v>0</v>
      </c>
      <c r="GU41" s="46">
        <v>0</v>
      </c>
      <c r="GV41" s="46">
        <v>0</v>
      </c>
      <c r="GW41" s="46">
        <v>0</v>
      </c>
      <c r="GX41" s="46">
        <v>-3009</v>
      </c>
      <c r="GY41" s="46">
        <v>0</v>
      </c>
      <c r="GZ41" s="46">
        <v>0</v>
      </c>
      <c r="HA41" s="46">
        <v>0</v>
      </c>
      <c r="HB41" s="46">
        <v>0</v>
      </c>
      <c r="HC41" s="46">
        <v>0</v>
      </c>
      <c r="HD41" s="46">
        <v>0</v>
      </c>
      <c r="HE41" s="46">
        <v>0</v>
      </c>
      <c r="HF41" s="46">
        <v>-13834748</v>
      </c>
      <c r="HG41" s="46">
        <v>-38503753</v>
      </c>
      <c r="HH41" s="46">
        <v>0</v>
      </c>
      <c r="HI41" s="46">
        <v>0</v>
      </c>
      <c r="HJ41" s="46">
        <v>0</v>
      </c>
      <c r="HK41" s="46">
        <v>0</v>
      </c>
      <c r="HL41" s="46">
        <v>0</v>
      </c>
      <c r="HM41" s="46">
        <v>0</v>
      </c>
      <c r="HN41" s="46">
        <v>0</v>
      </c>
      <c r="HO41" s="46">
        <v>0</v>
      </c>
      <c r="HP41" s="46">
        <v>0</v>
      </c>
      <c r="HQ41" s="46">
        <v>0</v>
      </c>
      <c r="HR41" s="46">
        <v>39965150</v>
      </c>
      <c r="HS41" s="46">
        <v>0</v>
      </c>
      <c r="HT41" s="46">
        <v>0</v>
      </c>
      <c r="HU41" s="46">
        <v>0</v>
      </c>
      <c r="HV41" s="46">
        <v>0</v>
      </c>
      <c r="HW41" s="46">
        <v>0</v>
      </c>
      <c r="HX41" s="46">
        <v>0</v>
      </c>
      <c r="HY41" s="46">
        <v>0</v>
      </c>
      <c r="HZ41" s="46">
        <v>0</v>
      </c>
      <c r="IA41" s="46">
        <v>0</v>
      </c>
      <c r="IB41" s="46">
        <v>0</v>
      </c>
      <c r="IC41" s="46">
        <v>0</v>
      </c>
      <c r="ID41" s="46">
        <v>0</v>
      </c>
      <c r="IE41" s="46">
        <v>0</v>
      </c>
      <c r="IF41" s="46">
        <v>0</v>
      </c>
      <c r="IG41" s="46">
        <v>0</v>
      </c>
      <c r="IH41" s="46">
        <v>0</v>
      </c>
      <c r="II41" s="46">
        <v>0</v>
      </c>
      <c r="IJ41" s="46">
        <v>0</v>
      </c>
      <c r="IK41" s="46">
        <v>0</v>
      </c>
      <c r="IL41" s="46">
        <v>0</v>
      </c>
      <c r="IM41" s="46">
        <v>0</v>
      </c>
      <c r="IN41" s="46">
        <v>0</v>
      </c>
      <c r="IO41" s="46">
        <v>0</v>
      </c>
      <c r="IP41" s="46">
        <v>626704</v>
      </c>
      <c r="IQ41" s="46">
        <v>16756573</v>
      </c>
      <c r="IR41" s="46">
        <v>613774</v>
      </c>
      <c r="IS41" s="46">
        <v>374609</v>
      </c>
      <c r="IT41" s="46">
        <v>106247</v>
      </c>
      <c r="IU41" s="46">
        <v>333612</v>
      </c>
      <c r="IV41" s="46">
        <v>7324359</v>
      </c>
      <c r="IW41" s="46">
        <v>1248204</v>
      </c>
      <c r="IX41" s="46">
        <v>0</v>
      </c>
      <c r="IY41" s="46">
        <v>0</v>
      </c>
      <c r="IZ41" s="46">
        <v>0</v>
      </c>
      <c r="JA41" s="46">
        <v>0</v>
      </c>
      <c r="JB41" s="46">
        <v>2502485</v>
      </c>
      <c r="JC41" s="46">
        <v>0</v>
      </c>
      <c r="JD41" s="46">
        <v>0</v>
      </c>
      <c r="JE41" s="46">
        <v>0</v>
      </c>
      <c r="JF41" s="46">
        <v>0</v>
      </c>
      <c r="JG41" s="46">
        <v>0</v>
      </c>
      <c r="JH41" s="46">
        <v>0</v>
      </c>
      <c r="JI41" s="46">
        <v>40000</v>
      </c>
      <c r="JJ41" s="46">
        <v>0</v>
      </c>
      <c r="JK41" s="46">
        <v>12980227</v>
      </c>
      <c r="JL41" s="46">
        <v>0</v>
      </c>
      <c r="JM41" s="46">
        <v>0</v>
      </c>
      <c r="JN41" s="46">
        <v>0</v>
      </c>
      <c r="JO41" s="46">
        <v>0</v>
      </c>
      <c r="JP41" s="46">
        <v>0</v>
      </c>
      <c r="JQ41" s="46">
        <v>0</v>
      </c>
      <c r="JR41" s="46">
        <v>0</v>
      </c>
      <c r="JS41" s="46">
        <v>0</v>
      </c>
      <c r="JT41" s="46">
        <v>0</v>
      </c>
      <c r="JU41" s="46">
        <v>0</v>
      </c>
      <c r="JV41" s="46">
        <v>0</v>
      </c>
      <c r="JW41" s="46">
        <v>0</v>
      </c>
      <c r="JX41" s="46">
        <v>0</v>
      </c>
      <c r="JY41" s="46">
        <v>0</v>
      </c>
      <c r="JZ41" s="46">
        <v>0</v>
      </c>
      <c r="KA41" s="46">
        <v>0</v>
      </c>
      <c r="KB41" s="46">
        <v>59220762</v>
      </c>
      <c r="KC41" s="46">
        <v>0</v>
      </c>
      <c r="KD41" s="46">
        <v>0</v>
      </c>
      <c r="KE41" s="46">
        <v>0</v>
      </c>
      <c r="KF41" s="46">
        <v>0</v>
      </c>
      <c r="KG41" s="46">
        <v>0</v>
      </c>
      <c r="KH41" s="46">
        <v>0</v>
      </c>
      <c r="KI41" s="46">
        <v>10886</v>
      </c>
      <c r="KJ41" s="46">
        <v>1932731</v>
      </c>
      <c r="KK41" s="46">
        <v>1967852</v>
      </c>
      <c r="KL41" s="46">
        <v>27176</v>
      </c>
      <c r="KM41" s="46">
        <v>0</v>
      </c>
      <c r="KN41" s="46">
        <v>769780</v>
      </c>
      <c r="KO41" s="46">
        <v>0</v>
      </c>
      <c r="KP41" s="46">
        <v>0</v>
      </c>
      <c r="KQ41" s="46">
        <v>0</v>
      </c>
      <c r="KR41" s="46">
        <v>72441695</v>
      </c>
      <c r="KS41" s="46">
        <v>13176730</v>
      </c>
      <c r="KT41" s="46">
        <v>0</v>
      </c>
      <c r="KU41" s="46">
        <v>2070131</v>
      </c>
      <c r="KV41" s="46">
        <v>0</v>
      </c>
      <c r="KW41" s="46">
        <v>0</v>
      </c>
      <c r="KX41" s="46">
        <v>0</v>
      </c>
      <c r="KY41" s="46">
        <v>0</v>
      </c>
      <c r="KZ41" s="46">
        <v>0</v>
      </c>
      <c r="LA41" s="46">
        <v>1736826</v>
      </c>
      <c r="LB41" s="46">
        <v>417912</v>
      </c>
      <c r="LC41" s="46">
        <v>0</v>
      </c>
      <c r="LD41" s="46">
        <v>4876549</v>
      </c>
      <c r="LE41" s="46">
        <v>0</v>
      </c>
      <c r="LF41" s="46">
        <v>0</v>
      </c>
      <c r="LG41" s="46">
        <v>0</v>
      </c>
      <c r="LH41" s="46">
        <v>0</v>
      </c>
      <c r="LI41" s="46">
        <v>0</v>
      </c>
      <c r="LJ41" s="46">
        <v>0</v>
      </c>
      <c r="LK41" s="46">
        <v>102544</v>
      </c>
      <c r="LL41" s="46">
        <v>0</v>
      </c>
      <c r="LM41" s="46">
        <v>680162</v>
      </c>
      <c r="LN41" s="46">
        <v>0</v>
      </c>
      <c r="LO41" s="46">
        <v>0</v>
      </c>
      <c r="LP41" s="46">
        <v>0</v>
      </c>
      <c r="LQ41" s="46">
        <v>0</v>
      </c>
      <c r="LR41" s="46">
        <v>0</v>
      </c>
      <c r="LS41" s="46">
        <v>0</v>
      </c>
      <c r="LT41" s="46">
        <v>0</v>
      </c>
      <c r="LU41" s="46">
        <v>0</v>
      </c>
      <c r="LV41" s="46">
        <v>0</v>
      </c>
      <c r="LW41" s="46">
        <v>0</v>
      </c>
      <c r="LX41" s="46">
        <v>0</v>
      </c>
      <c r="LY41" s="46">
        <v>0</v>
      </c>
      <c r="LZ41" s="46">
        <v>0</v>
      </c>
      <c r="MA41" s="46">
        <v>0</v>
      </c>
      <c r="MB41" s="46">
        <v>10822481</v>
      </c>
      <c r="MC41" s="46">
        <v>23622541</v>
      </c>
      <c r="MD41" s="46">
        <v>0</v>
      </c>
      <c r="ME41" s="46">
        <v>930361</v>
      </c>
      <c r="MF41" s="46">
        <v>0</v>
      </c>
      <c r="MG41" s="46">
        <v>0</v>
      </c>
      <c r="MH41" s="46">
        <v>1997119</v>
      </c>
      <c r="MI41" s="46">
        <v>0</v>
      </c>
      <c r="MJ41" s="46">
        <v>0</v>
      </c>
      <c r="MK41" s="46">
        <v>6624118</v>
      </c>
      <c r="ML41" s="46">
        <v>6768423</v>
      </c>
      <c r="MM41" s="46">
        <v>0</v>
      </c>
      <c r="MN41" s="46">
        <v>2723735</v>
      </c>
      <c r="MO41" s="46">
        <v>0</v>
      </c>
      <c r="MP41" s="46">
        <v>0</v>
      </c>
      <c r="MQ41" s="46">
        <v>0</v>
      </c>
      <c r="MR41" s="46">
        <v>0</v>
      </c>
      <c r="MS41" s="46">
        <v>0</v>
      </c>
      <c r="MT41" s="46">
        <v>10432442</v>
      </c>
      <c r="MU41" s="46">
        <v>28975304</v>
      </c>
      <c r="MV41" s="46">
        <v>-545890</v>
      </c>
      <c r="MW41" s="46">
        <v>132889</v>
      </c>
      <c r="MX41" s="46">
        <v>0</v>
      </c>
      <c r="MY41" s="46">
        <v>231869</v>
      </c>
      <c r="MZ41" s="46">
        <v>0</v>
      </c>
      <c r="NA41" s="46">
        <v>0</v>
      </c>
      <c r="NB41" s="46">
        <v>0</v>
      </c>
      <c r="NC41" s="46">
        <v>8287624</v>
      </c>
      <c r="ND41" s="46">
        <v>6689055</v>
      </c>
      <c r="NE41" s="46">
        <v>0</v>
      </c>
      <c r="NF41" s="46">
        <v>4606</v>
      </c>
      <c r="NG41" s="46">
        <v>0</v>
      </c>
      <c r="NH41" s="46">
        <v>0</v>
      </c>
      <c r="NI41" s="46">
        <v>1048480</v>
      </c>
      <c r="NJ41" s="46">
        <v>0</v>
      </c>
      <c r="NK41" s="46">
        <v>6400413</v>
      </c>
      <c r="NL41" s="46">
        <v>3187207</v>
      </c>
      <c r="NM41" s="46">
        <v>1465762</v>
      </c>
      <c r="NN41" s="46">
        <v>100</v>
      </c>
      <c r="NO41" s="46">
        <v>7149521</v>
      </c>
      <c r="NP41" s="46">
        <v>0</v>
      </c>
      <c r="NQ41" s="46">
        <v>0</v>
      </c>
      <c r="NR41" s="46">
        <v>0</v>
      </c>
      <c r="NS41" s="46">
        <v>0</v>
      </c>
      <c r="NT41" s="46">
        <v>0</v>
      </c>
      <c r="NU41" s="46">
        <v>0</v>
      </c>
      <c r="NV41" s="46">
        <v>-22046</v>
      </c>
      <c r="NW41" s="46">
        <v>27147385</v>
      </c>
      <c r="NX41" s="46">
        <v>634728</v>
      </c>
      <c r="NY41" s="46">
        <v>0</v>
      </c>
      <c r="NZ41" s="46">
        <v>0</v>
      </c>
      <c r="OA41" s="46">
        <v>0</v>
      </c>
      <c r="OB41" s="46">
        <v>0</v>
      </c>
      <c r="OC41" s="46">
        <v>0</v>
      </c>
      <c r="OD41" s="46">
        <v>37311</v>
      </c>
      <c r="OE41" s="46">
        <v>283334</v>
      </c>
      <c r="OF41" s="46">
        <v>21600</v>
      </c>
      <c r="OG41" s="46">
        <v>800486</v>
      </c>
      <c r="OH41" s="46">
        <v>0</v>
      </c>
      <c r="OI41" s="46">
        <v>0</v>
      </c>
      <c r="OJ41" s="46">
        <v>0</v>
      </c>
      <c r="OK41" s="46">
        <v>0</v>
      </c>
      <c r="OL41" s="46">
        <v>0</v>
      </c>
      <c r="OM41" s="46">
        <v>0</v>
      </c>
      <c r="ON41" s="46">
        <v>0</v>
      </c>
      <c r="OO41" s="46">
        <v>0</v>
      </c>
      <c r="OP41" s="46">
        <v>0</v>
      </c>
      <c r="OQ41" s="46">
        <v>0</v>
      </c>
      <c r="OR41" s="46">
        <v>231869</v>
      </c>
      <c r="OS41" s="46">
        <v>1048480</v>
      </c>
      <c r="OT41" s="46">
        <v>0</v>
      </c>
      <c r="OU41" s="46">
        <v>6541359</v>
      </c>
      <c r="OV41" s="46">
        <v>0</v>
      </c>
      <c r="OW41" s="46">
        <v>0</v>
      </c>
      <c r="OX41" s="46">
        <v>0</v>
      </c>
      <c r="OY41" s="46">
        <v>0</v>
      </c>
      <c r="OZ41" s="46">
        <v>0</v>
      </c>
      <c r="PA41" s="46">
        <v>0</v>
      </c>
      <c r="PB41" s="46">
        <v>-123527368</v>
      </c>
      <c r="PC41" s="46">
        <v>0</v>
      </c>
      <c r="PD41" s="46">
        <v>0</v>
      </c>
      <c r="PE41" s="46">
        <v>-15643184</v>
      </c>
      <c r="PF41" s="46">
        <v>10054757</v>
      </c>
      <c r="PG41" s="46">
        <v>7034962</v>
      </c>
      <c r="PH41" s="46">
        <v>-64102792</v>
      </c>
      <c r="PI41" s="46">
        <v>245775</v>
      </c>
      <c r="PJ41" s="46">
        <v>-18538</v>
      </c>
      <c r="PK41" s="46">
        <v>36193467</v>
      </c>
      <c r="PL41" s="46">
        <v>27759404</v>
      </c>
      <c r="PM41" s="46">
        <v>0</v>
      </c>
      <c r="PN41" s="46">
        <v>0</v>
      </c>
      <c r="PO41" s="46">
        <v>0</v>
      </c>
      <c r="PP41" s="46">
        <v>0</v>
      </c>
      <c r="PQ41" s="46">
        <v>0</v>
      </c>
      <c r="PR41" s="46">
        <v>0</v>
      </c>
      <c r="PS41" s="46">
        <v>0</v>
      </c>
      <c r="PT41" s="46">
        <v>0</v>
      </c>
      <c r="PU41" s="46">
        <v>0</v>
      </c>
      <c r="PV41" s="46">
        <v>0</v>
      </c>
      <c r="PW41" s="46">
        <v>0</v>
      </c>
      <c r="PX41" s="46">
        <v>0</v>
      </c>
      <c r="PY41" s="46">
        <v>0</v>
      </c>
      <c r="PZ41" s="46">
        <v>0</v>
      </c>
      <c r="QA41" s="46">
        <v>0</v>
      </c>
      <c r="QB41" s="46">
        <v>0</v>
      </c>
      <c r="QC41" s="46">
        <v>0</v>
      </c>
      <c r="QD41" s="46">
        <v>-19454813</v>
      </c>
      <c r="QE41" s="46">
        <v>0</v>
      </c>
      <c r="QF41" s="46">
        <v>0</v>
      </c>
      <c r="QG41" s="46">
        <v>8472464</v>
      </c>
      <c r="QH41" s="46">
        <v>0</v>
      </c>
      <c r="QI41" s="46">
        <v>0</v>
      </c>
      <c r="QJ41" s="46">
        <v>0</v>
      </c>
      <c r="QK41" s="46">
        <v>153123</v>
      </c>
      <c r="QL41" s="46">
        <v>0</v>
      </c>
      <c r="QM41" s="46">
        <v>0</v>
      </c>
      <c r="QN41" s="46">
        <v>0</v>
      </c>
      <c r="QO41" s="46">
        <v>0</v>
      </c>
      <c r="QP41" s="46">
        <v>0</v>
      </c>
      <c r="QQ41" s="46">
        <v>0</v>
      </c>
      <c r="QR41" s="46">
        <v>0</v>
      </c>
      <c r="QS41" s="46">
        <v>0</v>
      </c>
      <c r="QT41" s="46">
        <v>64723</v>
      </c>
      <c r="QU41" s="46">
        <v>0</v>
      </c>
      <c r="QV41" s="46">
        <v>0</v>
      </c>
      <c r="QW41" s="46">
        <v>0</v>
      </c>
      <c r="QX41" s="46">
        <v>0</v>
      </c>
      <c r="QY41" s="46">
        <v>0</v>
      </c>
      <c r="QZ41" s="46">
        <v>0</v>
      </c>
      <c r="RA41" s="46">
        <v>0</v>
      </c>
      <c r="RB41" s="46">
        <v>0</v>
      </c>
      <c r="RC41" s="46">
        <v>0</v>
      </c>
      <c r="RD41" s="46">
        <v>0</v>
      </c>
      <c r="RE41" s="46">
        <v>17065000</v>
      </c>
      <c r="RF41" s="46">
        <v>0</v>
      </c>
      <c r="RG41" s="46">
        <v>0</v>
      </c>
      <c r="RH41" s="46">
        <v>0</v>
      </c>
      <c r="RI41" s="46">
        <v>0</v>
      </c>
      <c r="RJ41" s="46">
        <v>0</v>
      </c>
      <c r="RK41" s="46">
        <v>0</v>
      </c>
      <c r="RL41" s="46">
        <v>0</v>
      </c>
      <c r="RM41" s="46">
        <v>0</v>
      </c>
      <c r="RN41" s="46">
        <v>0</v>
      </c>
      <c r="RO41" s="46">
        <v>-22829775</v>
      </c>
      <c r="RP41" s="46">
        <v>0</v>
      </c>
      <c r="RQ41" s="46">
        <v>0</v>
      </c>
      <c r="RR41" s="46">
        <v>0</v>
      </c>
      <c r="RS41" s="46">
        <v>0</v>
      </c>
      <c r="RT41" s="46">
        <v>0</v>
      </c>
      <c r="RU41" s="46">
        <v>0</v>
      </c>
      <c r="RV41" s="46">
        <v>0</v>
      </c>
      <c r="RW41" s="46">
        <v>0</v>
      </c>
      <c r="RX41" s="46">
        <v>0</v>
      </c>
      <c r="RY41" s="46">
        <v>0</v>
      </c>
      <c r="RZ41" s="46">
        <v>0</v>
      </c>
      <c r="SA41" s="46">
        <v>0</v>
      </c>
      <c r="SB41" s="46">
        <v>0</v>
      </c>
      <c r="SC41" s="46">
        <v>0</v>
      </c>
      <c r="SD41" s="46">
        <v>0</v>
      </c>
      <c r="SE41" s="46">
        <v>0</v>
      </c>
      <c r="SF41" s="46">
        <v>0</v>
      </c>
      <c r="SG41" s="46">
        <v>0</v>
      </c>
      <c r="SH41" s="46">
        <v>0</v>
      </c>
      <c r="SI41" s="46">
        <v>0</v>
      </c>
      <c r="SJ41" s="46">
        <v>0</v>
      </c>
      <c r="SK41" s="46">
        <v>0</v>
      </c>
      <c r="SL41" s="46">
        <v>0</v>
      </c>
      <c r="SM41" s="46">
        <v>0</v>
      </c>
      <c r="SN41" s="46">
        <v>0</v>
      </c>
      <c r="SO41" s="46">
        <v>0</v>
      </c>
      <c r="SP41" s="46">
        <v>0</v>
      </c>
      <c r="SQ41" s="46">
        <v>37311</v>
      </c>
      <c r="SR41" s="46">
        <v>280453</v>
      </c>
      <c r="SS41" s="46">
        <v>21600</v>
      </c>
      <c r="ST41" s="46">
        <v>800486</v>
      </c>
      <c r="SU41" s="46">
        <v>0</v>
      </c>
      <c r="SV41" s="46">
        <v>0</v>
      </c>
      <c r="SW41" s="46">
        <v>123527368</v>
      </c>
      <c r="SX41" s="46">
        <v>0</v>
      </c>
      <c r="SY41" s="46">
        <v>0</v>
      </c>
      <c r="SZ41" s="46">
        <v>305607</v>
      </c>
      <c r="TA41" s="46">
        <v>100804</v>
      </c>
      <c r="TB41" s="46">
        <v>4000</v>
      </c>
      <c r="TC41" s="46">
        <v>0</v>
      </c>
      <c r="TD41" s="46">
        <v>612868</v>
      </c>
      <c r="TE41" s="46">
        <v>43315</v>
      </c>
      <c r="TF41" s="46">
        <v>54537</v>
      </c>
      <c r="TG41" s="46">
        <v>0</v>
      </c>
      <c r="TH41" s="46">
        <v>0</v>
      </c>
      <c r="TI41" s="46">
        <v>21600</v>
      </c>
      <c r="TJ41" s="46">
        <v>0</v>
      </c>
      <c r="TK41" s="46">
        <v>0</v>
      </c>
      <c r="TL41" s="46">
        <v>0</v>
      </c>
      <c r="TM41" s="46">
        <v>0</v>
      </c>
      <c r="TN41" s="46">
        <v>0</v>
      </c>
      <c r="TO41" s="46">
        <v>0</v>
      </c>
      <c r="TP41" s="46">
        <v>0</v>
      </c>
      <c r="TQ41" s="46">
        <v>0</v>
      </c>
      <c r="TR41" s="46">
        <v>0</v>
      </c>
      <c r="TS41" s="46">
        <v>0</v>
      </c>
      <c r="TT41" s="46">
        <v>0</v>
      </c>
      <c r="TU41" s="46">
        <v>0</v>
      </c>
      <c r="TV41" s="46">
        <v>0</v>
      </c>
      <c r="TW41" s="46">
        <v>0</v>
      </c>
      <c r="TX41" s="46">
        <v>0</v>
      </c>
      <c r="TY41" s="46">
        <v>0</v>
      </c>
      <c r="TZ41" s="46">
        <v>0</v>
      </c>
      <c r="UA41" s="46">
        <v>0</v>
      </c>
      <c r="UB41" s="46">
        <v>0</v>
      </c>
      <c r="UC41" s="46">
        <v>0</v>
      </c>
      <c r="UD41" s="46">
        <v>0</v>
      </c>
      <c r="UE41" s="46">
        <v>87688556</v>
      </c>
      <c r="UF41" s="46">
        <v>7031287</v>
      </c>
      <c r="UG41" s="46">
        <v>782706</v>
      </c>
      <c r="UH41" s="46">
        <v>0</v>
      </c>
      <c r="UI41" s="46">
        <v>37372502</v>
      </c>
      <c r="UJ41" s="46">
        <v>16116276</v>
      </c>
      <c r="UK41" s="46">
        <v>39226614</v>
      </c>
      <c r="UL41" s="46">
        <v>22430178</v>
      </c>
      <c r="UM41" s="46">
        <v>11802590</v>
      </c>
      <c r="UN41" s="46">
        <v>27760067</v>
      </c>
      <c r="UO41" s="46" t="s">
        <v>106</v>
      </c>
      <c r="UP41" s="46" t="s">
        <v>106</v>
      </c>
      <c r="UQ41" s="46"/>
      <c r="UR41" s="46"/>
      <c r="US41" s="8" t="s">
        <v>820</v>
      </c>
      <c r="UT41" s="47">
        <v>9408983397</v>
      </c>
      <c r="UU41" s="8" t="s">
        <v>1310</v>
      </c>
      <c r="UV41" s="8" t="s">
        <v>821</v>
      </c>
      <c r="UW41" s="47">
        <v>9408983543</v>
      </c>
      <c r="UX41" s="8" t="s">
        <v>822</v>
      </c>
      <c r="UY41" s="51" cm="1">
        <f t="array" ref="UY41">IFERROR(_xlfn.IFS(Input[[#This Row],[Type]]="HRI",SUMIFS('FTSE | FTFE'!$P$8:$P$77,'FTSE | FTFE'!$H$8:$H$77,A41),Input[[#This Row],[Type]]="UNIV",SUMIFS('FTSE | FTFE'!$P$104:$P$139,'FTSE | FTFE'!$H$104:$H$139,A41),OR(Input[[#This Row],[Type]]="TSTC",Input[[#This Row],[Type]]="LSC"),SUMIFS('FTSE | FTFE'!$O$88:$O$96,'FTSE | FTFE'!$H$88:$H$96,A41),Input[[#This Row],[Type]]="AHM",SUMIFS(Hidden!$H$42:$H$45,Hidden!$G$42:$G$45,A41)),"N/A")</f>
        <v>12629</v>
      </c>
      <c r="UZ41" s="51" cm="1">
        <f t="array" ref="UZ41">IFERROR(_xlfn.IFS(Input[[#This Row],[Type]]="HRI",SUMIFS('FTSE | FTFE'!$Q$8:$Q$77,'FTSE | FTFE'!$H$8:$H$77,A41),Input[[#This Row],[Type]]="UNIV",SUMIFS('FTSE | FTFE'!$Q$104:$Q$139,'FTSE | FTFE'!$H$104:$H$139,A41),OR(Input[[#This Row],[Type]]="TSTC",Input[[#This Row],[Type]]="LSC"),SUMIFS('FTSE | FTFE'!$P$88:$P$96,'FTSE | FTFE'!$H$88:$H$96,A41)),"N/A")</f>
        <v>287</v>
      </c>
      <c r="VA4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113849435</v>
      </c>
      <c r="VB4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14993229</v>
      </c>
      <c r="VC41" s="46">
        <f>SUM(Input[[#This Row],[Fed G&amp;C E&amp;G]],Input[[#This Row],[Fed G&amp;C Desg]],Input[[#This Row],[Fed G&amp;C R Exp]],Input[[#This Row],[Fed G&amp;C Loan]],Input[[#This Row],[Fed G&amp;C Annuity]],Input[[#This Row],[Fed G&amp;C Unexp]],Input[[#This Row],[Fed G&amp;C R of Ind]],Input[[#This Row],[Fed G&amp;C Inv in P]])</f>
        <v>39965150</v>
      </c>
      <c r="VD4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45033593</v>
      </c>
      <c r="VE4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117303225</v>
      </c>
      <c r="VF4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-27208210</v>
      </c>
      <c r="VG41" s="46">
        <f>SUM(Input[[#This Row],[Oth Inc E&amp;G]],Input[[#This Row],[Oth Exp Desg]],Input[[#This Row],[Oth Exp R Exp]],Input[[#This Row],[Oth Exp Loan]],Input[[#This Row],[Oth Exp Annuity]],Input[[#This Row],[Oth Exp Unexp]],Input[[#This Row],[Oth Exp R of Ind]],Input[[#This Row],[Oth Exp Inv in P]])</f>
        <v>7832594</v>
      </c>
      <c r="VH41" s="46">
        <f>SUM(Input[[#This Row],[Instr E&amp;G]],Input[[#This Row],[Instr Desg]],Input[[#This Row],[Instr R Exp]],Input[[#This Row],[Instr Loan]],Input[[#This Row],[Instr Annuity]],Input[[#This Row],[Instr Unexp]],Input[[#This Row],[Instr R of Ind]],Input[[#This Row],[Instr Inv in P]])</f>
        <v>87688556</v>
      </c>
      <c r="VI41" s="46">
        <f>SUM(Input[[#This Row],[Res E&amp;G]],Input[[#This Row],[Res Desg]],Input[[#This Row],[Res R Exp]],Input[[#This Row],[Res Loan]],Input[[#This Row],[Res Annuity]],Input[[#This Row],[Res Unexp]],Input[[#This Row],[Res R of Ind]],Input[[#This Row],[Res Inv in P]])</f>
        <v>7031287</v>
      </c>
      <c r="VJ41" s="46">
        <f>SUM(Input[[#This Row],[Acad Sup E&amp;G]],Input[[#This Row],[Acad Sup Desg]],Input[[#This Row],[Acad Sup R Exp]],Input[[#This Row],[Acad Sup Loan]],Input[[#This Row],[Acad Sup Annuity]],Input[[#This Row],[Acad Sup Unexp]],Input[[#This Row],[Acad Sup R of Ind]],Input[[#This Row],[Acad Sup Inv in P]])</f>
        <v>37372502</v>
      </c>
      <c r="VK41" s="46">
        <f>SUM(Input[[#This Row],[Stu Svc E&amp;G]],Input[[#This Row],[Stu Svc Desg]],Input[[#This Row],[Stu Svc R Exp]],Input[[#This Row],[Stu Svc Loan]],Input[[#This Row],[Stu Svc Annuity]],Input[[#This Row],[Stu Svc Unexp]],Input[[#This Row],[Stu Svc R of Ind]],Input[[#This Row],[Stu Svc Inv in P]])</f>
        <v>16116276</v>
      </c>
      <c r="VL41" s="46">
        <f>SUM(Input[[#This Row],[Inst. Spt E&amp;G]],Input[[#This Row],[Inst. Spt Desg]],Input[[#This Row],[Inst. Spt R Exp]],Input[[#This Row],[Inst. Spt Loan]],Input[[#This Row],[Inst. Spt Annuity]],Input[[#This Row],[Inst. Spt Unexp]],Input[[#This Row],[Inst. Spt R of Ind]],Input[[#This Row],[Inst. Spt Inv in P]])</f>
        <v>39772504</v>
      </c>
      <c r="VM41" s="46">
        <f>SUM(Input[[#This Row],[M&amp;O Plnt E&amp;G]],Input[[#This Row],[M&amp;O Plnt Desg]],Input[[#This Row],[M&amp;O Plnt R Exp]],Input[[#This Row],[M&amp;O Plnt Loan]],Input[[#This Row],[M&amp;O Plnt Annuity]],Input[[#This Row],[M&amp;O Plnt Unexp]],Input[[#This Row],[M&amp;O Plnt R of Ind]],Input[[#This Row],[M&amp;O Plnt Inv in P]])</f>
        <v>22430178</v>
      </c>
      <c r="VN41" s="46">
        <f>SUM(Input[[#This Row],[Schl &amp; Fell E&amp;G]],Input[[#This Row],[Schl &amp; Fell Desg]],Input[[#This Row],[Schl &amp; Fell R Exp]],Input[[#This Row],[Schl &amp; Fell Loan]],Input[[#This Row],[Schl &amp; Fell Annuity]],Input[[#This Row],[Schl &amp; Fell Unexp]],Input[[#This Row],[Schl &amp; Fell R of Ind]],Input[[#This Row],[Schl &amp; Fell Inv in P]])</f>
        <v>11802490</v>
      </c>
      <c r="VO41" s="46">
        <f>SUM(Input[[#This Row],[Cap Out fund E&amp;G]],Input[[#This Row],[Cap Out fund Desg]],Input[[#This Row],[Cap Out fund R Exp]],Input[[#This Row],[Cap Out fund Loan]],Input[[#This Row],[Cap Out fund Annuity]],Input[[#This Row],[Cap Out fund Unexp]],Input[[#This Row],[Cap Out fund R of Ind]],Input[[#This Row],[Cap Out fund Inv in P]])</f>
        <v>1121131</v>
      </c>
      <c r="VP41" s="46">
        <f>SUM(Input[[#This Row],[Oth Exp E&amp;G]],Input[[#This Row],[Oth Exp Desg]],Input[[#This Row],[Oth Exp R Exp]],Input[[#This Row],[Oth Exp Loan]],Input[[#This Row],[Oth Exp Annuity]],Input[[#This Row],[Oth Exp Unexp]],Input[[#This Row],[Oth Exp R of Ind]],Input[[#This Row],[Oth Exp Inv in P]],Input[[#This Row],[Oth Exp Inv in P]])</f>
        <v>14363067</v>
      </c>
    </row>
    <row r="42" spans="1:588" ht="30" customHeight="1" x14ac:dyDescent="0.3">
      <c r="A42" s="15" t="s">
        <v>172</v>
      </c>
      <c r="B42" s="36" t="s">
        <v>114</v>
      </c>
      <c r="C42" s="36" t="s">
        <v>120</v>
      </c>
      <c r="D42" s="36">
        <v>800</v>
      </c>
      <c r="E42" s="36" t="s">
        <v>132</v>
      </c>
      <c r="F42" s="95" t="s">
        <v>106</v>
      </c>
      <c r="G42" s="46">
        <v>2710507</v>
      </c>
      <c r="H42" s="46">
        <v>0</v>
      </c>
      <c r="I42" s="46">
        <v>0</v>
      </c>
      <c r="J42" s="46">
        <v>0</v>
      </c>
      <c r="K42" s="46">
        <v>0</v>
      </c>
      <c r="L42" s="46">
        <v>0</v>
      </c>
      <c r="M42" s="46">
        <v>0</v>
      </c>
      <c r="N42" s="46">
        <v>0</v>
      </c>
      <c r="O42" s="46">
        <v>0</v>
      </c>
      <c r="P42" s="46">
        <v>0</v>
      </c>
      <c r="Q42" s="46">
        <v>0</v>
      </c>
      <c r="R42" s="46">
        <v>0</v>
      </c>
      <c r="S42" s="46">
        <v>8333</v>
      </c>
      <c r="T42" s="46">
        <v>0</v>
      </c>
      <c r="U42" s="46">
        <v>0</v>
      </c>
      <c r="V42" s="46">
        <v>0</v>
      </c>
      <c r="W42" s="46">
        <v>0</v>
      </c>
      <c r="X42" s="46">
        <v>0</v>
      </c>
      <c r="Y42" s="46">
        <v>0</v>
      </c>
      <c r="Z42" s="46">
        <v>0</v>
      </c>
      <c r="AA42" s="46">
        <v>0</v>
      </c>
      <c r="AB42" s="46">
        <v>0</v>
      </c>
      <c r="AC42" s="46">
        <v>0</v>
      </c>
      <c r="AD42" s="46">
        <v>0</v>
      </c>
      <c r="AE42" s="46">
        <v>0</v>
      </c>
      <c r="AF42" s="46">
        <v>0</v>
      </c>
      <c r="AG42" s="46">
        <v>0</v>
      </c>
      <c r="AH42" s="46">
        <v>0</v>
      </c>
      <c r="AI42" s="46">
        <v>0</v>
      </c>
      <c r="AJ42" s="46">
        <v>0</v>
      </c>
      <c r="AK42" s="46">
        <v>0</v>
      </c>
      <c r="AL42" s="46">
        <v>0</v>
      </c>
      <c r="AM42" s="46">
        <v>0</v>
      </c>
      <c r="AN42" s="46">
        <v>0</v>
      </c>
      <c r="AO42" s="46">
        <v>0</v>
      </c>
      <c r="AP42" s="46">
        <v>0</v>
      </c>
      <c r="AQ42" s="46">
        <v>0</v>
      </c>
      <c r="AR42" s="46">
        <v>0</v>
      </c>
      <c r="AS42" s="46">
        <v>0</v>
      </c>
      <c r="AT42" s="46">
        <v>0</v>
      </c>
      <c r="AU42" s="46">
        <v>0</v>
      </c>
      <c r="AV42" s="46">
        <v>0</v>
      </c>
      <c r="AW42" s="46">
        <v>0</v>
      </c>
      <c r="AX42" s="46">
        <v>0</v>
      </c>
      <c r="AY42" s="46">
        <v>0</v>
      </c>
      <c r="AZ42" s="46">
        <v>0</v>
      </c>
      <c r="BA42" s="46">
        <v>0</v>
      </c>
      <c r="BB42" s="46">
        <v>0</v>
      </c>
      <c r="BC42" s="46">
        <v>0</v>
      </c>
      <c r="BD42" s="46">
        <v>0</v>
      </c>
      <c r="BE42" s="46">
        <v>0</v>
      </c>
      <c r="BF42" s="46">
        <v>0</v>
      </c>
      <c r="BG42" s="46">
        <v>0</v>
      </c>
      <c r="BH42" s="46">
        <v>0</v>
      </c>
      <c r="BI42" s="46">
        <v>0</v>
      </c>
      <c r="BJ42" s="46">
        <v>0</v>
      </c>
      <c r="BK42" s="46">
        <v>0</v>
      </c>
      <c r="BL42" s="46">
        <v>0</v>
      </c>
      <c r="BM42" s="46">
        <v>0</v>
      </c>
      <c r="BN42" s="46">
        <v>0</v>
      </c>
      <c r="BO42" s="46">
        <v>0</v>
      </c>
      <c r="BP42" s="46">
        <v>0</v>
      </c>
      <c r="BQ42" s="46">
        <v>0</v>
      </c>
      <c r="BR42" s="46">
        <v>0</v>
      </c>
      <c r="BS42" s="46">
        <v>0</v>
      </c>
      <c r="BT42" s="46">
        <v>0</v>
      </c>
      <c r="BU42" s="46">
        <v>0</v>
      </c>
      <c r="BV42" s="46">
        <v>0</v>
      </c>
      <c r="BW42" s="46">
        <v>0</v>
      </c>
      <c r="BX42" s="46">
        <v>0</v>
      </c>
      <c r="BY42" s="46">
        <v>0</v>
      </c>
      <c r="BZ42" s="46">
        <v>0</v>
      </c>
      <c r="CA42" s="46">
        <v>0</v>
      </c>
      <c r="CB42" s="46">
        <v>0</v>
      </c>
      <c r="CC42" s="46">
        <v>0</v>
      </c>
      <c r="CD42" s="46">
        <v>0</v>
      </c>
      <c r="CE42" s="46">
        <v>0</v>
      </c>
      <c r="CF42" s="46">
        <v>0</v>
      </c>
      <c r="CG42" s="46">
        <v>0</v>
      </c>
      <c r="CH42" s="46">
        <v>0</v>
      </c>
      <c r="CI42" s="46">
        <v>0</v>
      </c>
      <c r="CJ42" s="46">
        <v>0</v>
      </c>
      <c r="CK42" s="46">
        <v>0</v>
      </c>
      <c r="CL42" s="46">
        <v>0</v>
      </c>
      <c r="CM42" s="46">
        <v>0</v>
      </c>
      <c r="CN42" s="46">
        <v>0</v>
      </c>
      <c r="CO42" s="46">
        <v>0</v>
      </c>
      <c r="CP42" s="46">
        <v>0</v>
      </c>
      <c r="CQ42" s="46">
        <v>0</v>
      </c>
      <c r="CR42" s="46">
        <v>0</v>
      </c>
      <c r="CS42" s="46">
        <v>0</v>
      </c>
      <c r="CT42" s="46">
        <v>0</v>
      </c>
      <c r="CU42" s="46">
        <v>0</v>
      </c>
      <c r="CV42" s="46">
        <v>0</v>
      </c>
      <c r="CW42" s="46">
        <v>0</v>
      </c>
      <c r="CX42" s="46">
        <v>0</v>
      </c>
      <c r="CY42" s="46">
        <v>0</v>
      </c>
      <c r="CZ42" s="46">
        <v>0</v>
      </c>
      <c r="DA42" s="46">
        <v>0</v>
      </c>
      <c r="DB42" s="46">
        <v>0</v>
      </c>
      <c r="DC42" s="46">
        <v>0</v>
      </c>
      <c r="DD42" s="46">
        <v>0</v>
      </c>
      <c r="DE42" s="46">
        <v>0</v>
      </c>
      <c r="DF42" s="46">
        <v>0</v>
      </c>
      <c r="DG42" s="46">
        <v>0</v>
      </c>
      <c r="DH42" s="46">
        <v>0</v>
      </c>
      <c r="DI42" s="46">
        <v>0</v>
      </c>
      <c r="DJ42" s="46">
        <v>0</v>
      </c>
      <c r="DK42" s="46">
        <v>0</v>
      </c>
      <c r="DL42" s="46">
        <v>0</v>
      </c>
      <c r="DM42" s="46">
        <v>0</v>
      </c>
      <c r="DN42" s="46">
        <v>0</v>
      </c>
      <c r="DO42" s="46">
        <v>0</v>
      </c>
      <c r="DP42" s="46">
        <v>0</v>
      </c>
      <c r="DQ42" s="46">
        <v>0</v>
      </c>
      <c r="DR42" s="46">
        <v>0</v>
      </c>
      <c r="DS42" s="46">
        <v>0</v>
      </c>
      <c r="DT42" s="46">
        <v>0</v>
      </c>
      <c r="DU42" s="46">
        <v>0</v>
      </c>
      <c r="DV42" s="46">
        <v>0</v>
      </c>
      <c r="DW42" s="46">
        <v>0</v>
      </c>
      <c r="DX42" s="46">
        <v>0</v>
      </c>
      <c r="DY42" s="46">
        <v>0</v>
      </c>
      <c r="DZ42" s="46">
        <v>0</v>
      </c>
      <c r="EA42" s="46">
        <v>0</v>
      </c>
      <c r="EB42" s="46">
        <v>0</v>
      </c>
      <c r="EC42" s="46">
        <v>0</v>
      </c>
      <c r="ED42" s="46">
        <v>0</v>
      </c>
      <c r="EE42" s="46">
        <v>0</v>
      </c>
      <c r="EF42" s="46">
        <v>0</v>
      </c>
      <c r="EG42" s="46">
        <v>0</v>
      </c>
      <c r="EH42" s="46">
        <v>0</v>
      </c>
      <c r="EI42" s="46">
        <v>0</v>
      </c>
      <c r="EJ42" s="46">
        <v>0</v>
      </c>
      <c r="EK42" s="46">
        <v>0</v>
      </c>
      <c r="EL42" s="46">
        <v>0</v>
      </c>
      <c r="EM42" s="46">
        <v>0</v>
      </c>
      <c r="EN42" s="46">
        <v>0</v>
      </c>
      <c r="EO42" s="46">
        <v>0</v>
      </c>
      <c r="EP42" s="46">
        <v>0</v>
      </c>
      <c r="EQ42" s="46">
        <v>0</v>
      </c>
      <c r="ER42" s="46">
        <v>0</v>
      </c>
      <c r="ES42" s="46">
        <v>0</v>
      </c>
      <c r="ET42" s="46">
        <v>0</v>
      </c>
      <c r="EU42" s="46">
        <v>0</v>
      </c>
      <c r="EV42" s="46">
        <v>0</v>
      </c>
      <c r="EW42" s="46">
        <v>0</v>
      </c>
      <c r="EX42" s="46">
        <v>0</v>
      </c>
      <c r="EY42" s="46">
        <v>0</v>
      </c>
      <c r="EZ42" s="46">
        <v>0</v>
      </c>
      <c r="FA42" s="46">
        <v>0</v>
      </c>
      <c r="FB42" s="46">
        <v>0</v>
      </c>
      <c r="FC42" s="46">
        <v>0</v>
      </c>
      <c r="FD42" s="46">
        <v>0</v>
      </c>
      <c r="FE42" s="46">
        <v>0</v>
      </c>
      <c r="FF42" s="46">
        <v>0</v>
      </c>
      <c r="FG42" s="46">
        <v>0</v>
      </c>
      <c r="FH42" s="46">
        <v>0</v>
      </c>
      <c r="FI42" s="46">
        <v>0</v>
      </c>
      <c r="FJ42" s="46">
        <v>0</v>
      </c>
      <c r="FK42" s="46">
        <v>0</v>
      </c>
      <c r="FL42" s="46">
        <v>0</v>
      </c>
      <c r="FM42" s="46">
        <v>0</v>
      </c>
      <c r="FN42" s="46">
        <v>0</v>
      </c>
      <c r="FO42" s="46">
        <v>0</v>
      </c>
      <c r="FP42" s="46">
        <v>0</v>
      </c>
      <c r="FQ42" s="46">
        <v>0</v>
      </c>
      <c r="FR42" s="46">
        <v>0</v>
      </c>
      <c r="FS42" s="46">
        <v>0</v>
      </c>
      <c r="FT42" s="46">
        <v>0</v>
      </c>
      <c r="FU42" s="46">
        <v>0</v>
      </c>
      <c r="FV42" s="46">
        <v>0</v>
      </c>
      <c r="FW42" s="46">
        <v>0</v>
      </c>
      <c r="FX42" s="46">
        <v>0</v>
      </c>
      <c r="FY42" s="46">
        <v>0</v>
      </c>
      <c r="FZ42" s="46">
        <v>0</v>
      </c>
      <c r="GA42" s="46">
        <v>0</v>
      </c>
      <c r="GB42" s="46">
        <v>0</v>
      </c>
      <c r="GC42" s="46">
        <v>0</v>
      </c>
      <c r="GD42" s="46">
        <v>0</v>
      </c>
      <c r="GE42" s="46">
        <v>0</v>
      </c>
      <c r="GF42" s="46">
        <v>0</v>
      </c>
      <c r="GG42" s="46">
        <v>0</v>
      </c>
      <c r="GH42" s="46">
        <v>0</v>
      </c>
      <c r="GI42" s="46">
        <v>0</v>
      </c>
      <c r="GJ42" s="46">
        <v>0</v>
      </c>
      <c r="GK42" s="46">
        <v>0</v>
      </c>
      <c r="GL42" s="46">
        <v>0</v>
      </c>
      <c r="GM42" s="46">
        <v>0</v>
      </c>
      <c r="GN42" s="46">
        <v>0</v>
      </c>
      <c r="GO42" s="46">
        <v>0</v>
      </c>
      <c r="GP42" s="46">
        <v>0</v>
      </c>
      <c r="GQ42" s="46">
        <v>0</v>
      </c>
      <c r="GR42" s="46">
        <v>0</v>
      </c>
      <c r="GS42" s="46">
        <v>0</v>
      </c>
      <c r="GT42" s="46">
        <v>0</v>
      </c>
      <c r="GU42" s="46">
        <v>0</v>
      </c>
      <c r="GV42" s="46">
        <v>0</v>
      </c>
      <c r="GW42" s="46">
        <v>0</v>
      </c>
      <c r="GX42" s="46">
        <v>0</v>
      </c>
      <c r="GY42" s="46">
        <v>0</v>
      </c>
      <c r="GZ42" s="46">
        <v>0</v>
      </c>
      <c r="HA42" s="46">
        <v>0</v>
      </c>
      <c r="HB42" s="46">
        <v>0</v>
      </c>
      <c r="HC42" s="46">
        <v>0</v>
      </c>
      <c r="HD42" s="46">
        <v>0</v>
      </c>
      <c r="HE42" s="46">
        <v>0</v>
      </c>
      <c r="HF42" s="46">
        <v>0</v>
      </c>
      <c r="HG42" s="46">
        <v>0</v>
      </c>
      <c r="HH42" s="46">
        <v>0</v>
      </c>
      <c r="HI42" s="46">
        <v>0</v>
      </c>
      <c r="HJ42" s="46">
        <v>0</v>
      </c>
      <c r="HK42" s="46">
        <v>0</v>
      </c>
      <c r="HL42" s="46">
        <v>0</v>
      </c>
      <c r="HM42" s="46">
        <v>0</v>
      </c>
      <c r="HN42" s="46">
        <v>0</v>
      </c>
      <c r="HO42" s="46">
        <v>0</v>
      </c>
      <c r="HP42" s="46">
        <v>0</v>
      </c>
      <c r="HQ42" s="46">
        <v>0</v>
      </c>
      <c r="HR42" s="46">
        <v>0</v>
      </c>
      <c r="HS42" s="46">
        <v>0</v>
      </c>
      <c r="HT42" s="46">
        <v>0</v>
      </c>
      <c r="HU42" s="46">
        <v>0</v>
      </c>
      <c r="HV42" s="46">
        <v>0</v>
      </c>
      <c r="HW42" s="46">
        <v>0</v>
      </c>
      <c r="HX42" s="46">
        <v>0</v>
      </c>
      <c r="HY42" s="46">
        <v>0</v>
      </c>
      <c r="HZ42" s="46">
        <v>0</v>
      </c>
      <c r="IA42" s="46">
        <v>0</v>
      </c>
      <c r="IB42" s="46">
        <v>0</v>
      </c>
      <c r="IC42" s="46">
        <v>0</v>
      </c>
      <c r="ID42" s="46">
        <v>0</v>
      </c>
      <c r="IE42" s="46">
        <v>0</v>
      </c>
      <c r="IF42" s="46">
        <v>0</v>
      </c>
      <c r="IG42" s="46">
        <v>0</v>
      </c>
      <c r="IH42" s="46">
        <v>0</v>
      </c>
      <c r="II42" s="46">
        <v>0</v>
      </c>
      <c r="IJ42" s="46">
        <v>0</v>
      </c>
      <c r="IK42" s="46">
        <v>0</v>
      </c>
      <c r="IL42" s="46">
        <v>0</v>
      </c>
      <c r="IM42" s="46">
        <v>0</v>
      </c>
      <c r="IN42" s="46">
        <v>0</v>
      </c>
      <c r="IO42" s="46">
        <v>0</v>
      </c>
      <c r="IP42" s="46">
        <v>0</v>
      </c>
      <c r="IQ42" s="46">
        <v>395150</v>
      </c>
      <c r="IR42" s="46">
        <v>0</v>
      </c>
      <c r="IS42" s="46">
        <v>53726</v>
      </c>
      <c r="IT42" s="46">
        <v>0</v>
      </c>
      <c r="IU42" s="46">
        <v>791486</v>
      </c>
      <c r="IV42" s="46">
        <v>33888</v>
      </c>
      <c r="IW42" s="46">
        <v>8732970</v>
      </c>
      <c r="IX42" s="46">
        <v>0</v>
      </c>
      <c r="IY42" s="46">
        <v>0</v>
      </c>
      <c r="IZ42" s="46">
        <v>0</v>
      </c>
      <c r="JA42" s="46">
        <v>0</v>
      </c>
      <c r="JB42" s="46">
        <v>37500</v>
      </c>
      <c r="JC42" s="46">
        <v>0</v>
      </c>
      <c r="JD42" s="46">
        <v>0</v>
      </c>
      <c r="JE42" s="46">
        <v>0</v>
      </c>
      <c r="JF42" s="46">
        <v>0</v>
      </c>
      <c r="JG42" s="46">
        <v>0</v>
      </c>
      <c r="JH42" s="46">
        <v>0</v>
      </c>
      <c r="JI42" s="46">
        <v>61618</v>
      </c>
      <c r="JJ42" s="46">
        <v>0</v>
      </c>
      <c r="JK42" s="46">
        <v>0</v>
      </c>
      <c r="JL42" s="46">
        <v>0</v>
      </c>
      <c r="JM42" s="46">
        <v>5000000</v>
      </c>
      <c r="JN42" s="46">
        <v>0</v>
      </c>
      <c r="JO42" s="46">
        <v>0</v>
      </c>
      <c r="JP42" s="46">
        <v>0</v>
      </c>
      <c r="JQ42" s="46">
        <v>0</v>
      </c>
      <c r="JR42" s="46">
        <v>0</v>
      </c>
      <c r="JS42" s="46">
        <v>0</v>
      </c>
      <c r="JT42" s="46">
        <v>0</v>
      </c>
      <c r="JU42" s="46">
        <v>0</v>
      </c>
      <c r="JV42" s="46">
        <v>0</v>
      </c>
      <c r="JW42" s="46">
        <v>0</v>
      </c>
      <c r="JX42" s="46">
        <v>0</v>
      </c>
      <c r="JY42" s="46">
        <v>0</v>
      </c>
      <c r="JZ42" s="46">
        <v>0</v>
      </c>
      <c r="KA42" s="46">
        <v>0</v>
      </c>
      <c r="KB42" s="46">
        <v>0</v>
      </c>
      <c r="KC42" s="46">
        <v>0</v>
      </c>
      <c r="KD42" s="46">
        <v>0</v>
      </c>
      <c r="KE42" s="46">
        <v>0</v>
      </c>
      <c r="KF42" s="46">
        <v>0</v>
      </c>
      <c r="KG42" s="46">
        <v>0</v>
      </c>
      <c r="KH42" s="46">
        <v>0</v>
      </c>
      <c r="KI42" s="46">
        <v>0</v>
      </c>
      <c r="KJ42" s="46">
        <v>8497</v>
      </c>
      <c r="KK42" s="46">
        <v>0</v>
      </c>
      <c r="KL42" s="46">
        <v>2229</v>
      </c>
      <c r="KM42" s="46">
        <v>0</v>
      </c>
      <c r="KN42" s="46">
        <v>248</v>
      </c>
      <c r="KO42" s="46">
        <v>0</v>
      </c>
      <c r="KP42" s="46">
        <v>54243</v>
      </c>
      <c r="KQ42" s="46">
        <v>0</v>
      </c>
      <c r="KR42" s="46">
        <v>0</v>
      </c>
      <c r="KS42" s="46">
        <v>0</v>
      </c>
      <c r="KT42" s="46">
        <v>0</v>
      </c>
      <c r="KU42" s="46">
        <v>0</v>
      </c>
      <c r="KV42" s="46">
        <v>0</v>
      </c>
      <c r="KW42" s="46">
        <v>0</v>
      </c>
      <c r="KX42" s="46">
        <v>0</v>
      </c>
      <c r="KY42" s="46">
        <v>0</v>
      </c>
      <c r="KZ42" s="46">
        <v>0</v>
      </c>
      <c r="LA42" s="46">
        <v>0</v>
      </c>
      <c r="LB42" s="46">
        <v>0</v>
      </c>
      <c r="LC42" s="46">
        <v>0</v>
      </c>
      <c r="LD42" s="46">
        <v>0</v>
      </c>
      <c r="LE42" s="46">
        <v>0</v>
      </c>
      <c r="LF42" s="46">
        <v>0</v>
      </c>
      <c r="LG42" s="46">
        <v>0</v>
      </c>
      <c r="LH42" s="46">
        <v>0</v>
      </c>
      <c r="LI42" s="46">
        <v>0</v>
      </c>
      <c r="LJ42" s="46">
        <v>0</v>
      </c>
      <c r="LK42" s="46">
        <v>0</v>
      </c>
      <c r="LL42" s="46">
        <v>0</v>
      </c>
      <c r="LM42" s="46">
        <v>0</v>
      </c>
      <c r="LN42" s="46">
        <v>0</v>
      </c>
      <c r="LO42" s="46">
        <v>0</v>
      </c>
      <c r="LP42" s="46">
        <v>0</v>
      </c>
      <c r="LQ42" s="46">
        <v>0</v>
      </c>
      <c r="LR42" s="46">
        <v>0</v>
      </c>
      <c r="LS42" s="46">
        <v>0</v>
      </c>
      <c r="LT42" s="46">
        <v>0</v>
      </c>
      <c r="LU42" s="46">
        <v>0</v>
      </c>
      <c r="LV42" s="46">
        <v>0</v>
      </c>
      <c r="LW42" s="46">
        <v>0</v>
      </c>
      <c r="LX42" s="46">
        <v>0</v>
      </c>
      <c r="LY42" s="46">
        <v>0</v>
      </c>
      <c r="LZ42" s="46">
        <v>0</v>
      </c>
      <c r="MA42" s="46">
        <v>0</v>
      </c>
      <c r="MB42" s="46">
        <v>0</v>
      </c>
      <c r="MC42" s="46">
        <v>0</v>
      </c>
      <c r="MD42" s="46">
        <v>0</v>
      </c>
      <c r="ME42" s="46">
        <v>0</v>
      </c>
      <c r="MF42" s="46">
        <v>0</v>
      </c>
      <c r="MG42" s="46">
        <v>0</v>
      </c>
      <c r="MH42" s="46">
        <v>0</v>
      </c>
      <c r="MI42" s="46">
        <v>0</v>
      </c>
      <c r="MJ42" s="46">
        <v>0</v>
      </c>
      <c r="MK42" s="46">
        <v>0</v>
      </c>
      <c r="ML42" s="46">
        <v>0</v>
      </c>
      <c r="MM42" s="46">
        <v>0</v>
      </c>
      <c r="MN42" s="46">
        <v>8125</v>
      </c>
      <c r="MO42" s="46">
        <v>0</v>
      </c>
      <c r="MP42" s="46">
        <v>0</v>
      </c>
      <c r="MQ42" s="46">
        <v>0</v>
      </c>
      <c r="MR42" s="46">
        <v>0</v>
      </c>
      <c r="MS42" s="46">
        <v>0</v>
      </c>
      <c r="MT42" s="46">
        <v>1730507</v>
      </c>
      <c r="MU42" s="46">
        <v>12437717</v>
      </c>
      <c r="MV42" s="46">
        <v>0</v>
      </c>
      <c r="MW42" s="46">
        <v>75000</v>
      </c>
      <c r="MX42" s="46">
        <v>0</v>
      </c>
      <c r="MY42" s="46">
        <v>11400</v>
      </c>
      <c r="MZ42" s="46">
        <v>0</v>
      </c>
      <c r="NA42" s="46">
        <v>0</v>
      </c>
      <c r="NB42" s="46">
        <v>0</v>
      </c>
      <c r="NC42" s="46">
        <v>0</v>
      </c>
      <c r="ND42" s="46">
        <v>228292</v>
      </c>
      <c r="NE42" s="46">
        <v>0</v>
      </c>
      <c r="NF42" s="46">
        <v>0</v>
      </c>
      <c r="NG42" s="46">
        <v>0</v>
      </c>
      <c r="NH42" s="46">
        <v>0</v>
      </c>
      <c r="NI42" s="46">
        <v>0</v>
      </c>
      <c r="NJ42" s="46">
        <v>0</v>
      </c>
      <c r="NK42" s="46">
        <v>0</v>
      </c>
      <c r="NL42" s="46">
        <v>0</v>
      </c>
      <c r="NM42" s="46">
        <v>0</v>
      </c>
      <c r="NN42" s="46">
        <v>0</v>
      </c>
      <c r="NO42" s="46">
        <v>72000</v>
      </c>
      <c r="NP42" s="46">
        <v>0</v>
      </c>
      <c r="NQ42" s="46">
        <v>0</v>
      </c>
      <c r="NR42" s="46">
        <v>0</v>
      </c>
      <c r="NS42" s="46">
        <v>0</v>
      </c>
      <c r="NT42" s="46">
        <v>0</v>
      </c>
      <c r="NU42" s="46">
        <v>0</v>
      </c>
      <c r="NV42" s="46">
        <v>0</v>
      </c>
      <c r="NW42" s="46">
        <v>0</v>
      </c>
      <c r="NX42" s="46">
        <v>0</v>
      </c>
      <c r="NY42" s="46">
        <v>0</v>
      </c>
      <c r="NZ42" s="46">
        <v>0</v>
      </c>
      <c r="OA42" s="46">
        <v>0</v>
      </c>
      <c r="OB42" s="46">
        <v>0</v>
      </c>
      <c r="OC42" s="46">
        <v>0</v>
      </c>
      <c r="OD42" s="46">
        <v>0</v>
      </c>
      <c r="OE42" s="46">
        <v>0</v>
      </c>
      <c r="OF42" s="46">
        <v>0</v>
      </c>
      <c r="OG42" s="46">
        <v>0</v>
      </c>
      <c r="OH42" s="46">
        <v>0</v>
      </c>
      <c r="OI42" s="46">
        <v>0</v>
      </c>
      <c r="OJ42" s="46">
        <v>0</v>
      </c>
      <c r="OK42" s="46">
        <v>0</v>
      </c>
      <c r="OL42" s="46">
        <v>0</v>
      </c>
      <c r="OM42" s="46">
        <v>0</v>
      </c>
      <c r="ON42" s="46">
        <v>15305</v>
      </c>
      <c r="OO42" s="46">
        <v>0</v>
      </c>
      <c r="OP42" s="46">
        <v>3852</v>
      </c>
      <c r="OQ42" s="46">
        <v>0</v>
      </c>
      <c r="OR42" s="46">
        <v>32494</v>
      </c>
      <c r="OS42" s="46">
        <v>1463</v>
      </c>
      <c r="OT42" s="46">
        <v>73066</v>
      </c>
      <c r="OU42" s="46">
        <v>0</v>
      </c>
      <c r="OV42" s="46">
        <v>0</v>
      </c>
      <c r="OW42" s="46">
        <v>0</v>
      </c>
      <c r="OX42" s="46">
        <v>0</v>
      </c>
      <c r="OY42" s="46">
        <v>0</v>
      </c>
      <c r="OZ42" s="46">
        <v>0</v>
      </c>
      <c r="PA42" s="46">
        <v>0</v>
      </c>
      <c r="PB42" s="46">
        <v>-5071861</v>
      </c>
      <c r="PC42" s="46">
        <v>0</v>
      </c>
      <c r="PD42" s="46">
        <v>0</v>
      </c>
      <c r="PE42" s="46">
        <v>67581301</v>
      </c>
      <c r="PF42" s="46">
        <v>11716629</v>
      </c>
      <c r="PG42" s="46">
        <v>0</v>
      </c>
      <c r="PH42" s="46">
        <v>-13500</v>
      </c>
      <c r="PI42" s="46">
        <v>0</v>
      </c>
      <c r="PJ42" s="46">
        <v>-1530000</v>
      </c>
      <c r="PK42" s="46">
        <v>1996093</v>
      </c>
      <c r="PL42" s="46">
        <v>-118308055</v>
      </c>
      <c r="PM42" s="46">
        <v>5071861</v>
      </c>
      <c r="PN42" s="46">
        <v>0</v>
      </c>
      <c r="PO42" s="46">
        <v>0</v>
      </c>
      <c r="PP42" s="46">
        <v>0</v>
      </c>
      <c r="PQ42" s="46">
        <v>0</v>
      </c>
      <c r="PR42" s="46">
        <v>0</v>
      </c>
      <c r="PS42" s="46">
        <v>0</v>
      </c>
      <c r="PT42" s="46">
        <v>0</v>
      </c>
      <c r="PU42" s="46">
        <v>0</v>
      </c>
      <c r="PV42" s="46">
        <v>0</v>
      </c>
      <c r="PW42" s="46">
        <v>-15890601</v>
      </c>
      <c r="PX42" s="46">
        <v>0</v>
      </c>
      <c r="PY42" s="46">
        <v>0</v>
      </c>
      <c r="PZ42" s="46">
        <v>0</v>
      </c>
      <c r="QA42" s="46">
        <v>0</v>
      </c>
      <c r="QB42" s="46">
        <v>0</v>
      </c>
      <c r="QC42" s="46">
        <v>0</v>
      </c>
      <c r="QD42" s="46">
        <v>-37196497</v>
      </c>
      <c r="QE42" s="46">
        <v>0</v>
      </c>
      <c r="QF42" s="46">
        <v>0</v>
      </c>
      <c r="QG42" s="46">
        <v>334529</v>
      </c>
      <c r="QH42" s="46">
        <v>0</v>
      </c>
      <c r="QI42" s="46">
        <v>128905</v>
      </c>
      <c r="QJ42" s="46">
        <v>0</v>
      </c>
      <c r="QK42" s="46">
        <v>760585</v>
      </c>
      <c r="QL42" s="46">
        <v>0</v>
      </c>
      <c r="QM42" s="46">
        <v>0</v>
      </c>
      <c r="QN42" s="46">
        <v>0</v>
      </c>
      <c r="QO42" s="46">
        <v>0</v>
      </c>
      <c r="QP42" s="46">
        <v>0</v>
      </c>
      <c r="QQ42" s="46">
        <v>0</v>
      </c>
      <c r="QR42" s="46">
        <v>0</v>
      </c>
      <c r="QS42" s="46">
        <v>0</v>
      </c>
      <c r="QT42" s="46">
        <v>0</v>
      </c>
      <c r="QU42" s="46">
        <v>0</v>
      </c>
      <c r="QV42" s="46">
        <v>0</v>
      </c>
      <c r="QW42" s="46">
        <v>0</v>
      </c>
      <c r="QX42" s="46">
        <v>-52670700</v>
      </c>
      <c r="QY42" s="46">
        <v>0</v>
      </c>
      <c r="QZ42" s="46">
        <v>0</v>
      </c>
      <c r="RA42" s="46">
        <v>0</v>
      </c>
      <c r="RB42" s="46">
        <v>0</v>
      </c>
      <c r="RC42" s="46">
        <v>0</v>
      </c>
      <c r="RD42" s="46">
        <v>0</v>
      </c>
      <c r="RE42" s="46">
        <v>52670700</v>
      </c>
      <c r="RF42" s="46">
        <v>0</v>
      </c>
      <c r="RG42" s="46">
        <v>0</v>
      </c>
      <c r="RH42" s="46">
        <v>0</v>
      </c>
      <c r="RI42" s="46">
        <v>0</v>
      </c>
      <c r="RJ42" s="46">
        <v>0</v>
      </c>
      <c r="RK42" s="46">
        <v>0</v>
      </c>
      <c r="RL42" s="46">
        <v>0</v>
      </c>
      <c r="RM42" s="46">
        <v>0</v>
      </c>
      <c r="RN42" s="46">
        <v>0</v>
      </c>
      <c r="RO42" s="46">
        <v>-349103</v>
      </c>
      <c r="RP42" s="46">
        <v>0</v>
      </c>
      <c r="RQ42" s="46">
        <v>0</v>
      </c>
      <c r="RR42" s="46">
        <v>0</v>
      </c>
      <c r="RS42" s="46">
        <v>0</v>
      </c>
      <c r="RT42" s="46">
        <v>0</v>
      </c>
      <c r="RU42" s="46">
        <v>0</v>
      </c>
      <c r="RV42" s="46">
        <v>0</v>
      </c>
      <c r="RW42" s="46">
        <v>0</v>
      </c>
      <c r="RX42" s="46">
        <v>0</v>
      </c>
      <c r="RY42" s="46">
        <v>0</v>
      </c>
      <c r="RZ42" s="46">
        <v>0</v>
      </c>
      <c r="SA42" s="46">
        <v>0</v>
      </c>
      <c r="SB42" s="46">
        <v>0</v>
      </c>
      <c r="SC42" s="46">
        <v>0</v>
      </c>
      <c r="SD42" s="46">
        <v>0</v>
      </c>
      <c r="SE42" s="46">
        <v>0</v>
      </c>
      <c r="SF42" s="46">
        <v>0</v>
      </c>
      <c r="SG42" s="46">
        <v>0</v>
      </c>
      <c r="SH42" s="46">
        <v>0</v>
      </c>
      <c r="SI42" s="46">
        <v>0</v>
      </c>
      <c r="SJ42" s="46">
        <v>0</v>
      </c>
      <c r="SK42" s="46">
        <v>0</v>
      </c>
      <c r="SL42" s="46">
        <v>0</v>
      </c>
      <c r="SM42" s="46">
        <v>0</v>
      </c>
      <c r="SN42" s="46">
        <v>0</v>
      </c>
      <c r="SO42" s="46">
        <v>0</v>
      </c>
      <c r="SP42" s="46">
        <v>0</v>
      </c>
      <c r="SQ42" s="46">
        <v>0</v>
      </c>
      <c r="SR42" s="46">
        <v>0</v>
      </c>
      <c r="SS42" s="46">
        <v>0</v>
      </c>
      <c r="ST42" s="46">
        <v>0</v>
      </c>
      <c r="SU42" s="46">
        <v>0</v>
      </c>
      <c r="SV42" s="46">
        <v>0</v>
      </c>
      <c r="SW42" s="46">
        <v>5071861</v>
      </c>
      <c r="SX42" s="46">
        <v>0</v>
      </c>
      <c r="SY42" s="46">
        <v>0</v>
      </c>
      <c r="SZ42" s="46">
        <v>0</v>
      </c>
      <c r="TA42" s="46">
        <v>0</v>
      </c>
      <c r="TB42" s="46">
        <v>0</v>
      </c>
      <c r="TC42" s="46">
        <v>0</v>
      </c>
      <c r="TD42" s="46">
        <v>0</v>
      </c>
      <c r="TE42" s="46">
        <v>0</v>
      </c>
      <c r="TF42" s="46">
        <v>0</v>
      </c>
      <c r="TG42" s="46">
        <v>0</v>
      </c>
      <c r="TH42" s="46">
        <v>0</v>
      </c>
      <c r="TI42" s="46">
        <v>0</v>
      </c>
      <c r="TJ42" s="46">
        <v>0</v>
      </c>
      <c r="TK42" s="46">
        <v>0</v>
      </c>
      <c r="TL42" s="46">
        <v>0</v>
      </c>
      <c r="TM42" s="46">
        <v>0</v>
      </c>
      <c r="TN42" s="46">
        <v>0</v>
      </c>
      <c r="TO42" s="46">
        <v>0</v>
      </c>
      <c r="TP42" s="46">
        <v>0</v>
      </c>
      <c r="TQ42" s="46">
        <v>0</v>
      </c>
      <c r="TR42" s="46">
        <v>0</v>
      </c>
      <c r="TS42" s="46">
        <v>0</v>
      </c>
      <c r="TT42" s="46">
        <v>0</v>
      </c>
      <c r="TU42" s="46">
        <v>0</v>
      </c>
      <c r="TV42" s="46">
        <v>0</v>
      </c>
      <c r="TW42" s="46">
        <v>0</v>
      </c>
      <c r="TX42" s="46">
        <v>0</v>
      </c>
      <c r="TY42" s="46">
        <v>0</v>
      </c>
      <c r="TZ42" s="46">
        <v>0</v>
      </c>
      <c r="UA42" s="46">
        <v>0</v>
      </c>
      <c r="UB42" s="46">
        <v>0</v>
      </c>
      <c r="UC42" s="46">
        <v>0</v>
      </c>
      <c r="UD42" s="46">
        <v>0</v>
      </c>
      <c r="UE42" s="46">
        <v>0</v>
      </c>
      <c r="UF42" s="46">
        <v>0</v>
      </c>
      <c r="UG42" s="46">
        <v>0</v>
      </c>
      <c r="UH42" s="46">
        <v>0</v>
      </c>
      <c r="UI42" s="46">
        <v>0</v>
      </c>
      <c r="UJ42" s="46">
        <v>8125</v>
      </c>
      <c r="UK42" s="46">
        <v>14254624</v>
      </c>
      <c r="UL42" s="46">
        <v>228292</v>
      </c>
      <c r="UM42" s="46">
        <v>72000</v>
      </c>
      <c r="UN42" s="46">
        <v>0</v>
      </c>
      <c r="UO42" s="46" t="s">
        <v>106</v>
      </c>
      <c r="UP42" s="46" t="s">
        <v>106</v>
      </c>
      <c r="UQ42" s="46"/>
      <c r="UR42" s="46"/>
      <c r="US42" s="8" t="s">
        <v>1264</v>
      </c>
      <c r="UT42" s="47">
        <v>5124636412</v>
      </c>
      <c r="UU42" s="8" t="s">
        <v>1265</v>
      </c>
      <c r="UV42" s="8" t="s">
        <v>1266</v>
      </c>
      <c r="UW42" s="47" t="s">
        <v>1267</v>
      </c>
      <c r="UX42" s="8" t="s">
        <v>1268</v>
      </c>
      <c r="UY42" s="51" t="str" cm="1">
        <f t="array" ref="UY42">IFERROR(_xlfn.IFS(Input[[#This Row],[Type]]="HRI",SUMIFS('FTSE | FTFE'!$P$8:$P$77,'FTSE | FTFE'!$H$8:$H$77,A42),Input[[#This Row],[Type]]="UNIV",SUMIFS('FTSE | FTFE'!$P$104:$P$139,'FTSE | FTFE'!$H$104:$H$139,A42),OR(Input[[#This Row],[Type]]="TSTC",Input[[#This Row],[Type]]="LSC"),SUMIFS('FTSE | FTFE'!$O$88:$O$96,'FTSE | FTFE'!$H$88:$H$96,A42),Input[[#This Row],[Type]]="AHM",SUMIFS(Hidden!$H$42:$H$45,Hidden!$G$42:$G$45,A42)),"N/A")</f>
        <v>N/A</v>
      </c>
      <c r="UZ42" s="51" t="str" cm="1">
        <f t="array" ref="UZ42">IFERROR(_xlfn.IFS(Input[[#This Row],[Type]]="HRI",SUMIFS('FTSE | FTFE'!$Q$8:$Q$77,'FTSE | FTFE'!$H$8:$H$77,A42),Input[[#This Row],[Type]]="UNIV",SUMIFS('FTSE | FTFE'!$Q$104:$Q$139,'FTSE | FTFE'!$H$104:$H$139,A42),OR(Input[[#This Row],[Type]]="TSTC",Input[[#This Row],[Type]]="LSC"),SUMIFS('FTSE | FTFE'!$P$88:$P$96,'FTSE | FTFE'!$H$88:$H$96,A42)),"N/A")</f>
        <v>N/A</v>
      </c>
      <c r="VA4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2718840</v>
      </c>
      <c r="VB4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42" s="46">
        <f>SUM(Input[[#This Row],[Fed G&amp;C E&amp;G]],Input[[#This Row],[Fed G&amp;C Desg]],Input[[#This Row],[Fed G&amp;C R Exp]],Input[[#This Row],[Fed G&amp;C Loan]],Input[[#This Row],[Fed G&amp;C Annuity]],Input[[#This Row],[Fed G&amp;C Unexp]],Input[[#This Row],[Fed G&amp;C R of Ind]],Input[[#This Row],[Fed G&amp;C Inv in P]])</f>
        <v>0</v>
      </c>
      <c r="VD4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15171555</v>
      </c>
      <c r="VE4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4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42" s="46">
        <f>SUM(Input[[#This Row],[Oth Inc E&amp;G]],Input[[#This Row],[Oth Exp Desg]],Input[[#This Row],[Oth Exp R Exp]],Input[[#This Row],[Oth Exp Loan]],Input[[#This Row],[Oth Exp Annuity]],Input[[#This Row],[Oth Exp Unexp]],Input[[#This Row],[Oth Exp R of Ind]],Input[[#This Row],[Oth Exp Inv in P]])</f>
        <v>126180</v>
      </c>
      <c r="VH42" s="46">
        <f>SUM(Input[[#This Row],[Instr E&amp;G]],Input[[#This Row],[Instr Desg]],Input[[#This Row],[Instr R Exp]],Input[[#This Row],[Instr Loan]],Input[[#This Row],[Instr Annuity]],Input[[#This Row],[Instr Unexp]],Input[[#This Row],[Instr R of Ind]],Input[[#This Row],[Instr Inv in P]])</f>
        <v>0</v>
      </c>
      <c r="VI42" s="46">
        <f>SUM(Input[[#This Row],[Res E&amp;G]],Input[[#This Row],[Res Desg]],Input[[#This Row],[Res R Exp]],Input[[#This Row],[Res Loan]],Input[[#This Row],[Res Annuity]],Input[[#This Row],[Res Unexp]],Input[[#This Row],[Res R of Ind]],Input[[#This Row],[Res Inv in P]])</f>
        <v>0</v>
      </c>
      <c r="VJ42" s="46">
        <f>SUM(Input[[#This Row],[Acad Sup E&amp;G]],Input[[#This Row],[Acad Sup Desg]],Input[[#This Row],[Acad Sup R Exp]],Input[[#This Row],[Acad Sup Loan]],Input[[#This Row],[Acad Sup Annuity]],Input[[#This Row],[Acad Sup Unexp]],Input[[#This Row],[Acad Sup R of Ind]],Input[[#This Row],[Acad Sup Inv in P]])</f>
        <v>0</v>
      </c>
      <c r="VK42" s="46">
        <f>SUM(Input[[#This Row],[Stu Svc E&amp;G]],Input[[#This Row],[Stu Svc Desg]],Input[[#This Row],[Stu Svc R Exp]],Input[[#This Row],[Stu Svc Loan]],Input[[#This Row],[Stu Svc Annuity]],Input[[#This Row],[Stu Svc Unexp]],Input[[#This Row],[Stu Svc R of Ind]],Input[[#This Row],[Stu Svc Inv in P]])</f>
        <v>8125</v>
      </c>
      <c r="VL42" s="46">
        <f>SUM(Input[[#This Row],[Inst. Spt E&amp;G]],Input[[#This Row],[Inst. Spt Desg]],Input[[#This Row],[Inst. Spt R Exp]],Input[[#This Row],[Inst. Spt Loan]],Input[[#This Row],[Inst. Spt Annuity]],Input[[#This Row],[Inst. Spt Unexp]],Input[[#This Row],[Inst. Spt R of Ind]],Input[[#This Row],[Inst. Spt Inv in P]])</f>
        <v>14254624</v>
      </c>
      <c r="VM42" s="46">
        <f>SUM(Input[[#This Row],[M&amp;O Plnt E&amp;G]],Input[[#This Row],[M&amp;O Plnt Desg]],Input[[#This Row],[M&amp;O Plnt R Exp]],Input[[#This Row],[M&amp;O Plnt Loan]],Input[[#This Row],[M&amp;O Plnt Annuity]],Input[[#This Row],[M&amp;O Plnt Unexp]],Input[[#This Row],[M&amp;O Plnt R of Ind]],Input[[#This Row],[M&amp;O Plnt Inv in P]])</f>
        <v>228292</v>
      </c>
      <c r="VN42" s="46">
        <f>SUM(Input[[#This Row],[Schl &amp; Fell E&amp;G]],Input[[#This Row],[Schl &amp; Fell Desg]],Input[[#This Row],[Schl &amp; Fell R Exp]],Input[[#This Row],[Schl &amp; Fell Loan]],Input[[#This Row],[Schl &amp; Fell Annuity]],Input[[#This Row],[Schl &amp; Fell Unexp]],Input[[#This Row],[Schl &amp; Fell R of Ind]],Input[[#This Row],[Schl &amp; Fell Inv in P]])</f>
        <v>72000</v>
      </c>
      <c r="VO42" s="46">
        <f>SUM(Input[[#This Row],[Cap Out fund E&amp;G]],Input[[#This Row],[Cap Out fund Desg]],Input[[#This Row],[Cap Out fund R Exp]],Input[[#This Row],[Cap Out fund Loan]],Input[[#This Row],[Cap Out fund Annuity]],Input[[#This Row],[Cap Out fund Unexp]],Input[[#This Row],[Cap Out fund R of Ind]],Input[[#This Row],[Cap Out fund Inv in P]])</f>
        <v>0</v>
      </c>
      <c r="VP42" s="46">
        <f>SUM(Input[[#This Row],[Oth Exp E&amp;G]],Input[[#This Row],[Oth Exp Desg]],Input[[#This Row],[Oth Exp R Exp]],Input[[#This Row],[Oth Exp Loan]],Input[[#This Row],[Oth Exp Annuity]],Input[[#This Row],[Oth Exp Unexp]],Input[[#This Row],[Oth Exp R of Ind]],Input[[#This Row],[Oth Exp Inv in P]],Input[[#This Row],[Oth Exp Inv in P]])</f>
        <v>126180</v>
      </c>
    </row>
    <row r="43" spans="1:588" ht="30" customHeight="1" x14ac:dyDescent="0.3">
      <c r="A43" s="15" t="s">
        <v>20</v>
      </c>
      <c r="B43" s="36" t="s">
        <v>114</v>
      </c>
      <c r="C43" s="36" t="s">
        <v>110</v>
      </c>
      <c r="D43" s="36">
        <v>801</v>
      </c>
      <c r="E43" s="36" t="s">
        <v>132</v>
      </c>
      <c r="F43" s="95" cm="1">
        <f t="array" ref="F43">IFERROR(_xlfn.IFS(Input[[#This Row],[Type]]="HRI",SUMIFS('FTSE | FTFE'!$I$8:$I$77,'FTSE | FTFE'!$H$8:$H$77,A43),Input[[#This Row],[Type]]="UNIV",SUMIFS('FTSE | FTFE'!$I$104:$I$139,'FTSE | FTFE'!$H$104:$H$139,A43),OR(Input[[#This Row],[Type]]="TSTC",Input[[#This Row],[Type]]="LSC"),SUMIFS('FTSE | FTFE'!$I$88:$I$96,'FTSE | FTFE'!$H$88:$H$96,A43)),"N/A")</f>
        <v>3581</v>
      </c>
      <c r="G43" s="46">
        <v>105606363</v>
      </c>
      <c r="H43" s="46">
        <v>0</v>
      </c>
      <c r="I43" s="46">
        <v>0</v>
      </c>
      <c r="J43" s="46">
        <v>0</v>
      </c>
      <c r="K43" s="46">
        <v>0</v>
      </c>
      <c r="L43" s="46">
        <v>0</v>
      </c>
      <c r="M43" s="46">
        <v>0</v>
      </c>
      <c r="N43" s="46">
        <v>0</v>
      </c>
      <c r="O43" s="46">
        <v>0</v>
      </c>
      <c r="P43" s="46">
        <v>1073414</v>
      </c>
      <c r="Q43" s="46">
        <v>4158631</v>
      </c>
      <c r="R43" s="46">
        <v>0</v>
      </c>
      <c r="S43" s="46">
        <v>8193240</v>
      </c>
      <c r="T43" s="46">
        <v>0</v>
      </c>
      <c r="U43" s="46">
        <v>0</v>
      </c>
      <c r="V43" s="46">
        <v>0</v>
      </c>
      <c r="W43" s="46">
        <v>0</v>
      </c>
      <c r="X43" s="46">
        <v>0</v>
      </c>
      <c r="Y43" s="46">
        <v>13537649</v>
      </c>
      <c r="Z43" s="46">
        <v>0</v>
      </c>
      <c r="AA43" s="46">
        <v>0</v>
      </c>
      <c r="AB43" s="46">
        <v>0</v>
      </c>
      <c r="AC43" s="46">
        <v>0</v>
      </c>
      <c r="AD43" s="46">
        <v>0</v>
      </c>
      <c r="AE43" s="46">
        <v>0</v>
      </c>
      <c r="AF43" s="46">
        <v>0</v>
      </c>
      <c r="AG43" s="46">
        <v>0</v>
      </c>
      <c r="AH43" s="46">
        <v>0</v>
      </c>
      <c r="AI43" s="46">
        <v>0</v>
      </c>
      <c r="AJ43" s="46">
        <v>0</v>
      </c>
      <c r="AK43" s="46">
        <v>0</v>
      </c>
      <c r="AL43" s="46">
        <v>0</v>
      </c>
      <c r="AM43" s="46">
        <v>0</v>
      </c>
      <c r="AN43" s="46">
        <v>0</v>
      </c>
      <c r="AO43" s="46">
        <v>0</v>
      </c>
      <c r="AP43" s="46">
        <v>0</v>
      </c>
      <c r="AQ43" s="46">
        <v>-8004151</v>
      </c>
      <c r="AR43" s="46">
        <v>-81296</v>
      </c>
      <c r="AS43" s="46">
        <v>0</v>
      </c>
      <c r="AT43" s="46">
        <v>0</v>
      </c>
      <c r="AU43" s="46">
        <v>0</v>
      </c>
      <c r="AV43" s="46">
        <v>0</v>
      </c>
      <c r="AW43" s="46">
        <v>0</v>
      </c>
      <c r="AX43" s="46">
        <v>0</v>
      </c>
      <c r="AY43" s="46">
        <v>0</v>
      </c>
      <c r="AZ43" s="46">
        <v>0</v>
      </c>
      <c r="BA43" s="46">
        <v>0</v>
      </c>
      <c r="BB43" s="46">
        <v>0</v>
      </c>
      <c r="BC43" s="46">
        <v>0</v>
      </c>
      <c r="BD43" s="46">
        <v>0</v>
      </c>
      <c r="BE43" s="46">
        <v>0</v>
      </c>
      <c r="BF43" s="46">
        <v>0</v>
      </c>
      <c r="BG43" s="46">
        <v>0</v>
      </c>
      <c r="BH43" s="46">
        <v>0</v>
      </c>
      <c r="BI43" s="46">
        <v>0</v>
      </c>
      <c r="BJ43" s="46">
        <v>0</v>
      </c>
      <c r="BK43" s="46">
        <v>0</v>
      </c>
      <c r="BL43" s="46">
        <v>0</v>
      </c>
      <c r="BM43" s="46">
        <v>0</v>
      </c>
      <c r="BN43" s="46">
        <v>0</v>
      </c>
      <c r="BO43" s="46">
        <v>0</v>
      </c>
      <c r="BP43" s="46">
        <v>0</v>
      </c>
      <c r="BQ43" s="46">
        <v>0</v>
      </c>
      <c r="BR43" s="46">
        <v>0</v>
      </c>
      <c r="BS43" s="46">
        <v>0</v>
      </c>
      <c r="BT43" s="46">
        <v>0</v>
      </c>
      <c r="BU43" s="46">
        <v>0</v>
      </c>
      <c r="BV43" s="46">
        <v>0</v>
      </c>
      <c r="BW43" s="46">
        <v>0</v>
      </c>
      <c r="BX43" s="46">
        <v>0</v>
      </c>
      <c r="BY43" s="46">
        <v>0</v>
      </c>
      <c r="BZ43" s="46">
        <v>0</v>
      </c>
      <c r="CA43" s="46">
        <v>23190251</v>
      </c>
      <c r="CB43" s="46">
        <v>85914480</v>
      </c>
      <c r="CC43" s="46">
        <v>0</v>
      </c>
      <c r="CD43" s="46">
        <v>0</v>
      </c>
      <c r="CE43" s="46">
        <v>0</v>
      </c>
      <c r="CF43" s="46">
        <v>0</v>
      </c>
      <c r="CG43" s="46">
        <v>0</v>
      </c>
      <c r="CH43" s="46">
        <v>0</v>
      </c>
      <c r="CI43" s="46">
        <v>0</v>
      </c>
      <c r="CJ43" s="46">
        <v>0</v>
      </c>
      <c r="CK43" s="46">
        <v>0</v>
      </c>
      <c r="CL43" s="46">
        <v>0</v>
      </c>
      <c r="CM43" s="46">
        <v>0</v>
      </c>
      <c r="CN43" s="46">
        <v>0</v>
      </c>
      <c r="CO43" s="46">
        <v>0</v>
      </c>
      <c r="CP43" s="46">
        <v>0</v>
      </c>
      <c r="CQ43" s="46">
        <v>0</v>
      </c>
      <c r="CR43" s="46">
        <v>0</v>
      </c>
      <c r="CS43" s="46">
        <v>0</v>
      </c>
      <c r="CT43" s="46">
        <v>0</v>
      </c>
      <c r="CU43" s="46">
        <v>0</v>
      </c>
      <c r="CV43" s="46">
        <v>0</v>
      </c>
      <c r="CW43" s="46">
        <v>0</v>
      </c>
      <c r="CX43" s="46">
        <v>0</v>
      </c>
      <c r="CY43" s="46">
        <v>0</v>
      </c>
      <c r="CZ43" s="46">
        <v>0</v>
      </c>
      <c r="DA43" s="46">
        <v>0</v>
      </c>
      <c r="DB43" s="46">
        <v>-943673</v>
      </c>
      <c r="DC43" s="46">
        <v>-5365047</v>
      </c>
      <c r="DD43" s="46">
        <v>0</v>
      </c>
      <c r="DE43" s="46">
        <v>0</v>
      </c>
      <c r="DF43" s="46">
        <v>0</v>
      </c>
      <c r="DG43" s="46">
        <v>0</v>
      </c>
      <c r="DH43" s="46">
        <v>0</v>
      </c>
      <c r="DI43" s="46">
        <v>0</v>
      </c>
      <c r="DJ43" s="46">
        <v>0</v>
      </c>
      <c r="DK43" s="46">
        <v>0</v>
      </c>
      <c r="DL43" s="46">
        <v>0</v>
      </c>
      <c r="DM43" s="46">
        <v>0</v>
      </c>
      <c r="DN43" s="46">
        <v>0</v>
      </c>
      <c r="DO43" s="46">
        <v>0</v>
      </c>
      <c r="DP43" s="46">
        <v>0</v>
      </c>
      <c r="DQ43" s="46">
        <v>0</v>
      </c>
      <c r="DR43" s="46">
        <v>0</v>
      </c>
      <c r="DS43" s="46">
        <v>0</v>
      </c>
      <c r="DT43" s="46">
        <v>-12257036</v>
      </c>
      <c r="DU43" s="46">
        <v>-30474220</v>
      </c>
      <c r="DV43" s="46">
        <v>0</v>
      </c>
      <c r="DW43" s="46">
        <v>0</v>
      </c>
      <c r="DX43" s="46">
        <v>0</v>
      </c>
      <c r="DY43" s="46">
        <v>0</v>
      </c>
      <c r="DZ43" s="46">
        <v>0</v>
      </c>
      <c r="EA43" s="46">
        <v>0</v>
      </c>
      <c r="EB43" s="46">
        <v>0</v>
      </c>
      <c r="EC43" s="46">
        <v>0</v>
      </c>
      <c r="ED43" s="46">
        <v>0</v>
      </c>
      <c r="EE43" s="46">
        <v>-11777</v>
      </c>
      <c r="EF43" s="46">
        <v>0</v>
      </c>
      <c r="EG43" s="46">
        <v>0</v>
      </c>
      <c r="EH43" s="46">
        <v>0</v>
      </c>
      <c r="EI43" s="46">
        <v>0</v>
      </c>
      <c r="EJ43" s="46">
        <v>0</v>
      </c>
      <c r="EK43" s="46">
        <v>0</v>
      </c>
      <c r="EL43" s="46">
        <v>0</v>
      </c>
      <c r="EM43" s="46">
        <v>0</v>
      </c>
      <c r="EN43" s="46">
        <v>0</v>
      </c>
      <c r="EO43" s="46">
        <v>0</v>
      </c>
      <c r="EP43" s="46">
        <v>0</v>
      </c>
      <c r="EQ43" s="46">
        <v>0</v>
      </c>
      <c r="ER43" s="46">
        <v>0</v>
      </c>
      <c r="ES43" s="46">
        <v>0</v>
      </c>
      <c r="ET43" s="46">
        <v>0</v>
      </c>
      <c r="EU43" s="46">
        <v>0</v>
      </c>
      <c r="EV43" s="46">
        <v>0</v>
      </c>
      <c r="EW43" s="46">
        <v>0</v>
      </c>
      <c r="EX43" s="46">
        <v>0</v>
      </c>
      <c r="EY43" s="46">
        <v>0</v>
      </c>
      <c r="EZ43" s="46">
        <v>0</v>
      </c>
      <c r="FA43" s="46">
        <v>0</v>
      </c>
      <c r="FB43" s="46">
        <v>0</v>
      </c>
      <c r="FC43" s="46">
        <v>0</v>
      </c>
      <c r="FD43" s="46">
        <v>0</v>
      </c>
      <c r="FE43" s="46">
        <v>0</v>
      </c>
      <c r="FF43" s="46">
        <v>0</v>
      </c>
      <c r="FG43" s="46">
        <v>0</v>
      </c>
      <c r="FH43" s="46">
        <v>0</v>
      </c>
      <c r="FI43" s="46">
        <v>0</v>
      </c>
      <c r="FJ43" s="46">
        <v>0</v>
      </c>
      <c r="FK43" s="46">
        <v>0</v>
      </c>
      <c r="FL43" s="46">
        <v>0</v>
      </c>
      <c r="FM43" s="46">
        <v>16335</v>
      </c>
      <c r="FN43" s="46">
        <v>34678103</v>
      </c>
      <c r="FO43" s="46">
        <v>11662906</v>
      </c>
      <c r="FP43" s="46">
        <v>0</v>
      </c>
      <c r="FQ43" s="46">
        <v>0</v>
      </c>
      <c r="FR43" s="46">
        <v>0</v>
      </c>
      <c r="FS43" s="46">
        <v>0</v>
      </c>
      <c r="FT43" s="46">
        <v>0</v>
      </c>
      <c r="FU43" s="46">
        <v>0</v>
      </c>
      <c r="FV43" s="46">
        <v>0</v>
      </c>
      <c r="FW43" s="46">
        <v>0</v>
      </c>
      <c r="FX43" s="46">
        <v>0</v>
      </c>
      <c r="FY43" s="46">
        <v>0</v>
      </c>
      <c r="FZ43" s="46">
        <v>0</v>
      </c>
      <c r="GA43" s="46">
        <v>0</v>
      </c>
      <c r="GB43" s="46">
        <v>0</v>
      </c>
      <c r="GC43" s="46">
        <v>0</v>
      </c>
      <c r="GD43" s="46">
        <v>0</v>
      </c>
      <c r="GE43" s="46">
        <v>0</v>
      </c>
      <c r="GF43" s="46">
        <v>0</v>
      </c>
      <c r="GG43" s="46">
        <v>0</v>
      </c>
      <c r="GH43" s="46">
        <v>0</v>
      </c>
      <c r="GI43" s="46">
        <v>0</v>
      </c>
      <c r="GJ43" s="46">
        <v>0</v>
      </c>
      <c r="GK43" s="46">
        <v>0</v>
      </c>
      <c r="GL43" s="46">
        <v>0</v>
      </c>
      <c r="GM43" s="46">
        <v>0</v>
      </c>
      <c r="GN43" s="46">
        <v>0</v>
      </c>
      <c r="GO43" s="46">
        <v>0</v>
      </c>
      <c r="GP43" s="46">
        <v>-363817</v>
      </c>
      <c r="GQ43" s="46">
        <v>0</v>
      </c>
      <c r="GR43" s="46">
        <v>0</v>
      </c>
      <c r="GS43" s="46">
        <v>0</v>
      </c>
      <c r="GT43" s="46">
        <v>0</v>
      </c>
      <c r="GU43" s="46">
        <v>0</v>
      </c>
      <c r="GV43" s="46">
        <v>0</v>
      </c>
      <c r="GW43" s="46">
        <v>0</v>
      </c>
      <c r="GX43" s="46">
        <v>0</v>
      </c>
      <c r="GY43" s="46">
        <v>0</v>
      </c>
      <c r="GZ43" s="46">
        <v>0</v>
      </c>
      <c r="HA43" s="46">
        <v>0</v>
      </c>
      <c r="HB43" s="46">
        <v>0</v>
      </c>
      <c r="HC43" s="46">
        <v>0</v>
      </c>
      <c r="HD43" s="46">
        <v>0</v>
      </c>
      <c r="HE43" s="46">
        <v>0</v>
      </c>
      <c r="HF43" s="46">
        <v>-6503</v>
      </c>
      <c r="HG43" s="46">
        <v>-14476420</v>
      </c>
      <c r="HH43" s="46">
        <v>-4571745</v>
      </c>
      <c r="HI43" s="46">
        <v>0</v>
      </c>
      <c r="HJ43" s="46">
        <v>0</v>
      </c>
      <c r="HK43" s="46">
        <v>0</v>
      </c>
      <c r="HL43" s="46">
        <v>0</v>
      </c>
      <c r="HM43" s="46">
        <v>0</v>
      </c>
      <c r="HN43" s="46">
        <v>0</v>
      </c>
      <c r="HO43" s="46">
        <v>0</v>
      </c>
      <c r="HP43" s="46">
        <v>0</v>
      </c>
      <c r="HQ43" s="46">
        <v>0</v>
      </c>
      <c r="HR43" s="46">
        <v>33067739</v>
      </c>
      <c r="HS43" s="46">
        <v>0</v>
      </c>
      <c r="HT43" s="46">
        <v>0</v>
      </c>
      <c r="HU43" s="46">
        <v>0</v>
      </c>
      <c r="HV43" s="46">
        <v>0</v>
      </c>
      <c r="HW43" s="46">
        <v>0</v>
      </c>
      <c r="HX43" s="46">
        <v>0</v>
      </c>
      <c r="HY43" s="46">
        <v>0</v>
      </c>
      <c r="HZ43" s="46">
        <v>0</v>
      </c>
      <c r="IA43" s="46">
        <v>0</v>
      </c>
      <c r="IB43" s="46">
        <v>0</v>
      </c>
      <c r="IC43" s="46">
        <v>0</v>
      </c>
      <c r="ID43" s="46">
        <v>0</v>
      </c>
      <c r="IE43" s="46">
        <v>0</v>
      </c>
      <c r="IF43" s="46">
        <v>0</v>
      </c>
      <c r="IG43" s="46">
        <v>0</v>
      </c>
      <c r="IH43" s="46">
        <v>0</v>
      </c>
      <c r="II43" s="46">
        <v>0</v>
      </c>
      <c r="IJ43" s="46">
        <v>0</v>
      </c>
      <c r="IK43" s="46">
        <v>0</v>
      </c>
      <c r="IL43" s="46">
        <v>0</v>
      </c>
      <c r="IM43" s="46">
        <v>0</v>
      </c>
      <c r="IN43" s="46">
        <v>0</v>
      </c>
      <c r="IO43" s="46">
        <v>0</v>
      </c>
      <c r="IP43" s="46">
        <v>917253</v>
      </c>
      <c r="IQ43" s="46">
        <v>3844033</v>
      </c>
      <c r="IR43" s="46">
        <v>0</v>
      </c>
      <c r="IS43" s="46">
        <v>4087</v>
      </c>
      <c r="IT43" s="46">
        <v>0</v>
      </c>
      <c r="IU43" s="46">
        <v>0</v>
      </c>
      <c r="IV43" s="46">
        <v>1245696</v>
      </c>
      <c r="IW43" s="46">
        <v>0</v>
      </c>
      <c r="IX43" s="46">
        <v>0</v>
      </c>
      <c r="IY43" s="46">
        <v>0</v>
      </c>
      <c r="IZ43" s="46">
        <v>54681</v>
      </c>
      <c r="JA43" s="46">
        <v>0</v>
      </c>
      <c r="JB43" s="46">
        <v>1072565</v>
      </c>
      <c r="JC43" s="46">
        <v>0</v>
      </c>
      <c r="JD43" s="46">
        <v>0</v>
      </c>
      <c r="JE43" s="46">
        <v>0</v>
      </c>
      <c r="JF43" s="46">
        <v>0</v>
      </c>
      <c r="JG43" s="46">
        <v>0</v>
      </c>
      <c r="JH43" s="46">
        <v>0</v>
      </c>
      <c r="JI43" s="46">
        <v>218073</v>
      </c>
      <c r="JJ43" s="46">
        <v>857886</v>
      </c>
      <c r="JK43" s="46">
        <v>7324532</v>
      </c>
      <c r="JL43" s="46">
        <v>0</v>
      </c>
      <c r="JM43" s="46">
        <v>369553</v>
      </c>
      <c r="JN43" s="46">
        <v>38345</v>
      </c>
      <c r="JO43" s="46">
        <v>0</v>
      </c>
      <c r="JP43" s="46">
        <v>0</v>
      </c>
      <c r="JQ43" s="46">
        <v>0</v>
      </c>
      <c r="JR43" s="46">
        <v>0</v>
      </c>
      <c r="JS43" s="46">
        <v>0</v>
      </c>
      <c r="JT43" s="46">
        <v>259962</v>
      </c>
      <c r="JU43" s="46">
        <v>0</v>
      </c>
      <c r="JV43" s="46">
        <v>0</v>
      </c>
      <c r="JW43" s="46">
        <v>0</v>
      </c>
      <c r="JX43" s="46">
        <v>0</v>
      </c>
      <c r="JY43" s="46">
        <v>0</v>
      </c>
      <c r="JZ43" s="46">
        <v>0</v>
      </c>
      <c r="KA43" s="46">
        <v>765330</v>
      </c>
      <c r="KB43" s="46">
        <v>25313833</v>
      </c>
      <c r="KC43" s="46">
        <v>70030</v>
      </c>
      <c r="KD43" s="46">
        <v>0</v>
      </c>
      <c r="KE43" s="46">
        <v>0</v>
      </c>
      <c r="KF43" s="46">
        <v>0</v>
      </c>
      <c r="KG43" s="46">
        <v>0</v>
      </c>
      <c r="KH43" s="46">
        <v>0</v>
      </c>
      <c r="KI43" s="46">
        <v>35</v>
      </c>
      <c r="KJ43" s="46">
        <v>1195258</v>
      </c>
      <c r="KK43" s="46">
        <v>731526</v>
      </c>
      <c r="KL43" s="46">
        <v>255351</v>
      </c>
      <c r="KM43" s="46">
        <v>0</v>
      </c>
      <c r="KN43" s="46">
        <v>0</v>
      </c>
      <c r="KO43" s="46">
        <v>0</v>
      </c>
      <c r="KP43" s="46">
        <v>0</v>
      </c>
      <c r="KQ43" s="46">
        <v>0</v>
      </c>
      <c r="KR43" s="46">
        <v>65120997</v>
      </c>
      <c r="KS43" s="46">
        <v>4330845</v>
      </c>
      <c r="KT43" s="46">
        <v>0</v>
      </c>
      <c r="KU43" s="46">
        <v>632381</v>
      </c>
      <c r="KV43" s="46">
        <v>0</v>
      </c>
      <c r="KW43" s="46">
        <v>0</v>
      </c>
      <c r="KX43" s="46">
        <v>0</v>
      </c>
      <c r="KY43" s="46">
        <v>0</v>
      </c>
      <c r="KZ43" s="46">
        <v>0</v>
      </c>
      <c r="LA43" s="46">
        <v>4651446</v>
      </c>
      <c r="LB43" s="46">
        <v>956913</v>
      </c>
      <c r="LC43" s="46">
        <v>0</v>
      </c>
      <c r="LD43" s="46">
        <v>4082504</v>
      </c>
      <c r="LE43" s="46">
        <v>0</v>
      </c>
      <c r="LF43" s="46">
        <v>0</v>
      </c>
      <c r="LG43" s="46">
        <v>0</v>
      </c>
      <c r="LH43" s="46">
        <v>0</v>
      </c>
      <c r="LI43" s="46">
        <v>0</v>
      </c>
      <c r="LJ43" s="46">
        <v>885215</v>
      </c>
      <c r="LK43" s="46">
        <v>573912</v>
      </c>
      <c r="LL43" s="46">
        <v>0</v>
      </c>
      <c r="LM43" s="46">
        <v>624558</v>
      </c>
      <c r="LN43" s="46">
        <v>0</v>
      </c>
      <c r="LO43" s="46">
        <v>0</v>
      </c>
      <c r="LP43" s="46">
        <v>0</v>
      </c>
      <c r="LQ43" s="46">
        <v>0</v>
      </c>
      <c r="LR43" s="46">
        <v>0</v>
      </c>
      <c r="LS43" s="46">
        <v>0</v>
      </c>
      <c r="LT43" s="46">
        <v>0</v>
      </c>
      <c r="LU43" s="46">
        <v>0</v>
      </c>
      <c r="LV43" s="46">
        <v>0</v>
      </c>
      <c r="LW43" s="46">
        <v>0</v>
      </c>
      <c r="LX43" s="46">
        <v>0</v>
      </c>
      <c r="LY43" s="46">
        <v>0</v>
      </c>
      <c r="LZ43" s="46">
        <v>0</v>
      </c>
      <c r="MA43" s="46">
        <v>0</v>
      </c>
      <c r="MB43" s="46">
        <v>14076549</v>
      </c>
      <c r="MC43" s="46">
        <v>35098789</v>
      </c>
      <c r="MD43" s="46">
        <v>0</v>
      </c>
      <c r="ME43" s="46">
        <v>2596343</v>
      </c>
      <c r="MF43" s="46">
        <v>0</v>
      </c>
      <c r="MG43" s="46">
        <v>0</v>
      </c>
      <c r="MH43" s="46">
        <v>0</v>
      </c>
      <c r="MI43" s="46">
        <v>0</v>
      </c>
      <c r="MJ43" s="46">
        <v>0</v>
      </c>
      <c r="MK43" s="46">
        <v>10027818</v>
      </c>
      <c r="ML43" s="46">
        <v>3213431</v>
      </c>
      <c r="MM43" s="46">
        <v>0</v>
      </c>
      <c r="MN43" s="46">
        <v>306424</v>
      </c>
      <c r="MO43" s="46">
        <v>0</v>
      </c>
      <c r="MP43" s="46">
        <v>0</v>
      </c>
      <c r="MQ43" s="46">
        <v>0</v>
      </c>
      <c r="MR43" s="46">
        <v>0</v>
      </c>
      <c r="MS43" s="46">
        <v>0</v>
      </c>
      <c r="MT43" s="46">
        <v>14269557</v>
      </c>
      <c r="MU43" s="46">
        <v>7388789</v>
      </c>
      <c r="MV43" s="46">
        <v>0</v>
      </c>
      <c r="MW43" s="46">
        <v>619398</v>
      </c>
      <c r="MX43" s="46">
        <v>0</v>
      </c>
      <c r="MY43" s="46">
        <v>0</v>
      </c>
      <c r="MZ43" s="46">
        <v>0</v>
      </c>
      <c r="NA43" s="46">
        <v>0</v>
      </c>
      <c r="NB43" s="46">
        <v>0</v>
      </c>
      <c r="NC43" s="46">
        <v>12567217</v>
      </c>
      <c r="ND43" s="46">
        <v>4272256</v>
      </c>
      <c r="NE43" s="46">
        <v>0</v>
      </c>
      <c r="NF43" s="46">
        <v>0</v>
      </c>
      <c r="NG43" s="46">
        <v>0</v>
      </c>
      <c r="NH43" s="46">
        <v>0</v>
      </c>
      <c r="NI43" s="46">
        <v>0</v>
      </c>
      <c r="NJ43" s="46">
        <v>0</v>
      </c>
      <c r="NK43" s="46">
        <v>0</v>
      </c>
      <c r="NL43" s="46">
        <v>198364</v>
      </c>
      <c r="NM43" s="46">
        <v>3054402</v>
      </c>
      <c r="NN43" s="46">
        <v>0</v>
      </c>
      <c r="NO43" s="46">
        <v>5329320</v>
      </c>
      <c r="NP43" s="46">
        <v>0</v>
      </c>
      <c r="NQ43" s="46">
        <v>0</v>
      </c>
      <c r="NR43" s="46">
        <v>0</v>
      </c>
      <c r="NS43" s="46">
        <v>0</v>
      </c>
      <c r="NT43" s="46">
        <v>0</v>
      </c>
      <c r="NU43" s="46">
        <v>0</v>
      </c>
      <c r="NV43" s="46">
        <v>0</v>
      </c>
      <c r="NW43" s="46">
        <v>33882461</v>
      </c>
      <c r="NX43" s="46">
        <v>0</v>
      </c>
      <c r="NY43" s="46">
        <v>0</v>
      </c>
      <c r="NZ43" s="46">
        <v>0</v>
      </c>
      <c r="OA43" s="46">
        <v>0</v>
      </c>
      <c r="OB43" s="46">
        <v>0</v>
      </c>
      <c r="OC43" s="46">
        <v>0</v>
      </c>
      <c r="OD43" s="46">
        <v>2427571</v>
      </c>
      <c r="OE43" s="46">
        <v>528979</v>
      </c>
      <c r="OF43" s="46">
        <v>59529</v>
      </c>
      <c r="OG43" s="46">
        <v>84351</v>
      </c>
      <c r="OH43" s="46">
        <v>0</v>
      </c>
      <c r="OI43" s="46">
        <v>0</v>
      </c>
      <c r="OJ43" s="46">
        <v>0</v>
      </c>
      <c r="OK43" s="46">
        <v>0</v>
      </c>
      <c r="OL43" s="46">
        <v>0</v>
      </c>
      <c r="OM43" s="46">
        <v>0</v>
      </c>
      <c r="ON43" s="46">
        <v>0</v>
      </c>
      <c r="OO43" s="46">
        <v>0</v>
      </c>
      <c r="OP43" s="46">
        <v>0</v>
      </c>
      <c r="OQ43" s="46">
        <v>-525574</v>
      </c>
      <c r="OR43" s="46">
        <v>0</v>
      </c>
      <c r="OS43" s="46">
        <v>0</v>
      </c>
      <c r="OT43" s="46">
        <v>0</v>
      </c>
      <c r="OU43" s="46">
        <v>8060</v>
      </c>
      <c r="OV43" s="46">
        <v>0</v>
      </c>
      <c r="OW43" s="46">
        <v>0</v>
      </c>
      <c r="OX43" s="46">
        <v>0</v>
      </c>
      <c r="OY43" s="46">
        <v>0</v>
      </c>
      <c r="OZ43" s="46">
        <v>0</v>
      </c>
      <c r="PA43" s="46">
        <v>0</v>
      </c>
      <c r="PB43" s="46">
        <v>-63886590</v>
      </c>
      <c r="PC43" s="46">
        <v>0</v>
      </c>
      <c r="PD43" s="46">
        <v>60299180</v>
      </c>
      <c r="PE43" s="46">
        <v>1361751</v>
      </c>
      <c r="PF43" s="46">
        <v>35896742</v>
      </c>
      <c r="PG43" s="46">
        <v>0</v>
      </c>
      <c r="PH43" s="46">
        <v>0</v>
      </c>
      <c r="PI43" s="46">
        <v>0</v>
      </c>
      <c r="PJ43" s="46">
        <v>0</v>
      </c>
      <c r="PK43" s="46">
        <v>0</v>
      </c>
      <c r="PL43" s="46">
        <v>0</v>
      </c>
      <c r="PM43" s="46">
        <v>0</v>
      </c>
      <c r="PN43" s="46">
        <v>0</v>
      </c>
      <c r="PO43" s="46">
        <v>0</v>
      </c>
      <c r="PP43" s="46">
        <v>0</v>
      </c>
      <c r="PQ43" s="46">
        <v>0</v>
      </c>
      <c r="PR43" s="46">
        <v>0</v>
      </c>
      <c r="PS43" s="46">
        <v>0</v>
      </c>
      <c r="PT43" s="46">
        <v>0</v>
      </c>
      <c r="PU43" s="46">
        <v>0</v>
      </c>
      <c r="PV43" s="46">
        <v>0</v>
      </c>
      <c r="PW43" s="46">
        <v>-8868500</v>
      </c>
      <c r="PX43" s="46">
        <v>-2039135</v>
      </c>
      <c r="PY43" s="46">
        <v>-10073089</v>
      </c>
      <c r="PZ43" s="46">
        <v>0</v>
      </c>
      <c r="QA43" s="46">
        <v>0</v>
      </c>
      <c r="QB43" s="46">
        <v>0</v>
      </c>
      <c r="QC43" s="46">
        <v>0</v>
      </c>
      <c r="QD43" s="46">
        <v>0</v>
      </c>
      <c r="QE43" s="46">
        <v>0</v>
      </c>
      <c r="QF43" s="46">
        <v>0</v>
      </c>
      <c r="QG43" s="46">
        <v>0</v>
      </c>
      <c r="QH43" s="46">
        <v>0</v>
      </c>
      <c r="QI43" s="46">
        <v>0</v>
      </c>
      <c r="QJ43" s="46">
        <v>0</v>
      </c>
      <c r="QK43" s="46">
        <v>2771585</v>
      </c>
      <c r="QL43" s="46">
        <v>0</v>
      </c>
      <c r="QM43" s="46">
        <v>0</v>
      </c>
      <c r="QN43" s="46">
        <v>0</v>
      </c>
      <c r="QO43" s="46">
        <v>0</v>
      </c>
      <c r="QP43" s="46">
        <v>0</v>
      </c>
      <c r="QQ43" s="46">
        <v>0</v>
      </c>
      <c r="QR43" s="46">
        <v>0</v>
      </c>
      <c r="QS43" s="46">
        <v>0</v>
      </c>
      <c r="QT43" s="46">
        <v>0</v>
      </c>
      <c r="QU43" s="46">
        <v>0</v>
      </c>
      <c r="QV43" s="46">
        <v>0</v>
      </c>
      <c r="QW43" s="46">
        <v>0</v>
      </c>
      <c r="QX43" s="46">
        <v>0</v>
      </c>
      <c r="QY43" s="46">
        <v>0</v>
      </c>
      <c r="QZ43" s="46">
        <v>0</v>
      </c>
      <c r="RA43" s="46">
        <v>0</v>
      </c>
      <c r="RB43" s="46">
        <v>0</v>
      </c>
      <c r="RC43" s="46">
        <v>0</v>
      </c>
      <c r="RD43" s="46">
        <v>0</v>
      </c>
      <c r="RE43" s="46">
        <v>0</v>
      </c>
      <c r="RF43" s="46">
        <v>0</v>
      </c>
      <c r="RG43" s="46">
        <v>0</v>
      </c>
      <c r="RH43" s="46">
        <v>0</v>
      </c>
      <c r="RI43" s="46">
        <v>0</v>
      </c>
      <c r="RJ43" s="46">
        <v>0</v>
      </c>
      <c r="RK43" s="46">
        <v>0</v>
      </c>
      <c r="RL43" s="46">
        <v>0</v>
      </c>
      <c r="RM43" s="46">
        <v>0</v>
      </c>
      <c r="RN43" s="46">
        <v>0</v>
      </c>
      <c r="RO43" s="46">
        <v>-15737847</v>
      </c>
      <c r="RP43" s="46">
        <v>0</v>
      </c>
      <c r="RQ43" s="46">
        <v>0</v>
      </c>
      <c r="RR43" s="46">
        <v>0</v>
      </c>
      <c r="RS43" s="46">
        <v>0</v>
      </c>
      <c r="RT43" s="46">
        <v>0</v>
      </c>
      <c r="RU43" s="46">
        <v>0</v>
      </c>
      <c r="RV43" s="46">
        <v>0</v>
      </c>
      <c r="RW43" s="46">
        <v>0</v>
      </c>
      <c r="RX43" s="46">
        <v>0</v>
      </c>
      <c r="RY43" s="46">
        <v>0</v>
      </c>
      <c r="RZ43" s="46">
        <v>0</v>
      </c>
      <c r="SA43" s="46">
        <v>0</v>
      </c>
      <c r="SB43" s="46">
        <v>0</v>
      </c>
      <c r="SC43" s="46">
        <v>0</v>
      </c>
      <c r="SD43" s="46">
        <v>0</v>
      </c>
      <c r="SE43" s="46">
        <v>0</v>
      </c>
      <c r="SF43" s="46">
        <v>0</v>
      </c>
      <c r="SG43" s="46">
        <v>0</v>
      </c>
      <c r="SH43" s="46">
        <v>0</v>
      </c>
      <c r="SI43" s="46">
        <v>0</v>
      </c>
      <c r="SJ43" s="46">
        <v>0</v>
      </c>
      <c r="SK43" s="46">
        <v>0</v>
      </c>
      <c r="SL43" s="46">
        <v>0</v>
      </c>
      <c r="SM43" s="46">
        <v>0</v>
      </c>
      <c r="SN43" s="46">
        <v>0</v>
      </c>
      <c r="SO43" s="46">
        <v>0</v>
      </c>
      <c r="SP43" s="46">
        <v>0</v>
      </c>
      <c r="SQ43" s="46">
        <v>0</v>
      </c>
      <c r="SR43" s="46">
        <v>0</v>
      </c>
      <c r="SS43" s="46">
        <v>0</v>
      </c>
      <c r="ST43" s="46">
        <v>0</v>
      </c>
      <c r="SU43" s="46">
        <v>0</v>
      </c>
      <c r="SV43" s="46">
        <v>0</v>
      </c>
      <c r="SW43" s="46">
        <v>0</v>
      </c>
      <c r="SX43" s="46">
        <v>0</v>
      </c>
      <c r="SY43" s="46">
        <v>3100430</v>
      </c>
      <c r="SZ43" s="46">
        <v>776736</v>
      </c>
      <c r="TA43" s="46">
        <v>696407</v>
      </c>
      <c r="TB43" s="46">
        <v>14993</v>
      </c>
      <c r="TC43" s="46">
        <v>0</v>
      </c>
      <c r="TD43" s="46">
        <v>819684</v>
      </c>
      <c r="TE43" s="46">
        <v>39395</v>
      </c>
      <c r="TF43" s="46">
        <v>462373</v>
      </c>
      <c r="TG43" s="46">
        <v>231313</v>
      </c>
      <c r="TH43" s="46">
        <v>0</v>
      </c>
      <c r="TI43" s="46">
        <v>59529</v>
      </c>
      <c r="TJ43" s="46">
        <v>0</v>
      </c>
      <c r="TK43" s="46">
        <v>0</v>
      </c>
      <c r="TL43" s="46">
        <v>56360</v>
      </c>
      <c r="TM43" s="46">
        <v>0</v>
      </c>
      <c r="TN43" s="46">
        <v>0</v>
      </c>
      <c r="TO43" s="46">
        <v>0</v>
      </c>
      <c r="TP43" s="46">
        <v>0</v>
      </c>
      <c r="TQ43" s="46">
        <v>0</v>
      </c>
      <c r="TR43" s="46">
        <v>0</v>
      </c>
      <c r="TS43" s="46">
        <v>0</v>
      </c>
      <c r="TT43" s="46">
        <v>0</v>
      </c>
      <c r="TU43" s="46">
        <v>101350</v>
      </c>
      <c r="TV43" s="46">
        <v>0</v>
      </c>
      <c r="TW43" s="46">
        <v>0</v>
      </c>
      <c r="TX43" s="46">
        <v>0</v>
      </c>
      <c r="TY43" s="46">
        <v>0</v>
      </c>
      <c r="TZ43" s="46">
        <v>0</v>
      </c>
      <c r="UA43" s="46">
        <v>0</v>
      </c>
      <c r="UB43" s="46">
        <v>0</v>
      </c>
      <c r="UC43" s="46">
        <v>0</v>
      </c>
      <c r="UD43" s="46">
        <v>0</v>
      </c>
      <c r="UE43" s="46">
        <v>70084223</v>
      </c>
      <c r="UF43" s="46">
        <v>9690863</v>
      </c>
      <c r="UG43" s="46">
        <v>2083685</v>
      </c>
      <c r="UH43" s="46">
        <v>0</v>
      </c>
      <c r="UI43" s="46">
        <v>51771681</v>
      </c>
      <c r="UJ43" s="46">
        <v>13547673</v>
      </c>
      <c r="UK43" s="46">
        <v>22277744</v>
      </c>
      <c r="UL43" s="46">
        <v>16839473</v>
      </c>
      <c r="UM43" s="46">
        <v>8582086</v>
      </c>
      <c r="UN43" s="46">
        <v>33882461</v>
      </c>
      <c r="UO4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3100430</v>
      </c>
      <c r="UP43" s="46">
        <f>SUM(Input[[#This Row],[Oth Exp E&amp;G]],Input[[#This Row],[Oth Exp Desg]],Input[[#This Row],[Oth Exp Aux]],Input[[#This Row],[Oth Exp R Exp]],Input[[#This Row],[Oth Exp Loan]],Input[[#This Row],[Oth Exp Annuity]],Input[[#This Row],[Oth Exp Unexp]],Input[[#This Row],[Oth Exp R of Ind]],Input[[#This Row],[Oth Exp Inv in P]])</f>
        <v>-517514</v>
      </c>
      <c r="UQ43" s="46"/>
      <c r="UR43" s="46"/>
      <c r="US43" s="8" t="s">
        <v>753</v>
      </c>
      <c r="UT43" s="47">
        <v>4098801788</v>
      </c>
      <c r="UU43" s="8" t="s">
        <v>77</v>
      </c>
      <c r="UV43" s="8" t="s">
        <v>754</v>
      </c>
      <c r="UW43" s="47">
        <v>4098808990</v>
      </c>
      <c r="UX43" s="8" t="s">
        <v>755</v>
      </c>
      <c r="UY43" s="51" cm="1">
        <f t="array" ref="UY43">IFERROR(_xlfn.IFS(Input[[#This Row],[Type]]="HRI",SUMIFS('FTSE | FTFE'!$P$8:$P$77,'FTSE | FTFE'!$H$8:$H$77,A43),Input[[#This Row],[Type]]="UNIV",SUMIFS('FTSE | FTFE'!$P$104:$P$139,'FTSE | FTFE'!$H$104:$H$139,A43),OR(Input[[#This Row],[Type]]="TSTC",Input[[#This Row],[Type]]="LSC"),SUMIFS('FTSE | FTFE'!$O$88:$O$96,'FTSE | FTFE'!$H$88:$H$96,A43),Input[[#This Row],[Type]]="AHM",SUMIFS(Hidden!$H$42:$H$45,Hidden!$G$42:$G$45,A43)),"N/A")</f>
        <v>14170</v>
      </c>
      <c r="UZ43" s="51" cm="1">
        <f t="array" ref="UZ43">IFERROR(_xlfn.IFS(Input[[#This Row],[Type]]="HRI",SUMIFS('FTSE | FTFE'!$Q$8:$Q$77,'FTSE | FTFE'!$H$8:$H$77,A43),Input[[#This Row],[Type]]="UNIV",SUMIFS('FTSE | FTFE'!$Q$104:$Q$139,'FTSE | FTFE'!$H$104:$H$139,A43),OR(Input[[#This Row],[Type]]="TSTC",Input[[#This Row],[Type]]="LSC"),SUMIFS('FTSE | FTFE'!$P$88:$P$96,'FTSE | FTFE'!$H$88:$H$96,A43)),"N/A")</f>
        <v>269</v>
      </c>
      <c r="VA4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119031648</v>
      </c>
      <c r="VB4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13537649</v>
      </c>
      <c r="VC43" s="46">
        <f>SUM(Input[[#This Row],[Fed G&amp;C E&amp;G]],Input[[#This Row],[Fed G&amp;C Desg]],Input[[#This Row],[Fed G&amp;C R Exp]],Input[[#This Row],[Fed G&amp;C Loan]],Input[[#This Row],[Fed G&amp;C Annuity]],Input[[#This Row],[Fed G&amp;C Unexp]],Input[[#This Row],[Fed G&amp;C R of Ind]],Input[[#This Row],[Fed G&amp;C Inv in P]])</f>
        <v>33067739</v>
      </c>
      <c r="VD4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16799424</v>
      </c>
      <c r="VE4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60064755</v>
      </c>
      <c r="VF4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20211515</v>
      </c>
      <c r="VG43" s="46">
        <f>SUM(Input[[#This Row],[Oth Inc E&amp;G]],Input[[#This Row],[Oth Exp Desg]],Input[[#This Row],[Oth Exp R Exp]],Input[[#This Row],[Oth Exp Loan]],Input[[#This Row],[Oth Exp Annuity]],Input[[#This Row],[Oth Exp Unexp]],Input[[#This Row],[Oth Exp R of Ind]],Input[[#This Row],[Oth Exp Inv in P]])</f>
        <v>-517479</v>
      </c>
      <c r="VH43" s="46">
        <f>SUM(Input[[#This Row],[Instr E&amp;G]],Input[[#This Row],[Instr Desg]],Input[[#This Row],[Instr R Exp]],Input[[#This Row],[Instr Loan]],Input[[#This Row],[Instr Annuity]],Input[[#This Row],[Instr Unexp]],Input[[#This Row],[Instr R of Ind]],Input[[#This Row],[Instr Inv in P]])</f>
        <v>70084223</v>
      </c>
      <c r="VI43" s="46">
        <f>SUM(Input[[#This Row],[Res E&amp;G]],Input[[#This Row],[Res Desg]],Input[[#This Row],[Res R Exp]],Input[[#This Row],[Res Loan]],Input[[#This Row],[Res Annuity]],Input[[#This Row],[Res Unexp]],Input[[#This Row],[Res R of Ind]],Input[[#This Row],[Res Inv in P]])</f>
        <v>9690863</v>
      </c>
      <c r="VJ43" s="46">
        <f>SUM(Input[[#This Row],[Acad Sup E&amp;G]],Input[[#This Row],[Acad Sup Desg]],Input[[#This Row],[Acad Sup R Exp]],Input[[#This Row],[Acad Sup Loan]],Input[[#This Row],[Acad Sup Annuity]],Input[[#This Row],[Acad Sup Unexp]],Input[[#This Row],[Acad Sup R of Ind]],Input[[#This Row],[Acad Sup Inv in P]])</f>
        <v>51771681</v>
      </c>
      <c r="VK43" s="46">
        <f>SUM(Input[[#This Row],[Stu Svc E&amp;G]],Input[[#This Row],[Stu Svc Desg]],Input[[#This Row],[Stu Svc R Exp]],Input[[#This Row],[Stu Svc Loan]],Input[[#This Row],[Stu Svc Annuity]],Input[[#This Row],[Stu Svc Unexp]],Input[[#This Row],[Stu Svc R of Ind]],Input[[#This Row],[Stu Svc Inv in P]])</f>
        <v>13547673</v>
      </c>
      <c r="VL43" s="46">
        <f>SUM(Input[[#This Row],[Inst. Spt E&amp;G]],Input[[#This Row],[Inst. Spt Desg]],Input[[#This Row],[Inst. Spt R Exp]],Input[[#This Row],[Inst. Spt Loan]],Input[[#This Row],[Inst. Spt Annuity]],Input[[#This Row],[Inst. Spt Unexp]],Input[[#This Row],[Inst. Spt R of Ind]],Input[[#This Row],[Inst. Spt Inv in P]])</f>
        <v>22277744</v>
      </c>
      <c r="VM43" s="46">
        <f>SUM(Input[[#This Row],[M&amp;O Plnt E&amp;G]],Input[[#This Row],[M&amp;O Plnt Desg]],Input[[#This Row],[M&amp;O Plnt R Exp]],Input[[#This Row],[M&amp;O Plnt Loan]],Input[[#This Row],[M&amp;O Plnt Annuity]],Input[[#This Row],[M&amp;O Plnt Unexp]],Input[[#This Row],[M&amp;O Plnt R of Ind]],Input[[#This Row],[M&amp;O Plnt Inv in P]])</f>
        <v>16839473</v>
      </c>
      <c r="VN43" s="46">
        <f>SUM(Input[[#This Row],[Schl &amp; Fell E&amp;G]],Input[[#This Row],[Schl &amp; Fell Desg]],Input[[#This Row],[Schl &amp; Fell R Exp]],Input[[#This Row],[Schl &amp; Fell Loan]],Input[[#This Row],[Schl &amp; Fell Annuity]],Input[[#This Row],[Schl &amp; Fell Unexp]],Input[[#This Row],[Schl &amp; Fell R of Ind]],Input[[#This Row],[Schl &amp; Fell Inv in P]])</f>
        <v>8582086</v>
      </c>
      <c r="VO43" s="46">
        <f>SUM(Input[[#This Row],[Cap Out fund E&amp;G]],Input[[#This Row],[Cap Out fund Desg]],Input[[#This Row],[Cap Out fund R Exp]],Input[[#This Row],[Cap Out fund Loan]],Input[[#This Row],[Cap Out fund Annuity]],Input[[#This Row],[Cap Out fund Unexp]],Input[[#This Row],[Cap Out fund R of Ind]],Input[[#This Row],[Cap Out fund Inv in P]])</f>
        <v>3040901</v>
      </c>
      <c r="VP43" s="46">
        <f>SUM(Input[[#This Row],[Oth Exp E&amp;G]],Input[[#This Row],[Oth Exp Desg]],Input[[#This Row],[Oth Exp R Exp]],Input[[#This Row],[Oth Exp Loan]],Input[[#This Row],[Oth Exp Annuity]],Input[[#This Row],[Oth Exp Unexp]],Input[[#This Row],[Oth Exp R of Ind]],Input[[#This Row],[Oth Exp Inv in P]],Input[[#This Row],[Oth Exp Inv in P]])</f>
        <v>-509454</v>
      </c>
    </row>
    <row r="44" spans="1:588" ht="30" customHeight="1" x14ac:dyDescent="0.3">
      <c r="A44" s="15" t="s">
        <v>38</v>
      </c>
      <c r="B44" s="36" t="s">
        <v>113</v>
      </c>
      <c r="C44" s="36" t="s">
        <v>113</v>
      </c>
      <c r="D44" s="36">
        <v>802</v>
      </c>
      <c r="E44" s="36" t="s">
        <v>134</v>
      </c>
      <c r="F44" s="95" cm="1">
        <f t="array" ref="F44">IFERROR(_xlfn.IFS(Input[[#This Row],[Type]]="HRI",SUMIFS('FTSE | FTFE'!$I$8:$I$77,'FTSE | FTFE'!$H$8:$H$77,A44),Input[[#This Row],[Type]]="UNIV",SUMIFS('FTSE | FTFE'!$I$104:$I$139,'FTSE | FTFE'!$H$104:$H$139,A44),OR(Input[[#This Row],[Type]]="TSTC",Input[[#This Row],[Type]]="LSC"),SUMIFS('FTSE | FTFE'!$I$88:$I$96,'FTSE | FTFE'!$H$88:$H$96,A44)),"N/A")</f>
        <v>36273</v>
      </c>
      <c r="G44" s="46">
        <v>30107752</v>
      </c>
      <c r="H44" s="46">
        <v>0</v>
      </c>
      <c r="I44" s="46">
        <v>0</v>
      </c>
      <c r="J44" s="46">
        <v>0</v>
      </c>
      <c r="K44" s="46">
        <v>0</v>
      </c>
      <c r="L44" s="46">
        <v>0</v>
      </c>
      <c r="M44" s="46">
        <v>0</v>
      </c>
      <c r="N44" s="46">
        <v>0</v>
      </c>
      <c r="O44" s="46">
        <v>0</v>
      </c>
      <c r="P44" s="46">
        <v>1175528</v>
      </c>
      <c r="Q44" s="46">
        <v>1980</v>
      </c>
      <c r="R44" s="46">
        <v>0</v>
      </c>
      <c r="S44" s="46">
        <v>445752</v>
      </c>
      <c r="T44" s="46">
        <v>0</v>
      </c>
      <c r="U44" s="46">
        <v>0</v>
      </c>
      <c r="V44" s="46">
        <v>0</v>
      </c>
      <c r="W44" s="46">
        <v>0</v>
      </c>
      <c r="X44" s="46">
        <v>0</v>
      </c>
      <c r="Y44" s="46">
        <v>2630158</v>
      </c>
      <c r="Z44" s="46">
        <v>0</v>
      </c>
      <c r="AA44" s="46">
        <v>0</v>
      </c>
      <c r="AB44" s="46">
        <v>0</v>
      </c>
      <c r="AC44" s="46">
        <v>0</v>
      </c>
      <c r="AD44" s="46">
        <v>0</v>
      </c>
      <c r="AE44" s="46">
        <v>0</v>
      </c>
      <c r="AF44" s="46">
        <v>0</v>
      </c>
      <c r="AG44" s="46">
        <v>0</v>
      </c>
      <c r="AH44" s="46">
        <v>0</v>
      </c>
      <c r="AI44" s="46">
        <v>0</v>
      </c>
      <c r="AJ44" s="46">
        <v>0</v>
      </c>
      <c r="AK44" s="46">
        <v>0</v>
      </c>
      <c r="AL44" s="46">
        <v>0</v>
      </c>
      <c r="AM44" s="46">
        <v>0</v>
      </c>
      <c r="AN44" s="46">
        <v>0</v>
      </c>
      <c r="AO44" s="46">
        <v>0</v>
      </c>
      <c r="AP44" s="46">
        <v>0</v>
      </c>
      <c r="AQ44" s="46">
        <v>-596083</v>
      </c>
      <c r="AR44" s="46">
        <v>0</v>
      </c>
      <c r="AS44" s="46">
        <v>0</v>
      </c>
      <c r="AT44" s="46">
        <v>0</v>
      </c>
      <c r="AU44" s="46">
        <v>0</v>
      </c>
      <c r="AV44" s="46">
        <v>0</v>
      </c>
      <c r="AW44" s="46">
        <v>0</v>
      </c>
      <c r="AX44" s="46">
        <v>0</v>
      </c>
      <c r="AY44" s="46">
        <v>0</v>
      </c>
      <c r="AZ44" s="46">
        <v>0</v>
      </c>
      <c r="BA44" s="46">
        <v>0</v>
      </c>
      <c r="BB44" s="46">
        <v>0</v>
      </c>
      <c r="BC44" s="46">
        <v>0</v>
      </c>
      <c r="BD44" s="46">
        <v>0</v>
      </c>
      <c r="BE44" s="46">
        <v>0</v>
      </c>
      <c r="BF44" s="46">
        <v>0</v>
      </c>
      <c r="BG44" s="46">
        <v>0</v>
      </c>
      <c r="BH44" s="46">
        <v>0</v>
      </c>
      <c r="BI44" s="46">
        <v>0</v>
      </c>
      <c r="BJ44" s="46">
        <v>0</v>
      </c>
      <c r="BK44" s="46">
        <v>0</v>
      </c>
      <c r="BL44" s="46">
        <v>0</v>
      </c>
      <c r="BM44" s="46">
        <v>0</v>
      </c>
      <c r="BN44" s="46">
        <v>0</v>
      </c>
      <c r="BO44" s="46">
        <v>0</v>
      </c>
      <c r="BP44" s="46">
        <v>0</v>
      </c>
      <c r="BQ44" s="46">
        <v>0</v>
      </c>
      <c r="BR44" s="46">
        <v>0</v>
      </c>
      <c r="BS44" s="46">
        <v>0</v>
      </c>
      <c r="BT44" s="46">
        <v>0</v>
      </c>
      <c r="BU44" s="46">
        <v>0</v>
      </c>
      <c r="BV44" s="46">
        <v>0</v>
      </c>
      <c r="BW44" s="46">
        <v>0</v>
      </c>
      <c r="BX44" s="46">
        <v>0</v>
      </c>
      <c r="BY44" s="46">
        <v>0</v>
      </c>
      <c r="BZ44" s="46">
        <v>0</v>
      </c>
      <c r="CA44" s="46">
        <v>3603018</v>
      </c>
      <c r="CB44" s="46">
        <v>3491153</v>
      </c>
      <c r="CC44" s="46">
        <v>0</v>
      </c>
      <c r="CD44" s="46">
        <v>0</v>
      </c>
      <c r="CE44" s="46">
        <v>0</v>
      </c>
      <c r="CF44" s="46">
        <v>0</v>
      </c>
      <c r="CG44" s="46">
        <v>0</v>
      </c>
      <c r="CH44" s="46">
        <v>0</v>
      </c>
      <c r="CI44" s="46">
        <v>0</v>
      </c>
      <c r="CJ44" s="46">
        <v>0</v>
      </c>
      <c r="CK44" s="46">
        <v>0</v>
      </c>
      <c r="CL44" s="46">
        <v>0</v>
      </c>
      <c r="CM44" s="46">
        <v>0</v>
      </c>
      <c r="CN44" s="46">
        <v>0</v>
      </c>
      <c r="CO44" s="46">
        <v>0</v>
      </c>
      <c r="CP44" s="46">
        <v>0</v>
      </c>
      <c r="CQ44" s="46">
        <v>0</v>
      </c>
      <c r="CR44" s="46">
        <v>0</v>
      </c>
      <c r="CS44" s="46">
        <v>0</v>
      </c>
      <c r="CT44" s="46">
        <v>0</v>
      </c>
      <c r="CU44" s="46">
        <v>0</v>
      </c>
      <c r="CV44" s="46">
        <v>0</v>
      </c>
      <c r="CW44" s="46">
        <v>0</v>
      </c>
      <c r="CX44" s="46">
        <v>0</v>
      </c>
      <c r="CY44" s="46">
        <v>0</v>
      </c>
      <c r="CZ44" s="46">
        <v>0</v>
      </c>
      <c r="DA44" s="46">
        <v>0</v>
      </c>
      <c r="DB44" s="46">
        <v>-213414</v>
      </c>
      <c r="DC44" s="46">
        <v>0</v>
      </c>
      <c r="DD44" s="46">
        <v>0</v>
      </c>
      <c r="DE44" s="46">
        <v>0</v>
      </c>
      <c r="DF44" s="46">
        <v>0</v>
      </c>
      <c r="DG44" s="46">
        <v>0</v>
      </c>
      <c r="DH44" s="46">
        <v>0</v>
      </c>
      <c r="DI44" s="46">
        <v>0</v>
      </c>
      <c r="DJ44" s="46">
        <v>0</v>
      </c>
      <c r="DK44" s="46">
        <v>0</v>
      </c>
      <c r="DL44" s="46">
        <v>-138182</v>
      </c>
      <c r="DM44" s="46">
        <v>0</v>
      </c>
      <c r="DN44" s="46">
        <v>0</v>
      </c>
      <c r="DO44" s="46">
        <v>0</v>
      </c>
      <c r="DP44" s="46">
        <v>0</v>
      </c>
      <c r="DQ44" s="46">
        <v>0</v>
      </c>
      <c r="DR44" s="46">
        <v>0</v>
      </c>
      <c r="DS44" s="46">
        <v>0</v>
      </c>
      <c r="DT44" s="46">
        <v>-1883010</v>
      </c>
      <c r="DU44" s="46">
        <v>-1785897</v>
      </c>
      <c r="DV44" s="46">
        <v>0</v>
      </c>
      <c r="DW44" s="46">
        <v>0</v>
      </c>
      <c r="DX44" s="46">
        <v>0</v>
      </c>
      <c r="DY44" s="46">
        <v>0</v>
      </c>
      <c r="DZ44" s="46">
        <v>0</v>
      </c>
      <c r="EA44" s="46">
        <v>0</v>
      </c>
      <c r="EB44" s="46">
        <v>0</v>
      </c>
      <c r="EC44" s="46">
        <v>0</v>
      </c>
      <c r="ED44" s="46">
        <v>0</v>
      </c>
      <c r="EE44" s="46">
        <v>0</v>
      </c>
      <c r="EF44" s="46">
        <v>0</v>
      </c>
      <c r="EG44" s="46">
        <v>0</v>
      </c>
      <c r="EH44" s="46">
        <v>0</v>
      </c>
      <c r="EI44" s="46">
        <v>0</v>
      </c>
      <c r="EJ44" s="46">
        <v>0</v>
      </c>
      <c r="EK44" s="46">
        <v>0</v>
      </c>
      <c r="EL44" s="46">
        <v>0</v>
      </c>
      <c r="EM44" s="46">
        <v>0</v>
      </c>
      <c r="EN44" s="46">
        <v>0</v>
      </c>
      <c r="EO44" s="46">
        <v>0</v>
      </c>
      <c r="EP44" s="46">
        <v>0</v>
      </c>
      <c r="EQ44" s="46">
        <v>0</v>
      </c>
      <c r="ER44" s="46">
        <v>0</v>
      </c>
      <c r="ES44" s="46">
        <v>0</v>
      </c>
      <c r="ET44" s="46">
        <v>0</v>
      </c>
      <c r="EU44" s="46">
        <v>0</v>
      </c>
      <c r="EV44" s="46">
        <v>0</v>
      </c>
      <c r="EW44" s="46">
        <v>0</v>
      </c>
      <c r="EX44" s="46">
        <v>0</v>
      </c>
      <c r="EY44" s="46">
        <v>0</v>
      </c>
      <c r="EZ44" s="46">
        <v>0</v>
      </c>
      <c r="FA44" s="46">
        <v>0</v>
      </c>
      <c r="FB44" s="46">
        <v>0</v>
      </c>
      <c r="FC44" s="46">
        <v>0</v>
      </c>
      <c r="FD44" s="46">
        <v>0</v>
      </c>
      <c r="FE44" s="46">
        <v>0</v>
      </c>
      <c r="FF44" s="46">
        <v>0</v>
      </c>
      <c r="FG44" s="46">
        <v>0</v>
      </c>
      <c r="FH44" s="46">
        <v>0</v>
      </c>
      <c r="FI44" s="46">
        <v>0</v>
      </c>
      <c r="FJ44" s="46">
        <v>0</v>
      </c>
      <c r="FK44" s="46">
        <v>0</v>
      </c>
      <c r="FL44" s="46">
        <v>0</v>
      </c>
      <c r="FM44" s="46">
        <v>86304</v>
      </c>
      <c r="FN44" s="46">
        <v>3422414</v>
      </c>
      <c r="FO44" s="46">
        <v>536436</v>
      </c>
      <c r="FP44" s="46">
        <v>0</v>
      </c>
      <c r="FQ44" s="46">
        <v>0</v>
      </c>
      <c r="FR44" s="46">
        <v>0</v>
      </c>
      <c r="FS44" s="46">
        <v>0</v>
      </c>
      <c r="FT44" s="46">
        <v>0</v>
      </c>
      <c r="FU44" s="46">
        <v>0</v>
      </c>
      <c r="FV44" s="46">
        <v>0</v>
      </c>
      <c r="FW44" s="46">
        <v>0</v>
      </c>
      <c r="FX44" s="46">
        <v>0</v>
      </c>
      <c r="FY44" s="46">
        <v>0</v>
      </c>
      <c r="FZ44" s="46">
        <v>0</v>
      </c>
      <c r="GA44" s="46">
        <v>0</v>
      </c>
      <c r="GB44" s="46">
        <v>0</v>
      </c>
      <c r="GC44" s="46">
        <v>0</v>
      </c>
      <c r="GD44" s="46">
        <v>0</v>
      </c>
      <c r="GE44" s="46">
        <v>0</v>
      </c>
      <c r="GF44" s="46">
        <v>0</v>
      </c>
      <c r="GG44" s="46">
        <v>0</v>
      </c>
      <c r="GH44" s="46">
        <v>0</v>
      </c>
      <c r="GI44" s="46">
        <v>0</v>
      </c>
      <c r="GJ44" s="46">
        <v>0</v>
      </c>
      <c r="GK44" s="46">
        <v>0</v>
      </c>
      <c r="GL44" s="46">
        <v>0</v>
      </c>
      <c r="GM44" s="46">
        <v>0</v>
      </c>
      <c r="GN44" s="46">
        <v>-4799</v>
      </c>
      <c r="GO44" s="46">
        <v>0</v>
      </c>
      <c r="GP44" s="46">
        <v>0</v>
      </c>
      <c r="GQ44" s="46">
        <v>0</v>
      </c>
      <c r="GR44" s="46">
        <v>0</v>
      </c>
      <c r="GS44" s="46">
        <v>0</v>
      </c>
      <c r="GT44" s="46">
        <v>0</v>
      </c>
      <c r="GU44" s="46">
        <v>0</v>
      </c>
      <c r="GV44" s="46">
        <v>0</v>
      </c>
      <c r="GW44" s="46">
        <v>0</v>
      </c>
      <c r="GX44" s="46">
        <v>-197287</v>
      </c>
      <c r="GY44" s="46">
        <v>-18176</v>
      </c>
      <c r="GZ44" s="46">
        <v>0</v>
      </c>
      <c r="HA44" s="46">
        <v>0</v>
      </c>
      <c r="HB44" s="46">
        <v>0</v>
      </c>
      <c r="HC44" s="46">
        <v>0</v>
      </c>
      <c r="HD44" s="46">
        <v>0</v>
      </c>
      <c r="HE44" s="46">
        <v>0</v>
      </c>
      <c r="HF44" s="46">
        <v>-45278</v>
      </c>
      <c r="HG44" s="46">
        <v>-1868403</v>
      </c>
      <c r="HH44" s="46">
        <v>-287907</v>
      </c>
      <c r="HI44" s="46">
        <v>0</v>
      </c>
      <c r="HJ44" s="46">
        <v>0</v>
      </c>
      <c r="HK44" s="46">
        <v>0</v>
      </c>
      <c r="HL44" s="46">
        <v>0</v>
      </c>
      <c r="HM44" s="46">
        <v>0</v>
      </c>
      <c r="HN44" s="46">
        <v>0</v>
      </c>
      <c r="HO44" s="46">
        <v>0</v>
      </c>
      <c r="HP44" s="46">
        <v>0</v>
      </c>
      <c r="HQ44" s="46">
        <v>0</v>
      </c>
      <c r="HR44" s="46">
        <v>12110124</v>
      </c>
      <c r="HS44" s="46">
        <v>0</v>
      </c>
      <c r="HT44" s="46">
        <v>0</v>
      </c>
      <c r="HU44" s="46">
        <v>0</v>
      </c>
      <c r="HV44" s="46">
        <v>0</v>
      </c>
      <c r="HW44" s="46">
        <v>0</v>
      </c>
      <c r="HX44" s="46">
        <v>0</v>
      </c>
      <c r="HY44" s="46">
        <v>0</v>
      </c>
      <c r="HZ44" s="46">
        <v>0</v>
      </c>
      <c r="IA44" s="46">
        <v>0</v>
      </c>
      <c r="IB44" s="46">
        <v>0</v>
      </c>
      <c r="IC44" s="46">
        <v>0</v>
      </c>
      <c r="ID44" s="46">
        <v>0</v>
      </c>
      <c r="IE44" s="46">
        <v>0</v>
      </c>
      <c r="IF44" s="46">
        <v>0</v>
      </c>
      <c r="IG44" s="46">
        <v>0</v>
      </c>
      <c r="IH44" s="46">
        <v>0</v>
      </c>
      <c r="II44" s="46">
        <v>0</v>
      </c>
      <c r="IJ44" s="46">
        <v>0</v>
      </c>
      <c r="IK44" s="46">
        <v>0</v>
      </c>
      <c r="IL44" s="46">
        <v>0</v>
      </c>
      <c r="IM44" s="46">
        <v>0</v>
      </c>
      <c r="IN44" s="46">
        <v>0</v>
      </c>
      <c r="IO44" s="46">
        <v>0</v>
      </c>
      <c r="IP44" s="46">
        <v>308054</v>
      </c>
      <c r="IQ44" s="46">
        <v>289396</v>
      </c>
      <c r="IR44" s="46">
        <v>47244</v>
      </c>
      <c r="IS44" s="46">
        <v>0</v>
      </c>
      <c r="IT44" s="46">
        <v>0</v>
      </c>
      <c r="IU44" s="46">
        <v>0</v>
      </c>
      <c r="IV44" s="46">
        <v>0</v>
      </c>
      <c r="IW44" s="46">
        <v>0</v>
      </c>
      <c r="IX44" s="46">
        <v>0</v>
      </c>
      <c r="IY44" s="46">
        <v>0</v>
      </c>
      <c r="IZ44" s="46">
        <v>0</v>
      </c>
      <c r="JA44" s="46">
        <v>0</v>
      </c>
      <c r="JB44" s="46">
        <v>0</v>
      </c>
      <c r="JC44" s="46">
        <v>0</v>
      </c>
      <c r="JD44" s="46">
        <v>0</v>
      </c>
      <c r="JE44" s="46">
        <v>0</v>
      </c>
      <c r="JF44" s="46">
        <v>0</v>
      </c>
      <c r="JG44" s="46">
        <v>0</v>
      </c>
      <c r="JH44" s="46">
        <v>0</v>
      </c>
      <c r="JI44" s="46">
        <v>0</v>
      </c>
      <c r="JJ44" s="46">
        <v>0</v>
      </c>
      <c r="JK44" s="46">
        <v>1430160</v>
      </c>
      <c r="JL44" s="46">
        <v>0</v>
      </c>
      <c r="JM44" s="46">
        <v>0</v>
      </c>
      <c r="JN44" s="46">
        <v>0</v>
      </c>
      <c r="JO44" s="46">
        <v>0</v>
      </c>
      <c r="JP44" s="46">
        <v>0</v>
      </c>
      <c r="JQ44" s="46">
        <v>0</v>
      </c>
      <c r="JR44" s="46">
        <v>0</v>
      </c>
      <c r="JS44" s="46">
        <v>0</v>
      </c>
      <c r="JT44" s="46">
        <v>0</v>
      </c>
      <c r="JU44" s="46">
        <v>0</v>
      </c>
      <c r="JV44" s="46">
        <v>0</v>
      </c>
      <c r="JW44" s="46">
        <v>0</v>
      </c>
      <c r="JX44" s="46">
        <v>0</v>
      </c>
      <c r="JY44" s="46">
        <v>0</v>
      </c>
      <c r="JZ44" s="46">
        <v>0</v>
      </c>
      <c r="KA44" s="46">
        <v>0</v>
      </c>
      <c r="KB44" s="46">
        <v>0</v>
      </c>
      <c r="KC44" s="46">
        <v>0</v>
      </c>
      <c r="KD44" s="46">
        <v>0</v>
      </c>
      <c r="KE44" s="46">
        <v>0</v>
      </c>
      <c r="KF44" s="46">
        <v>0</v>
      </c>
      <c r="KG44" s="46">
        <v>0</v>
      </c>
      <c r="KH44" s="46">
        <v>0</v>
      </c>
      <c r="KI44" s="46">
        <v>243275</v>
      </c>
      <c r="KJ44" s="46">
        <v>554276</v>
      </c>
      <c r="KK44" s="46">
        <v>9950</v>
      </c>
      <c r="KL44" s="46">
        <v>166369</v>
      </c>
      <c r="KM44" s="46">
        <v>32003</v>
      </c>
      <c r="KN44" s="46">
        <v>0</v>
      </c>
      <c r="KO44" s="46">
        <v>54891</v>
      </c>
      <c r="KP44" s="46">
        <v>0</v>
      </c>
      <c r="KQ44" s="46">
        <v>10566952</v>
      </c>
      <c r="KR44" s="46">
        <v>14233377</v>
      </c>
      <c r="KS44" s="46">
        <v>1455827</v>
      </c>
      <c r="KT44" s="46">
        <v>0</v>
      </c>
      <c r="KU44" s="46">
        <v>1115975</v>
      </c>
      <c r="KV44" s="46">
        <v>0</v>
      </c>
      <c r="KW44" s="46">
        <v>0</v>
      </c>
      <c r="KX44" s="46">
        <v>0</v>
      </c>
      <c r="KY44" s="46">
        <v>0</v>
      </c>
      <c r="KZ44" s="46">
        <v>0</v>
      </c>
      <c r="LA44" s="46">
        <v>0</v>
      </c>
      <c r="LB44" s="46">
        <v>0</v>
      </c>
      <c r="LC44" s="46">
        <v>0</v>
      </c>
      <c r="LD44" s="46">
        <v>0</v>
      </c>
      <c r="LE44" s="46">
        <v>0</v>
      </c>
      <c r="LF44" s="46">
        <v>0</v>
      </c>
      <c r="LG44" s="46">
        <v>0</v>
      </c>
      <c r="LH44" s="46">
        <v>0</v>
      </c>
      <c r="LI44" s="46">
        <v>0</v>
      </c>
      <c r="LJ44" s="46">
        <v>169929</v>
      </c>
      <c r="LK44" s="46">
        <v>35296</v>
      </c>
      <c r="LL44" s="46">
        <v>0</v>
      </c>
      <c r="LM44" s="46">
        <v>0</v>
      </c>
      <c r="LN44" s="46">
        <v>0</v>
      </c>
      <c r="LO44" s="46">
        <v>0</v>
      </c>
      <c r="LP44" s="46">
        <v>0</v>
      </c>
      <c r="LQ44" s="46">
        <v>0</v>
      </c>
      <c r="LR44" s="46">
        <v>0</v>
      </c>
      <c r="LS44" s="46">
        <v>0</v>
      </c>
      <c r="LT44" s="46">
        <v>0</v>
      </c>
      <c r="LU44" s="46">
        <v>0</v>
      </c>
      <c r="LV44" s="46">
        <v>0</v>
      </c>
      <c r="LW44" s="46">
        <v>0</v>
      </c>
      <c r="LX44" s="46">
        <v>0</v>
      </c>
      <c r="LY44" s="46">
        <v>0</v>
      </c>
      <c r="LZ44" s="46">
        <v>0</v>
      </c>
      <c r="MA44" s="46">
        <v>0</v>
      </c>
      <c r="MB44" s="46">
        <v>2745913</v>
      </c>
      <c r="MC44" s="46">
        <v>445514</v>
      </c>
      <c r="MD44" s="46">
        <v>0</v>
      </c>
      <c r="ME44" s="46">
        <v>36803</v>
      </c>
      <c r="MF44" s="46">
        <v>0</v>
      </c>
      <c r="MG44" s="46">
        <v>0</v>
      </c>
      <c r="MH44" s="46">
        <v>0</v>
      </c>
      <c r="MI44" s="46">
        <v>0</v>
      </c>
      <c r="MJ44" s="46">
        <v>0</v>
      </c>
      <c r="MK44" s="46">
        <v>1648256</v>
      </c>
      <c r="ML44" s="46">
        <v>118674</v>
      </c>
      <c r="MM44" s="46">
        <v>0</v>
      </c>
      <c r="MN44" s="46">
        <v>325415</v>
      </c>
      <c r="MO44" s="46">
        <v>0</v>
      </c>
      <c r="MP44" s="46">
        <v>0</v>
      </c>
      <c r="MQ44" s="46">
        <v>0</v>
      </c>
      <c r="MR44" s="46">
        <v>0</v>
      </c>
      <c r="MS44" s="46">
        <v>0</v>
      </c>
      <c r="MT44" s="46">
        <v>5342085</v>
      </c>
      <c r="MU44" s="46">
        <v>1504716</v>
      </c>
      <c r="MV44" s="46">
        <v>0</v>
      </c>
      <c r="MW44" s="46">
        <v>3898</v>
      </c>
      <c r="MX44" s="46">
        <v>0</v>
      </c>
      <c r="MY44" s="46">
        <v>0</v>
      </c>
      <c r="MZ44" s="46">
        <v>0</v>
      </c>
      <c r="NA44" s="46">
        <v>0</v>
      </c>
      <c r="NB44" s="46">
        <v>0</v>
      </c>
      <c r="NC44" s="46">
        <v>1774633</v>
      </c>
      <c r="ND44" s="46">
        <v>1045935</v>
      </c>
      <c r="NE44" s="46">
        <v>0</v>
      </c>
      <c r="NF44" s="46">
        <v>0</v>
      </c>
      <c r="NG44" s="46">
        <v>0</v>
      </c>
      <c r="NH44" s="46">
        <v>0</v>
      </c>
      <c r="NI44" s="46">
        <v>0</v>
      </c>
      <c r="NJ44" s="46">
        <v>0</v>
      </c>
      <c r="NK44" s="46">
        <v>0</v>
      </c>
      <c r="NL44" s="46">
        <v>0</v>
      </c>
      <c r="NM44" s="46">
        <v>0</v>
      </c>
      <c r="NN44" s="46">
        <v>0</v>
      </c>
      <c r="NO44" s="46">
        <v>8368411</v>
      </c>
      <c r="NP44" s="46">
        <v>0</v>
      </c>
      <c r="NQ44" s="46">
        <v>0</v>
      </c>
      <c r="NR44" s="46">
        <v>0</v>
      </c>
      <c r="NS44" s="46">
        <v>0</v>
      </c>
      <c r="NT44" s="46">
        <v>0</v>
      </c>
      <c r="NU44" s="46">
        <v>0</v>
      </c>
      <c r="NV44" s="46">
        <v>0</v>
      </c>
      <c r="NW44" s="46">
        <v>567451</v>
      </c>
      <c r="NX44" s="46">
        <v>0</v>
      </c>
      <c r="NY44" s="46">
        <v>0</v>
      </c>
      <c r="NZ44" s="46">
        <v>0</v>
      </c>
      <c r="OA44" s="46">
        <v>0</v>
      </c>
      <c r="OB44" s="46">
        <v>0</v>
      </c>
      <c r="OC44" s="46">
        <v>0</v>
      </c>
      <c r="OD44" s="46">
        <v>6616179</v>
      </c>
      <c r="OE44" s="46">
        <v>61610</v>
      </c>
      <c r="OF44" s="46">
        <v>0</v>
      </c>
      <c r="OG44" s="46">
        <v>196708</v>
      </c>
      <c r="OH44" s="46">
        <v>0</v>
      </c>
      <c r="OI44" s="46">
        <v>0</v>
      </c>
      <c r="OJ44" s="46">
        <v>0</v>
      </c>
      <c r="OK44" s="46">
        <v>0</v>
      </c>
      <c r="OL44" s="46">
        <v>0</v>
      </c>
      <c r="OM44" s="46">
        <v>1091999</v>
      </c>
      <c r="ON44" s="46">
        <v>-291191</v>
      </c>
      <c r="OO44" s="46">
        <v>-9516</v>
      </c>
      <c r="OP44" s="46">
        <v>0</v>
      </c>
      <c r="OQ44" s="46">
        <v>-32339</v>
      </c>
      <c r="OR44" s="46">
        <v>0</v>
      </c>
      <c r="OS44" s="46">
        <v>3753259</v>
      </c>
      <c r="OT44" s="46">
        <v>0</v>
      </c>
      <c r="OU44" s="46">
        <v>470388</v>
      </c>
      <c r="OV44" s="46">
        <v>0</v>
      </c>
      <c r="OW44" s="46">
        <v>0</v>
      </c>
      <c r="OX44" s="46">
        <v>0</v>
      </c>
      <c r="OY44" s="46">
        <v>0</v>
      </c>
      <c r="OZ44" s="46">
        <v>0</v>
      </c>
      <c r="PA44" s="46">
        <v>0</v>
      </c>
      <c r="PB44" s="46">
        <v>0</v>
      </c>
      <c r="PC44" s="46">
        <v>0</v>
      </c>
      <c r="PD44" s="46">
        <v>0</v>
      </c>
      <c r="PE44" s="46">
        <v>-449927</v>
      </c>
      <c r="PF44" s="46">
        <v>-184729</v>
      </c>
      <c r="PG44" s="46">
        <v>-4000</v>
      </c>
      <c r="PH44" s="46">
        <v>119000</v>
      </c>
      <c r="PI44" s="46">
        <v>49149</v>
      </c>
      <c r="PJ44" s="46">
        <v>0</v>
      </c>
      <c r="PK44" s="46">
        <v>10320064</v>
      </c>
      <c r="PL44" s="46">
        <v>0</v>
      </c>
      <c r="PM44" s="46">
        <v>0</v>
      </c>
      <c r="PN44" s="46">
        <v>0</v>
      </c>
      <c r="PO44" s="46">
        <v>0</v>
      </c>
      <c r="PP44" s="46">
        <v>0</v>
      </c>
      <c r="PQ44" s="46">
        <v>0</v>
      </c>
      <c r="PR44" s="46">
        <v>0</v>
      </c>
      <c r="PS44" s="46">
        <v>0</v>
      </c>
      <c r="PT44" s="46">
        <v>0</v>
      </c>
      <c r="PU44" s="46">
        <v>0</v>
      </c>
      <c r="PV44" s="46">
        <v>0</v>
      </c>
      <c r="PW44" s="46">
        <v>0</v>
      </c>
      <c r="PX44" s="46">
        <v>0</v>
      </c>
      <c r="PY44" s="46">
        <v>0</v>
      </c>
      <c r="PZ44" s="46">
        <v>0</v>
      </c>
      <c r="QA44" s="46">
        <v>0</v>
      </c>
      <c r="QB44" s="46">
        <v>0</v>
      </c>
      <c r="QC44" s="46">
        <v>0</v>
      </c>
      <c r="QD44" s="46">
        <v>0</v>
      </c>
      <c r="QE44" s="46">
        <v>0</v>
      </c>
      <c r="QF44" s="46">
        <v>0</v>
      </c>
      <c r="QG44" s="46">
        <v>0</v>
      </c>
      <c r="QH44" s="46">
        <v>0</v>
      </c>
      <c r="QI44" s="46">
        <v>0</v>
      </c>
      <c r="QJ44" s="46">
        <v>0</v>
      </c>
      <c r="QK44" s="46">
        <v>0</v>
      </c>
      <c r="QL44" s="46">
        <v>0</v>
      </c>
      <c r="QM44" s="46">
        <v>0</v>
      </c>
      <c r="QN44" s="46">
        <v>0</v>
      </c>
      <c r="QO44" s="46">
        <v>0</v>
      </c>
      <c r="QP44" s="46">
        <v>0</v>
      </c>
      <c r="QQ44" s="46">
        <v>0</v>
      </c>
      <c r="QR44" s="46">
        <v>0</v>
      </c>
      <c r="QS44" s="46">
        <v>0</v>
      </c>
      <c r="QT44" s="46">
        <v>0</v>
      </c>
      <c r="QU44" s="46">
        <v>0</v>
      </c>
      <c r="QV44" s="46">
        <v>0</v>
      </c>
      <c r="QW44" s="46">
        <v>0</v>
      </c>
      <c r="QX44" s="46">
        <v>-4229750</v>
      </c>
      <c r="QY44" s="46">
        <v>0</v>
      </c>
      <c r="QZ44" s="46">
        <v>0</v>
      </c>
      <c r="RA44" s="46">
        <v>0</v>
      </c>
      <c r="RB44" s="46">
        <v>0</v>
      </c>
      <c r="RC44" s="46">
        <v>0</v>
      </c>
      <c r="RD44" s="46">
        <v>0</v>
      </c>
      <c r="RE44" s="46">
        <v>0</v>
      </c>
      <c r="RF44" s="46">
        <v>0</v>
      </c>
      <c r="RG44" s="46">
        <v>0</v>
      </c>
      <c r="RH44" s="46">
        <v>0</v>
      </c>
      <c r="RI44" s="46">
        <v>0</v>
      </c>
      <c r="RJ44" s="46">
        <v>0</v>
      </c>
      <c r="RK44" s="46">
        <v>0</v>
      </c>
      <c r="RL44" s="46">
        <v>0</v>
      </c>
      <c r="RM44" s="46">
        <v>0</v>
      </c>
      <c r="RN44" s="46">
        <v>0</v>
      </c>
      <c r="RO44" s="46">
        <v>-4504209</v>
      </c>
      <c r="RP44" s="46">
        <v>0</v>
      </c>
      <c r="RQ44" s="46">
        <v>0</v>
      </c>
      <c r="RR44" s="46">
        <v>0</v>
      </c>
      <c r="RS44" s="46">
        <v>0</v>
      </c>
      <c r="RT44" s="46">
        <v>0</v>
      </c>
      <c r="RU44" s="46">
        <v>0</v>
      </c>
      <c r="RV44" s="46">
        <v>0</v>
      </c>
      <c r="RW44" s="46">
        <v>0</v>
      </c>
      <c r="RX44" s="46">
        <v>0</v>
      </c>
      <c r="RY44" s="46">
        <v>0</v>
      </c>
      <c r="RZ44" s="46">
        <v>0</v>
      </c>
      <c r="SA44" s="46">
        <v>0</v>
      </c>
      <c r="SB44" s="46">
        <v>0</v>
      </c>
      <c r="SC44" s="46">
        <v>0</v>
      </c>
      <c r="SD44" s="46">
        <v>0</v>
      </c>
      <c r="SE44" s="46">
        <v>0</v>
      </c>
      <c r="SF44" s="46">
        <v>0</v>
      </c>
      <c r="SG44" s="46">
        <v>0</v>
      </c>
      <c r="SH44" s="46">
        <v>0</v>
      </c>
      <c r="SI44" s="46">
        <v>0</v>
      </c>
      <c r="SJ44" s="46">
        <v>0</v>
      </c>
      <c r="SK44" s="46">
        <v>0</v>
      </c>
      <c r="SL44" s="46">
        <v>0</v>
      </c>
      <c r="SM44" s="46">
        <v>0</v>
      </c>
      <c r="SN44" s="46">
        <v>0</v>
      </c>
      <c r="SO44" s="46">
        <v>0</v>
      </c>
      <c r="SP44" s="46">
        <v>0</v>
      </c>
      <c r="SQ44" s="46">
        <v>0</v>
      </c>
      <c r="SR44" s="46">
        <v>0</v>
      </c>
      <c r="SS44" s="46">
        <v>0</v>
      </c>
      <c r="ST44" s="46">
        <v>0</v>
      </c>
      <c r="SU44" s="46">
        <v>0</v>
      </c>
      <c r="SV44" s="46">
        <v>0</v>
      </c>
      <c r="SW44" s="46">
        <v>0</v>
      </c>
      <c r="SX44" s="46">
        <v>0</v>
      </c>
      <c r="SY44" s="46">
        <v>0</v>
      </c>
      <c r="SZ44" s="46">
        <v>141349</v>
      </c>
      <c r="TA44" s="46">
        <v>0</v>
      </c>
      <c r="TB44" s="46">
        <v>0</v>
      </c>
      <c r="TC44" s="46">
        <v>0</v>
      </c>
      <c r="TD44" s="46">
        <v>0</v>
      </c>
      <c r="TE44" s="46">
        <v>196708</v>
      </c>
      <c r="TF44" s="46">
        <v>424257</v>
      </c>
      <c r="TG44" s="46">
        <v>6112183</v>
      </c>
      <c r="TH44" s="46">
        <v>0</v>
      </c>
      <c r="TI44" s="46">
        <v>0</v>
      </c>
      <c r="TJ44" s="46">
        <v>0</v>
      </c>
      <c r="TK44" s="46">
        <v>0</v>
      </c>
      <c r="TL44" s="46">
        <v>0</v>
      </c>
      <c r="TM44" s="46">
        <v>0</v>
      </c>
      <c r="TN44" s="46">
        <v>0</v>
      </c>
      <c r="TO44" s="46">
        <v>0</v>
      </c>
      <c r="TP44" s="46">
        <v>0</v>
      </c>
      <c r="TQ44" s="46">
        <v>0</v>
      </c>
      <c r="TR44" s="46">
        <v>0</v>
      </c>
      <c r="TS44" s="46">
        <v>0</v>
      </c>
      <c r="TT44" s="46">
        <v>0</v>
      </c>
      <c r="TU44" s="46">
        <v>0</v>
      </c>
      <c r="TV44" s="46">
        <v>0</v>
      </c>
      <c r="TW44" s="46">
        <v>0</v>
      </c>
      <c r="TX44" s="46">
        <v>0</v>
      </c>
      <c r="TY44" s="46">
        <v>0</v>
      </c>
      <c r="TZ44" s="46">
        <v>0</v>
      </c>
      <c r="UA44" s="46">
        <v>0</v>
      </c>
      <c r="UB44" s="46">
        <v>0</v>
      </c>
      <c r="UC44" s="46">
        <v>0</v>
      </c>
      <c r="UD44" s="46">
        <v>0</v>
      </c>
      <c r="UE44" s="46">
        <v>16805179</v>
      </c>
      <c r="UF44" s="46">
        <v>0</v>
      </c>
      <c r="UG44" s="46">
        <v>205225</v>
      </c>
      <c r="UH44" s="46">
        <v>0</v>
      </c>
      <c r="UI44" s="46">
        <v>3228230</v>
      </c>
      <c r="UJ44" s="46">
        <v>2092345</v>
      </c>
      <c r="UK44" s="46">
        <v>6850699</v>
      </c>
      <c r="UL44" s="46">
        <v>2820568</v>
      </c>
      <c r="UM44" s="46">
        <v>8368411</v>
      </c>
      <c r="UN44" s="46">
        <v>567451</v>
      </c>
      <c r="UO44"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6874497</v>
      </c>
      <c r="UP44" s="46">
        <f>SUM(Input[[#This Row],[Oth Exp E&amp;G]],Input[[#This Row],[Oth Exp Desg]],Input[[#This Row],[Oth Exp Aux]],Input[[#This Row],[Oth Exp R Exp]],Input[[#This Row],[Oth Exp Loan]],Input[[#This Row],[Oth Exp Annuity]],Input[[#This Row],[Oth Exp Unexp]],Input[[#This Row],[Oth Exp R of Ind]],Input[[#This Row],[Oth Exp Inv in P]])</f>
        <v>4982600</v>
      </c>
      <c r="UQ44" s="46"/>
      <c r="UR44" s="46"/>
      <c r="US44" s="8" t="s">
        <v>745</v>
      </c>
      <c r="UT44" s="47">
        <v>4092475134</v>
      </c>
      <c r="UU44" s="8" t="s">
        <v>91</v>
      </c>
      <c r="UV44" s="8" t="s">
        <v>746</v>
      </c>
      <c r="UW44" s="47">
        <v>4098392065</v>
      </c>
      <c r="UX44" s="8" t="s">
        <v>747</v>
      </c>
      <c r="UY44" s="51" cm="1">
        <f t="array" ref="UY44">IFERROR(_xlfn.IFS(Input[[#This Row],[Type]]="HRI",SUMIFS('FTSE | FTFE'!$P$8:$P$77,'FTSE | FTFE'!$H$8:$H$77,A44),Input[[#This Row],[Type]]="UNIV",SUMIFS('FTSE | FTFE'!$P$104:$P$139,'FTSE | FTFE'!$H$104:$H$139,A44),OR(Input[[#This Row],[Type]]="TSTC",Input[[#This Row],[Type]]="LSC"),SUMIFS('FTSE | FTFE'!$O$88:$O$96,'FTSE | FTFE'!$H$88:$H$96,A44),Input[[#This Row],[Type]]="AHM",SUMIFS(Hidden!$H$42:$H$45,Hidden!$G$42:$G$45,A44)),"N/A")</f>
        <v>3487</v>
      </c>
      <c r="UZ44" s="51" cm="1">
        <f t="array" ref="UZ44">IFERROR(_xlfn.IFS(Input[[#This Row],[Type]]="HRI",SUMIFS('FTSE | FTFE'!$Q$8:$Q$77,'FTSE | FTFE'!$H$8:$H$77,A44),Input[[#This Row],[Type]]="UNIV",SUMIFS('FTSE | FTFE'!$Q$104:$Q$139,'FTSE | FTFE'!$H$104:$H$139,A44),OR(Input[[#This Row],[Type]]="TSTC",Input[[#This Row],[Type]]="LSC"),SUMIFS('FTSE | FTFE'!$P$88:$P$96,'FTSE | FTFE'!$H$88:$H$96,A44)),"N/A")</f>
        <v>138.75</v>
      </c>
      <c r="VA4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31731012</v>
      </c>
      <c r="VB4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2630158</v>
      </c>
      <c r="VC44" s="46">
        <f>SUM(Input[[#This Row],[Fed G&amp;C E&amp;G]],Input[[#This Row],[Fed G&amp;C Desg]],Input[[#This Row],[Fed G&amp;C R Exp]],Input[[#This Row],[Fed G&amp;C Loan]],Input[[#This Row],[Fed G&amp;C Annuity]],Input[[#This Row],[Fed G&amp;C Unexp]],Input[[#This Row],[Fed G&amp;C R of Ind]],Input[[#This Row],[Fed G&amp;C Inv in P]])</f>
        <v>12110124</v>
      </c>
      <c r="VD4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13645376</v>
      </c>
      <c r="VE4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3073668</v>
      </c>
      <c r="VF4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1392951</v>
      </c>
      <c r="VG44" s="46">
        <f>SUM(Input[[#This Row],[Oth Inc E&amp;G]],Input[[#This Row],[Oth Exp Desg]],Input[[#This Row],[Oth Exp R Exp]],Input[[#This Row],[Oth Exp Loan]],Input[[#This Row],[Oth Exp Annuity]],Input[[#This Row],[Oth Exp Unexp]],Input[[#This Row],[Oth Exp R of Ind]],Input[[#This Row],[Oth Exp Inv in P]])</f>
        <v>4143392</v>
      </c>
      <c r="VH44" s="46">
        <f>SUM(Input[[#This Row],[Instr E&amp;G]],Input[[#This Row],[Instr Desg]],Input[[#This Row],[Instr R Exp]],Input[[#This Row],[Instr Loan]],Input[[#This Row],[Instr Annuity]],Input[[#This Row],[Instr Unexp]],Input[[#This Row],[Instr R of Ind]],Input[[#This Row],[Instr Inv in P]])</f>
        <v>16805179</v>
      </c>
      <c r="VI44" s="46">
        <f>SUM(Input[[#This Row],[Res E&amp;G]],Input[[#This Row],[Res Desg]],Input[[#This Row],[Res R Exp]],Input[[#This Row],[Res Loan]],Input[[#This Row],[Res Annuity]],Input[[#This Row],[Res Unexp]],Input[[#This Row],[Res R of Ind]],Input[[#This Row],[Res Inv in P]])</f>
        <v>0</v>
      </c>
      <c r="VJ44" s="46">
        <f>SUM(Input[[#This Row],[Acad Sup E&amp;G]],Input[[#This Row],[Acad Sup Desg]],Input[[#This Row],[Acad Sup R Exp]],Input[[#This Row],[Acad Sup Loan]],Input[[#This Row],[Acad Sup Annuity]],Input[[#This Row],[Acad Sup Unexp]],Input[[#This Row],[Acad Sup R of Ind]],Input[[#This Row],[Acad Sup Inv in P]])</f>
        <v>3228230</v>
      </c>
      <c r="VK44" s="46">
        <f>SUM(Input[[#This Row],[Stu Svc E&amp;G]],Input[[#This Row],[Stu Svc Desg]],Input[[#This Row],[Stu Svc R Exp]],Input[[#This Row],[Stu Svc Loan]],Input[[#This Row],[Stu Svc Annuity]],Input[[#This Row],[Stu Svc Unexp]],Input[[#This Row],[Stu Svc R of Ind]],Input[[#This Row],[Stu Svc Inv in P]])</f>
        <v>2092345</v>
      </c>
      <c r="VL44" s="46">
        <f>SUM(Input[[#This Row],[Inst. Spt E&amp;G]],Input[[#This Row],[Inst. Spt Desg]],Input[[#This Row],[Inst. Spt R Exp]],Input[[#This Row],[Inst. Spt Loan]],Input[[#This Row],[Inst. Spt Annuity]],Input[[#This Row],[Inst. Spt Unexp]],Input[[#This Row],[Inst. Spt R of Ind]],Input[[#This Row],[Inst. Spt Inv in P]])</f>
        <v>6850699</v>
      </c>
      <c r="VM44" s="46">
        <f>SUM(Input[[#This Row],[M&amp;O Plnt E&amp;G]],Input[[#This Row],[M&amp;O Plnt Desg]],Input[[#This Row],[M&amp;O Plnt R Exp]],Input[[#This Row],[M&amp;O Plnt Loan]],Input[[#This Row],[M&amp;O Plnt Annuity]],Input[[#This Row],[M&amp;O Plnt Unexp]],Input[[#This Row],[M&amp;O Plnt R of Ind]],Input[[#This Row],[M&amp;O Plnt Inv in P]])</f>
        <v>2820568</v>
      </c>
      <c r="VN44" s="46">
        <f>SUM(Input[[#This Row],[Schl &amp; Fell E&amp;G]],Input[[#This Row],[Schl &amp; Fell Desg]],Input[[#This Row],[Schl &amp; Fell R Exp]],Input[[#This Row],[Schl &amp; Fell Loan]],Input[[#This Row],[Schl &amp; Fell Annuity]],Input[[#This Row],[Schl &amp; Fell Unexp]],Input[[#This Row],[Schl &amp; Fell R of Ind]],Input[[#This Row],[Schl &amp; Fell Inv in P]])</f>
        <v>8368411</v>
      </c>
      <c r="VO44" s="46">
        <f>SUM(Input[[#This Row],[Cap Out fund E&amp;G]],Input[[#This Row],[Cap Out fund Desg]],Input[[#This Row],[Cap Out fund R Exp]],Input[[#This Row],[Cap Out fund Loan]],Input[[#This Row],[Cap Out fund Annuity]],Input[[#This Row],[Cap Out fund Unexp]],Input[[#This Row],[Cap Out fund R of Ind]],Input[[#This Row],[Cap Out fund Inv in P]])</f>
        <v>6874497</v>
      </c>
      <c r="VP44" s="46">
        <f>SUM(Input[[#This Row],[Oth Exp E&amp;G]],Input[[#This Row],[Oth Exp Desg]],Input[[#This Row],[Oth Exp R Exp]],Input[[#This Row],[Oth Exp Loan]],Input[[#This Row],[Oth Exp Annuity]],Input[[#This Row],[Oth Exp Unexp]],Input[[#This Row],[Oth Exp R of Ind]],Input[[#This Row],[Oth Exp Inv in P]],Input[[#This Row],[Oth Exp Inv in P]])</f>
        <v>5462504</v>
      </c>
    </row>
    <row r="45" spans="1:588" ht="30" customHeight="1" x14ac:dyDescent="0.3">
      <c r="A45" s="15" t="s">
        <v>39</v>
      </c>
      <c r="B45" s="36" t="s">
        <v>113</v>
      </c>
      <c r="C45" s="36" t="s">
        <v>113</v>
      </c>
      <c r="D45" s="36">
        <v>803</v>
      </c>
      <c r="E45" s="36" t="s">
        <v>134</v>
      </c>
      <c r="F45" s="95" cm="1">
        <f t="array" ref="F45">IFERROR(_xlfn.IFS(Input[[#This Row],[Type]]="HRI",SUMIFS('FTSE | FTFE'!$I$8:$I$77,'FTSE | FTFE'!$H$8:$H$77,A45),Input[[#This Row],[Type]]="UNIV",SUMIFS('FTSE | FTFE'!$I$104:$I$139,'FTSE | FTFE'!$H$104:$H$139,A45),OR(Input[[#This Row],[Type]]="TSTC",Input[[#This Row],[Type]]="LSC"),SUMIFS('FTSE | FTFE'!$I$88:$I$96,'FTSE | FTFE'!$H$88:$H$96,A45)),"N/A")</f>
        <v>23582</v>
      </c>
      <c r="G45" s="46">
        <v>20863379</v>
      </c>
      <c r="H45" s="46">
        <v>0</v>
      </c>
      <c r="I45" s="46">
        <v>0</v>
      </c>
      <c r="J45" s="46">
        <v>0</v>
      </c>
      <c r="K45" s="46">
        <v>0</v>
      </c>
      <c r="L45" s="46">
        <v>0</v>
      </c>
      <c r="M45" s="46">
        <v>0</v>
      </c>
      <c r="N45" s="46">
        <v>0</v>
      </c>
      <c r="O45" s="46">
        <v>0</v>
      </c>
      <c r="P45" s="46">
        <v>157946</v>
      </c>
      <c r="Q45" s="46">
        <v>311857</v>
      </c>
      <c r="R45" s="46">
        <v>0</v>
      </c>
      <c r="S45" s="46">
        <v>1229314</v>
      </c>
      <c r="T45" s="46">
        <v>0</v>
      </c>
      <c r="U45" s="46">
        <v>0</v>
      </c>
      <c r="V45" s="46">
        <v>0</v>
      </c>
      <c r="W45" s="46">
        <v>0</v>
      </c>
      <c r="X45" s="46">
        <v>0</v>
      </c>
      <c r="Y45" s="46">
        <v>1533301</v>
      </c>
      <c r="Z45" s="46">
        <v>0</v>
      </c>
      <c r="AA45" s="46">
        <v>0</v>
      </c>
      <c r="AB45" s="46">
        <v>0</v>
      </c>
      <c r="AC45" s="46">
        <v>0</v>
      </c>
      <c r="AD45" s="46">
        <v>0</v>
      </c>
      <c r="AE45" s="46">
        <v>0</v>
      </c>
      <c r="AF45" s="46">
        <v>0</v>
      </c>
      <c r="AG45" s="46">
        <v>0</v>
      </c>
      <c r="AH45" s="46">
        <v>0</v>
      </c>
      <c r="AI45" s="46">
        <v>0</v>
      </c>
      <c r="AJ45" s="46">
        <v>0</v>
      </c>
      <c r="AK45" s="46">
        <v>0</v>
      </c>
      <c r="AL45" s="46">
        <v>0</v>
      </c>
      <c r="AM45" s="46">
        <v>0</v>
      </c>
      <c r="AN45" s="46">
        <v>0</v>
      </c>
      <c r="AO45" s="46">
        <v>0</v>
      </c>
      <c r="AP45" s="46">
        <v>0</v>
      </c>
      <c r="AQ45" s="46">
        <v>-1676852</v>
      </c>
      <c r="AR45" s="46">
        <v>-542825</v>
      </c>
      <c r="AS45" s="46">
        <v>0</v>
      </c>
      <c r="AT45" s="46">
        <v>0</v>
      </c>
      <c r="AU45" s="46">
        <v>0</v>
      </c>
      <c r="AV45" s="46">
        <v>0</v>
      </c>
      <c r="AW45" s="46">
        <v>0</v>
      </c>
      <c r="AX45" s="46">
        <v>0</v>
      </c>
      <c r="AY45" s="46">
        <v>0</v>
      </c>
      <c r="AZ45" s="46">
        <v>0</v>
      </c>
      <c r="BA45" s="46">
        <v>0</v>
      </c>
      <c r="BB45" s="46">
        <v>0</v>
      </c>
      <c r="BC45" s="46">
        <v>0</v>
      </c>
      <c r="BD45" s="46">
        <v>0</v>
      </c>
      <c r="BE45" s="46">
        <v>0</v>
      </c>
      <c r="BF45" s="46">
        <v>0</v>
      </c>
      <c r="BG45" s="46">
        <v>0</v>
      </c>
      <c r="BH45" s="46">
        <v>0</v>
      </c>
      <c r="BI45" s="46">
        <v>0</v>
      </c>
      <c r="BJ45" s="46">
        <v>0</v>
      </c>
      <c r="BK45" s="46">
        <v>0</v>
      </c>
      <c r="BL45" s="46">
        <v>0</v>
      </c>
      <c r="BM45" s="46">
        <v>0</v>
      </c>
      <c r="BN45" s="46">
        <v>0</v>
      </c>
      <c r="BO45" s="46">
        <v>0</v>
      </c>
      <c r="BP45" s="46">
        <v>0</v>
      </c>
      <c r="BQ45" s="46">
        <v>0</v>
      </c>
      <c r="BR45" s="46">
        <v>0</v>
      </c>
      <c r="BS45" s="46">
        <v>0</v>
      </c>
      <c r="BT45" s="46">
        <v>0</v>
      </c>
      <c r="BU45" s="46">
        <v>0</v>
      </c>
      <c r="BV45" s="46">
        <v>0</v>
      </c>
      <c r="BW45" s="46">
        <v>0</v>
      </c>
      <c r="BX45" s="46">
        <v>0</v>
      </c>
      <c r="BY45" s="46">
        <v>0</v>
      </c>
      <c r="BZ45" s="46">
        <v>0</v>
      </c>
      <c r="CA45" s="46">
        <v>1814913</v>
      </c>
      <c r="CB45" s="46">
        <v>2279112</v>
      </c>
      <c r="CC45" s="46">
        <v>0</v>
      </c>
      <c r="CD45" s="46">
        <v>0</v>
      </c>
      <c r="CE45" s="46">
        <v>0</v>
      </c>
      <c r="CF45" s="46">
        <v>0</v>
      </c>
      <c r="CG45" s="46">
        <v>0</v>
      </c>
      <c r="CH45" s="46">
        <v>0</v>
      </c>
      <c r="CI45" s="46">
        <v>0</v>
      </c>
      <c r="CJ45" s="46">
        <v>0</v>
      </c>
      <c r="CK45" s="46">
        <v>0</v>
      </c>
      <c r="CL45" s="46">
        <v>0</v>
      </c>
      <c r="CM45" s="46">
        <v>0</v>
      </c>
      <c r="CN45" s="46">
        <v>0</v>
      </c>
      <c r="CO45" s="46">
        <v>0</v>
      </c>
      <c r="CP45" s="46">
        <v>0</v>
      </c>
      <c r="CQ45" s="46">
        <v>0</v>
      </c>
      <c r="CR45" s="46">
        <v>0</v>
      </c>
      <c r="CS45" s="46">
        <v>0</v>
      </c>
      <c r="CT45" s="46">
        <v>0</v>
      </c>
      <c r="CU45" s="46">
        <v>0</v>
      </c>
      <c r="CV45" s="46">
        <v>0</v>
      </c>
      <c r="CW45" s="46">
        <v>0</v>
      </c>
      <c r="CX45" s="46">
        <v>0</v>
      </c>
      <c r="CY45" s="46">
        <v>0</v>
      </c>
      <c r="CZ45" s="46">
        <v>0</v>
      </c>
      <c r="DA45" s="46">
        <v>0</v>
      </c>
      <c r="DB45" s="46">
        <v>-50904</v>
      </c>
      <c r="DC45" s="46">
        <v>-33847</v>
      </c>
      <c r="DD45" s="46">
        <v>0</v>
      </c>
      <c r="DE45" s="46">
        <v>0</v>
      </c>
      <c r="DF45" s="46">
        <v>0</v>
      </c>
      <c r="DG45" s="46">
        <v>0</v>
      </c>
      <c r="DH45" s="46">
        <v>0</v>
      </c>
      <c r="DI45" s="46">
        <v>0</v>
      </c>
      <c r="DJ45" s="46">
        <v>0</v>
      </c>
      <c r="DK45" s="46">
        <v>0</v>
      </c>
      <c r="DL45" s="46">
        <v>0</v>
      </c>
      <c r="DM45" s="46">
        <v>0</v>
      </c>
      <c r="DN45" s="46">
        <v>0</v>
      </c>
      <c r="DO45" s="46">
        <v>0</v>
      </c>
      <c r="DP45" s="46">
        <v>0</v>
      </c>
      <c r="DQ45" s="46">
        <v>0</v>
      </c>
      <c r="DR45" s="46">
        <v>0</v>
      </c>
      <c r="DS45" s="46">
        <v>0</v>
      </c>
      <c r="DT45" s="46">
        <v>-1136291</v>
      </c>
      <c r="DU45" s="46">
        <v>-1210900</v>
      </c>
      <c r="DV45" s="46">
        <v>0</v>
      </c>
      <c r="DW45" s="46">
        <v>0</v>
      </c>
      <c r="DX45" s="46">
        <v>0</v>
      </c>
      <c r="DY45" s="46">
        <v>0</v>
      </c>
      <c r="DZ45" s="46">
        <v>0</v>
      </c>
      <c r="EA45" s="46">
        <v>0</v>
      </c>
      <c r="EB45" s="46">
        <v>0</v>
      </c>
      <c r="EC45" s="46">
        <v>0</v>
      </c>
      <c r="ED45" s="46">
        <v>0</v>
      </c>
      <c r="EE45" s="46">
        <v>0</v>
      </c>
      <c r="EF45" s="46">
        <v>0</v>
      </c>
      <c r="EG45" s="46">
        <v>0</v>
      </c>
      <c r="EH45" s="46">
        <v>0</v>
      </c>
      <c r="EI45" s="46">
        <v>0</v>
      </c>
      <c r="EJ45" s="46">
        <v>0</v>
      </c>
      <c r="EK45" s="46">
        <v>0</v>
      </c>
      <c r="EL45" s="46">
        <v>0</v>
      </c>
      <c r="EM45" s="46">
        <v>0</v>
      </c>
      <c r="EN45" s="46">
        <v>0</v>
      </c>
      <c r="EO45" s="46">
        <v>0</v>
      </c>
      <c r="EP45" s="46">
        <v>0</v>
      </c>
      <c r="EQ45" s="46">
        <v>0</v>
      </c>
      <c r="ER45" s="46">
        <v>0</v>
      </c>
      <c r="ES45" s="46">
        <v>0</v>
      </c>
      <c r="ET45" s="46">
        <v>0</v>
      </c>
      <c r="EU45" s="46">
        <v>0</v>
      </c>
      <c r="EV45" s="46">
        <v>0</v>
      </c>
      <c r="EW45" s="46">
        <v>0</v>
      </c>
      <c r="EX45" s="46">
        <v>0</v>
      </c>
      <c r="EY45" s="46">
        <v>0</v>
      </c>
      <c r="EZ45" s="46">
        <v>0</v>
      </c>
      <c r="FA45" s="46">
        <v>0</v>
      </c>
      <c r="FB45" s="46">
        <v>0</v>
      </c>
      <c r="FC45" s="46">
        <v>0</v>
      </c>
      <c r="FD45" s="46">
        <v>0</v>
      </c>
      <c r="FE45" s="46">
        <v>0</v>
      </c>
      <c r="FF45" s="46">
        <v>0</v>
      </c>
      <c r="FG45" s="46">
        <v>0</v>
      </c>
      <c r="FH45" s="46">
        <v>0</v>
      </c>
      <c r="FI45" s="46">
        <v>0</v>
      </c>
      <c r="FJ45" s="46">
        <v>0</v>
      </c>
      <c r="FK45" s="46">
        <v>0</v>
      </c>
      <c r="FL45" s="46">
        <v>0</v>
      </c>
      <c r="FM45" s="46">
        <v>34668</v>
      </c>
      <c r="FN45" s="46">
        <v>2633035</v>
      </c>
      <c r="FO45" s="46">
        <v>238975</v>
      </c>
      <c r="FP45" s="46">
        <v>0</v>
      </c>
      <c r="FQ45" s="46">
        <v>0</v>
      </c>
      <c r="FR45" s="46">
        <v>0</v>
      </c>
      <c r="FS45" s="46">
        <v>0</v>
      </c>
      <c r="FT45" s="46">
        <v>0</v>
      </c>
      <c r="FU45" s="46">
        <v>0</v>
      </c>
      <c r="FV45" s="46">
        <v>0</v>
      </c>
      <c r="FW45" s="46">
        <v>0</v>
      </c>
      <c r="FX45" s="46">
        <v>0</v>
      </c>
      <c r="FY45" s="46">
        <v>0</v>
      </c>
      <c r="FZ45" s="46">
        <v>0</v>
      </c>
      <c r="GA45" s="46">
        <v>0</v>
      </c>
      <c r="GB45" s="46">
        <v>0</v>
      </c>
      <c r="GC45" s="46">
        <v>0</v>
      </c>
      <c r="GD45" s="46">
        <v>0</v>
      </c>
      <c r="GE45" s="46">
        <v>0</v>
      </c>
      <c r="GF45" s="46">
        <v>0</v>
      </c>
      <c r="GG45" s="46">
        <v>0</v>
      </c>
      <c r="GH45" s="46">
        <v>0</v>
      </c>
      <c r="GI45" s="46">
        <v>0</v>
      </c>
      <c r="GJ45" s="46">
        <v>0</v>
      </c>
      <c r="GK45" s="46">
        <v>0</v>
      </c>
      <c r="GL45" s="46">
        <v>0</v>
      </c>
      <c r="GM45" s="46">
        <v>0</v>
      </c>
      <c r="GN45" s="46">
        <v>-813</v>
      </c>
      <c r="GO45" s="46">
        <v>-44935</v>
      </c>
      <c r="GP45" s="46">
        <v>0</v>
      </c>
      <c r="GQ45" s="46">
        <v>0</v>
      </c>
      <c r="GR45" s="46">
        <v>0</v>
      </c>
      <c r="GS45" s="46">
        <v>0</v>
      </c>
      <c r="GT45" s="46">
        <v>0</v>
      </c>
      <c r="GU45" s="46">
        <v>0</v>
      </c>
      <c r="GV45" s="46">
        <v>0</v>
      </c>
      <c r="GW45" s="46">
        <v>0</v>
      </c>
      <c r="GX45" s="46">
        <v>0</v>
      </c>
      <c r="GY45" s="46">
        <v>0</v>
      </c>
      <c r="GZ45" s="46">
        <v>0</v>
      </c>
      <c r="HA45" s="46">
        <v>0</v>
      </c>
      <c r="HB45" s="46">
        <v>0</v>
      </c>
      <c r="HC45" s="46">
        <v>0</v>
      </c>
      <c r="HD45" s="46">
        <v>0</v>
      </c>
      <c r="HE45" s="46">
        <v>0</v>
      </c>
      <c r="HF45" s="46">
        <v>-611849</v>
      </c>
      <c r="HG45" s="46">
        <v>-652023</v>
      </c>
      <c r="HH45" s="46">
        <v>-112408</v>
      </c>
      <c r="HI45" s="46">
        <v>0</v>
      </c>
      <c r="HJ45" s="46">
        <v>0</v>
      </c>
      <c r="HK45" s="46">
        <v>0</v>
      </c>
      <c r="HL45" s="46">
        <v>0</v>
      </c>
      <c r="HM45" s="46">
        <v>0</v>
      </c>
      <c r="HN45" s="46">
        <v>0</v>
      </c>
      <c r="HO45" s="46">
        <v>0</v>
      </c>
      <c r="HP45" s="46">
        <v>0</v>
      </c>
      <c r="HQ45" s="46">
        <v>0</v>
      </c>
      <c r="HR45" s="46">
        <v>5670044</v>
      </c>
      <c r="HS45" s="46">
        <v>0</v>
      </c>
      <c r="HT45" s="46">
        <v>0</v>
      </c>
      <c r="HU45" s="46">
        <v>0</v>
      </c>
      <c r="HV45" s="46">
        <v>0</v>
      </c>
      <c r="HW45" s="46">
        <v>0</v>
      </c>
      <c r="HX45" s="46">
        <v>0</v>
      </c>
      <c r="HY45" s="46">
        <v>0</v>
      </c>
      <c r="HZ45" s="46">
        <v>0</v>
      </c>
      <c r="IA45" s="46">
        <v>0</v>
      </c>
      <c r="IB45" s="46">
        <v>0</v>
      </c>
      <c r="IC45" s="46">
        <v>0</v>
      </c>
      <c r="ID45" s="46">
        <v>0</v>
      </c>
      <c r="IE45" s="46">
        <v>0</v>
      </c>
      <c r="IF45" s="46">
        <v>0</v>
      </c>
      <c r="IG45" s="46">
        <v>0</v>
      </c>
      <c r="IH45" s="46">
        <v>0</v>
      </c>
      <c r="II45" s="46">
        <v>0</v>
      </c>
      <c r="IJ45" s="46">
        <v>0</v>
      </c>
      <c r="IK45" s="46">
        <v>0</v>
      </c>
      <c r="IL45" s="46">
        <v>0</v>
      </c>
      <c r="IM45" s="46">
        <v>0</v>
      </c>
      <c r="IN45" s="46">
        <v>0</v>
      </c>
      <c r="IO45" s="46">
        <v>0</v>
      </c>
      <c r="IP45" s="46">
        <v>209581</v>
      </c>
      <c r="IQ45" s="46">
        <v>596898</v>
      </c>
      <c r="IR45" s="46">
        <v>2488</v>
      </c>
      <c r="IS45" s="46">
        <v>0</v>
      </c>
      <c r="IT45" s="46">
        <v>0</v>
      </c>
      <c r="IU45" s="46">
        <v>0</v>
      </c>
      <c r="IV45" s="46">
        <v>112</v>
      </c>
      <c r="IW45" s="46">
        <v>0</v>
      </c>
      <c r="IX45" s="46">
        <v>0</v>
      </c>
      <c r="IY45" s="46">
        <v>0</v>
      </c>
      <c r="IZ45" s="46">
        <v>0</v>
      </c>
      <c r="JA45" s="46">
        <v>0</v>
      </c>
      <c r="JB45" s="46">
        <v>0</v>
      </c>
      <c r="JC45" s="46">
        <v>0</v>
      </c>
      <c r="JD45" s="46">
        <v>0</v>
      </c>
      <c r="JE45" s="46">
        <v>0</v>
      </c>
      <c r="JF45" s="46">
        <v>0</v>
      </c>
      <c r="JG45" s="46">
        <v>0</v>
      </c>
      <c r="JH45" s="46">
        <v>0</v>
      </c>
      <c r="JI45" s="46">
        <v>0</v>
      </c>
      <c r="JJ45" s="46">
        <v>0</v>
      </c>
      <c r="JK45" s="46">
        <v>485191</v>
      </c>
      <c r="JL45" s="46">
        <v>0</v>
      </c>
      <c r="JM45" s="46">
        <v>0</v>
      </c>
      <c r="JN45" s="46">
        <v>0</v>
      </c>
      <c r="JO45" s="46">
        <v>0</v>
      </c>
      <c r="JP45" s="46">
        <v>0</v>
      </c>
      <c r="JQ45" s="46">
        <v>0</v>
      </c>
      <c r="JR45" s="46">
        <v>55956</v>
      </c>
      <c r="JS45" s="46">
        <v>198226</v>
      </c>
      <c r="JT45" s="46">
        <v>0</v>
      </c>
      <c r="JU45" s="46">
        <v>0</v>
      </c>
      <c r="JV45" s="46">
        <v>0</v>
      </c>
      <c r="JW45" s="46">
        <v>0</v>
      </c>
      <c r="JX45" s="46">
        <v>0</v>
      </c>
      <c r="JY45" s="46">
        <v>0</v>
      </c>
      <c r="JZ45" s="46">
        <v>0</v>
      </c>
      <c r="KA45" s="46">
        <v>0</v>
      </c>
      <c r="KB45" s="46">
        <v>0</v>
      </c>
      <c r="KC45" s="46">
        <v>0</v>
      </c>
      <c r="KD45" s="46">
        <v>0</v>
      </c>
      <c r="KE45" s="46">
        <v>0</v>
      </c>
      <c r="KF45" s="46">
        <v>0</v>
      </c>
      <c r="KG45" s="46">
        <v>0</v>
      </c>
      <c r="KH45" s="46">
        <v>0</v>
      </c>
      <c r="KI45" s="46">
        <v>36683</v>
      </c>
      <c r="KJ45" s="46">
        <v>984152</v>
      </c>
      <c r="KK45" s="46">
        <v>2066</v>
      </c>
      <c r="KL45" s="46">
        <v>110</v>
      </c>
      <c r="KM45" s="46">
        <v>20445</v>
      </c>
      <c r="KN45" s="46">
        <v>0</v>
      </c>
      <c r="KO45" s="46">
        <v>-469801</v>
      </c>
      <c r="KP45" s="46">
        <v>0</v>
      </c>
      <c r="KQ45" s="46">
        <v>0</v>
      </c>
      <c r="KR45" s="46">
        <v>6707713</v>
      </c>
      <c r="KS45" s="46">
        <v>639475</v>
      </c>
      <c r="KT45" s="46">
        <v>0</v>
      </c>
      <c r="KU45" s="46">
        <v>1067117</v>
      </c>
      <c r="KV45" s="46">
        <v>0</v>
      </c>
      <c r="KW45" s="46">
        <v>0</v>
      </c>
      <c r="KX45" s="46">
        <v>0</v>
      </c>
      <c r="KY45" s="46">
        <v>0</v>
      </c>
      <c r="KZ45" s="46">
        <v>0</v>
      </c>
      <c r="LA45" s="46">
        <v>0</v>
      </c>
      <c r="LB45" s="46">
        <v>0</v>
      </c>
      <c r="LC45" s="46">
        <v>0</v>
      </c>
      <c r="LD45" s="46">
        <v>0</v>
      </c>
      <c r="LE45" s="46">
        <v>0</v>
      </c>
      <c r="LF45" s="46">
        <v>0</v>
      </c>
      <c r="LG45" s="46">
        <v>0</v>
      </c>
      <c r="LH45" s="46">
        <v>0</v>
      </c>
      <c r="LI45" s="46">
        <v>0</v>
      </c>
      <c r="LJ45" s="46">
        <v>823462</v>
      </c>
      <c r="LK45" s="46">
        <v>325117</v>
      </c>
      <c r="LL45" s="46">
        <v>0</v>
      </c>
      <c r="LM45" s="46">
        <v>506433</v>
      </c>
      <c r="LN45" s="46">
        <v>0</v>
      </c>
      <c r="LO45" s="46">
        <v>0</v>
      </c>
      <c r="LP45" s="46">
        <v>0</v>
      </c>
      <c r="LQ45" s="46">
        <v>0</v>
      </c>
      <c r="LR45" s="46">
        <v>0</v>
      </c>
      <c r="LS45" s="46">
        <v>0</v>
      </c>
      <c r="LT45" s="46">
        <v>0</v>
      </c>
      <c r="LU45" s="46">
        <v>0</v>
      </c>
      <c r="LV45" s="46">
        <v>0</v>
      </c>
      <c r="LW45" s="46">
        <v>0</v>
      </c>
      <c r="LX45" s="46">
        <v>0</v>
      </c>
      <c r="LY45" s="46">
        <v>0</v>
      </c>
      <c r="LZ45" s="46">
        <v>0</v>
      </c>
      <c r="MA45" s="46">
        <v>0</v>
      </c>
      <c r="MB45" s="46">
        <v>3141016</v>
      </c>
      <c r="MC45" s="46">
        <v>341159</v>
      </c>
      <c r="MD45" s="46">
        <v>0</v>
      </c>
      <c r="ME45" s="46">
        <v>0</v>
      </c>
      <c r="MF45" s="46">
        <v>0</v>
      </c>
      <c r="MG45" s="46">
        <v>0</v>
      </c>
      <c r="MH45" s="46">
        <v>0</v>
      </c>
      <c r="MI45" s="46">
        <v>0</v>
      </c>
      <c r="MJ45" s="46">
        <v>0</v>
      </c>
      <c r="MK45" s="46">
        <v>1847193</v>
      </c>
      <c r="ML45" s="46">
        <v>419080</v>
      </c>
      <c r="MM45" s="46">
        <v>463516</v>
      </c>
      <c r="MN45" s="46">
        <v>0</v>
      </c>
      <c r="MO45" s="46">
        <v>0</v>
      </c>
      <c r="MP45" s="46">
        <v>0</v>
      </c>
      <c r="MQ45" s="46">
        <v>0</v>
      </c>
      <c r="MR45" s="46">
        <v>0</v>
      </c>
      <c r="MS45" s="46">
        <v>0</v>
      </c>
      <c r="MT45" s="46">
        <v>4165893</v>
      </c>
      <c r="MU45" s="46">
        <v>1484960</v>
      </c>
      <c r="MV45" s="46">
        <v>0</v>
      </c>
      <c r="MW45" s="46">
        <v>0</v>
      </c>
      <c r="MX45" s="46">
        <v>0</v>
      </c>
      <c r="MY45" s="46">
        <v>0</v>
      </c>
      <c r="MZ45" s="46">
        <v>0</v>
      </c>
      <c r="NA45" s="46">
        <v>0</v>
      </c>
      <c r="NB45" s="46">
        <v>0</v>
      </c>
      <c r="NC45" s="46">
        <v>2581966</v>
      </c>
      <c r="ND45" s="46">
        <v>103228</v>
      </c>
      <c r="NE45" s="46">
        <v>0</v>
      </c>
      <c r="NF45" s="46">
        <v>0</v>
      </c>
      <c r="NG45" s="46">
        <v>0</v>
      </c>
      <c r="NH45" s="46">
        <v>0</v>
      </c>
      <c r="NI45" s="46">
        <v>0</v>
      </c>
      <c r="NJ45" s="46">
        <v>0</v>
      </c>
      <c r="NK45" s="46">
        <v>0</v>
      </c>
      <c r="NL45" s="46">
        <v>-1536407</v>
      </c>
      <c r="NM45" s="46">
        <v>1348146</v>
      </c>
      <c r="NN45" s="46">
        <v>-108955</v>
      </c>
      <c r="NO45" s="46">
        <v>5871011</v>
      </c>
      <c r="NP45" s="46">
        <v>0</v>
      </c>
      <c r="NQ45" s="46">
        <v>0</v>
      </c>
      <c r="NR45" s="46">
        <v>0</v>
      </c>
      <c r="NS45" s="46">
        <v>0</v>
      </c>
      <c r="NT45" s="46">
        <v>0</v>
      </c>
      <c r="NU45" s="46">
        <v>0</v>
      </c>
      <c r="NV45" s="46">
        <v>0</v>
      </c>
      <c r="NW45" s="46">
        <v>0</v>
      </c>
      <c r="NX45" s="46">
        <v>0</v>
      </c>
      <c r="NY45" s="46">
        <v>0</v>
      </c>
      <c r="NZ45" s="46">
        <v>0</v>
      </c>
      <c r="OA45" s="46">
        <v>0</v>
      </c>
      <c r="OB45" s="46">
        <v>0</v>
      </c>
      <c r="OC45" s="46">
        <v>0</v>
      </c>
      <c r="OD45" s="46">
        <v>5237736</v>
      </c>
      <c r="OE45" s="46">
        <v>91063</v>
      </c>
      <c r="OF45" s="46">
        <v>0</v>
      </c>
      <c r="OG45" s="46">
        <v>733850</v>
      </c>
      <c r="OH45" s="46">
        <v>0</v>
      </c>
      <c r="OI45" s="46">
        <v>0</v>
      </c>
      <c r="OJ45" s="46">
        <v>0</v>
      </c>
      <c r="OK45" s="46">
        <v>0</v>
      </c>
      <c r="OL45" s="46">
        <v>0</v>
      </c>
      <c r="OM45" s="46">
        <v>0</v>
      </c>
      <c r="ON45" s="46">
        <v>0</v>
      </c>
      <c r="OO45" s="46">
        <v>0</v>
      </c>
      <c r="OP45" s="46">
        <v>0</v>
      </c>
      <c r="OQ45" s="46">
        <v>0</v>
      </c>
      <c r="OR45" s="46">
        <v>0</v>
      </c>
      <c r="OS45" s="46">
        <v>0</v>
      </c>
      <c r="OT45" s="46">
        <v>0</v>
      </c>
      <c r="OU45" s="46">
        <v>0</v>
      </c>
      <c r="OV45" s="46">
        <v>0</v>
      </c>
      <c r="OW45" s="46">
        <v>0</v>
      </c>
      <c r="OX45" s="46">
        <v>0</v>
      </c>
      <c r="OY45" s="46">
        <v>0</v>
      </c>
      <c r="OZ45" s="46">
        <v>0</v>
      </c>
      <c r="PA45" s="46">
        <v>0</v>
      </c>
      <c r="PB45" s="46">
        <v>0</v>
      </c>
      <c r="PC45" s="46">
        <v>0</v>
      </c>
      <c r="PD45" s="46">
        <v>0</v>
      </c>
      <c r="PE45" s="46">
        <v>31833</v>
      </c>
      <c r="PF45" s="46">
        <v>-316398</v>
      </c>
      <c r="PG45" s="46">
        <v>0</v>
      </c>
      <c r="PH45" s="46">
        <v>79500</v>
      </c>
      <c r="PI45" s="46">
        <v>0</v>
      </c>
      <c r="PJ45" s="46">
        <v>0</v>
      </c>
      <c r="PK45" s="46">
        <v>11757885</v>
      </c>
      <c r="PL45" s="46">
        <v>0</v>
      </c>
      <c r="PM45" s="46">
        <v>0</v>
      </c>
      <c r="PN45" s="46">
        <v>0</v>
      </c>
      <c r="PO45" s="46">
        <v>0</v>
      </c>
      <c r="PP45" s="46">
        <v>0</v>
      </c>
      <c r="PQ45" s="46">
        <v>0</v>
      </c>
      <c r="PR45" s="46">
        <v>0</v>
      </c>
      <c r="PS45" s="46">
        <v>0</v>
      </c>
      <c r="PT45" s="46">
        <v>0</v>
      </c>
      <c r="PU45" s="46">
        <v>0</v>
      </c>
      <c r="PV45" s="46">
        <v>0</v>
      </c>
      <c r="PW45" s="46">
        <v>-4262750</v>
      </c>
      <c r="PX45" s="46">
        <v>-341180</v>
      </c>
      <c r="PY45" s="46">
        <v>0</v>
      </c>
      <c r="PZ45" s="46">
        <v>0</v>
      </c>
      <c r="QA45" s="46">
        <v>0</v>
      </c>
      <c r="QB45" s="46">
        <v>0</v>
      </c>
      <c r="QC45" s="46">
        <v>0</v>
      </c>
      <c r="QD45" s="46">
        <v>0</v>
      </c>
      <c r="QE45" s="46">
        <v>0</v>
      </c>
      <c r="QF45" s="46">
        <v>0</v>
      </c>
      <c r="QG45" s="46">
        <v>0</v>
      </c>
      <c r="QH45" s="46">
        <v>0</v>
      </c>
      <c r="QI45" s="46">
        <v>0</v>
      </c>
      <c r="QJ45" s="46">
        <v>0</v>
      </c>
      <c r="QK45" s="46">
        <v>0</v>
      </c>
      <c r="QL45" s="46">
        <v>0</v>
      </c>
      <c r="QM45" s="46">
        <v>0</v>
      </c>
      <c r="QN45" s="46">
        <v>0</v>
      </c>
      <c r="QO45" s="46">
        <v>0</v>
      </c>
      <c r="QP45" s="46">
        <v>0</v>
      </c>
      <c r="QQ45" s="46">
        <v>0</v>
      </c>
      <c r="QR45" s="46">
        <v>0</v>
      </c>
      <c r="QS45" s="46">
        <v>0</v>
      </c>
      <c r="QT45" s="46">
        <v>0</v>
      </c>
      <c r="QU45" s="46">
        <v>0</v>
      </c>
      <c r="QV45" s="46">
        <v>0</v>
      </c>
      <c r="QW45" s="46">
        <v>0</v>
      </c>
      <c r="QX45" s="46">
        <v>0</v>
      </c>
      <c r="QY45" s="46">
        <v>0</v>
      </c>
      <c r="QZ45" s="46">
        <v>0</v>
      </c>
      <c r="RA45" s="46">
        <v>0</v>
      </c>
      <c r="RB45" s="46">
        <v>0</v>
      </c>
      <c r="RC45" s="46">
        <v>0</v>
      </c>
      <c r="RD45" s="46">
        <v>0</v>
      </c>
      <c r="RE45" s="46">
        <v>0</v>
      </c>
      <c r="RF45" s="46">
        <v>0</v>
      </c>
      <c r="RG45" s="46">
        <v>0</v>
      </c>
      <c r="RH45" s="46">
        <v>0</v>
      </c>
      <c r="RI45" s="46">
        <v>0</v>
      </c>
      <c r="RJ45" s="46">
        <v>0</v>
      </c>
      <c r="RK45" s="46">
        <v>0</v>
      </c>
      <c r="RL45" s="46">
        <v>0</v>
      </c>
      <c r="RM45" s="46">
        <v>0</v>
      </c>
      <c r="RN45" s="46">
        <v>0</v>
      </c>
      <c r="RO45" s="46">
        <v>-3110790</v>
      </c>
      <c r="RP45" s="46">
        <v>0</v>
      </c>
      <c r="RQ45" s="46">
        <v>0</v>
      </c>
      <c r="RR45" s="46">
        <v>0</v>
      </c>
      <c r="RS45" s="46">
        <v>0</v>
      </c>
      <c r="RT45" s="46">
        <v>0</v>
      </c>
      <c r="RU45" s="46">
        <v>0</v>
      </c>
      <c r="RV45" s="46">
        <v>0</v>
      </c>
      <c r="RW45" s="46">
        <v>0</v>
      </c>
      <c r="RX45" s="46">
        <v>0</v>
      </c>
      <c r="RY45" s="46">
        <v>0</v>
      </c>
      <c r="RZ45" s="46">
        <v>0</v>
      </c>
      <c r="SA45" s="46">
        <v>0</v>
      </c>
      <c r="SB45" s="46">
        <v>0</v>
      </c>
      <c r="SC45" s="46">
        <v>0</v>
      </c>
      <c r="SD45" s="46">
        <v>0</v>
      </c>
      <c r="SE45" s="46">
        <v>0</v>
      </c>
      <c r="SF45" s="46">
        <v>0</v>
      </c>
      <c r="SG45" s="46">
        <v>0</v>
      </c>
      <c r="SH45" s="46">
        <v>0</v>
      </c>
      <c r="SI45" s="46">
        <v>0</v>
      </c>
      <c r="SJ45" s="46">
        <v>0</v>
      </c>
      <c r="SK45" s="46">
        <v>0</v>
      </c>
      <c r="SL45" s="46">
        <v>0</v>
      </c>
      <c r="SM45" s="46">
        <v>0</v>
      </c>
      <c r="SN45" s="46">
        <v>0</v>
      </c>
      <c r="SO45" s="46">
        <v>0</v>
      </c>
      <c r="SP45" s="46">
        <v>0</v>
      </c>
      <c r="SQ45" s="46">
        <v>5237736</v>
      </c>
      <c r="SR45" s="46">
        <v>91063</v>
      </c>
      <c r="SS45" s="46">
        <v>0</v>
      </c>
      <c r="ST45" s="46">
        <v>733850</v>
      </c>
      <c r="SU45" s="46">
        <v>0</v>
      </c>
      <c r="SV45" s="46">
        <v>0</v>
      </c>
      <c r="SW45" s="46">
        <v>0</v>
      </c>
      <c r="SX45" s="46">
        <v>0</v>
      </c>
      <c r="SY45" s="46">
        <v>0</v>
      </c>
      <c r="SZ45" s="46">
        <v>243073</v>
      </c>
      <c r="TA45" s="46">
        <v>0</v>
      </c>
      <c r="TB45" s="46">
        <v>506138</v>
      </c>
      <c r="TC45" s="46">
        <v>0</v>
      </c>
      <c r="TD45" s="46">
        <v>31363</v>
      </c>
      <c r="TE45" s="46">
        <v>0</v>
      </c>
      <c r="TF45" s="46">
        <v>13000</v>
      </c>
      <c r="TG45" s="46">
        <v>5269075</v>
      </c>
      <c r="TH45" s="46">
        <v>0</v>
      </c>
      <c r="TI45" s="46">
        <v>0</v>
      </c>
      <c r="TJ45" s="46">
        <v>0</v>
      </c>
      <c r="TK45" s="46">
        <v>157981</v>
      </c>
      <c r="TL45" s="46">
        <v>0</v>
      </c>
      <c r="TM45" s="46">
        <v>0</v>
      </c>
      <c r="TN45" s="46">
        <v>0</v>
      </c>
      <c r="TO45" s="46">
        <v>0</v>
      </c>
      <c r="TP45" s="46">
        <v>0</v>
      </c>
      <c r="TQ45" s="46">
        <v>0</v>
      </c>
      <c r="TR45" s="46">
        <v>0</v>
      </c>
      <c r="TS45" s="46">
        <v>0</v>
      </c>
      <c r="TT45" s="46">
        <v>181888</v>
      </c>
      <c r="TU45" s="46">
        <v>0</v>
      </c>
      <c r="TV45" s="46">
        <v>0</v>
      </c>
      <c r="TW45" s="46">
        <v>0</v>
      </c>
      <c r="TX45" s="46">
        <v>0</v>
      </c>
      <c r="TY45" s="46">
        <v>0</v>
      </c>
      <c r="TZ45" s="46">
        <v>0</v>
      </c>
      <c r="UA45" s="46">
        <v>0</v>
      </c>
      <c r="UB45" s="46">
        <v>0</v>
      </c>
      <c r="UC45" s="46">
        <v>0</v>
      </c>
      <c r="UD45" s="46">
        <v>0</v>
      </c>
      <c r="UE45" s="46">
        <v>8414305</v>
      </c>
      <c r="UF45" s="46">
        <v>0</v>
      </c>
      <c r="UG45" s="46">
        <v>1655012</v>
      </c>
      <c r="UH45" s="46">
        <v>0</v>
      </c>
      <c r="UI45" s="46">
        <v>3482175</v>
      </c>
      <c r="UJ45" s="46">
        <v>2729789</v>
      </c>
      <c r="UK45" s="46">
        <v>5650853</v>
      </c>
      <c r="UL45" s="46">
        <v>2685194</v>
      </c>
      <c r="UM45" s="46">
        <v>5573795</v>
      </c>
      <c r="UN45" s="46">
        <v>0</v>
      </c>
      <c r="UO4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6062649</v>
      </c>
      <c r="UP45" s="46">
        <f>SUM(Input[[#This Row],[Oth Exp E&amp;G]],Input[[#This Row],[Oth Exp Desg]],Input[[#This Row],[Oth Exp Aux]],Input[[#This Row],[Oth Exp R Exp]],Input[[#This Row],[Oth Exp Loan]],Input[[#This Row],[Oth Exp Annuity]],Input[[#This Row],[Oth Exp Unexp]],Input[[#This Row],[Oth Exp R of Ind]],Input[[#This Row],[Oth Exp Inv in P]])</f>
        <v>0</v>
      </c>
      <c r="UQ45" s="46"/>
      <c r="UR45" s="46"/>
      <c r="US45" s="8" t="s">
        <v>748</v>
      </c>
      <c r="UT45" s="47">
        <v>4098823365</v>
      </c>
      <c r="UU45" s="8" t="s">
        <v>972</v>
      </c>
      <c r="UV45" s="8" t="s">
        <v>749</v>
      </c>
      <c r="UW45" s="47">
        <v>4098823915</v>
      </c>
      <c r="UX45" s="8" t="s">
        <v>964</v>
      </c>
      <c r="UY45" s="51" cm="1">
        <f t="array" ref="UY45">IFERROR(_xlfn.IFS(Input[[#This Row],[Type]]="HRI",SUMIFS('FTSE | FTFE'!$P$8:$P$77,'FTSE | FTFE'!$H$8:$H$77,A45),Input[[#This Row],[Type]]="UNIV",SUMIFS('FTSE | FTFE'!$P$104:$P$139,'FTSE | FTFE'!$H$104:$H$139,A45),OR(Input[[#This Row],[Type]]="TSTC",Input[[#This Row],[Type]]="LSC"),SUMIFS('FTSE | FTFE'!$O$88:$O$96,'FTSE | FTFE'!$H$88:$H$96,A45),Input[[#This Row],[Type]]="AHM",SUMIFS(Hidden!$H$42:$H$45,Hidden!$G$42:$G$45,A45)),"N/A")</f>
        <v>2060</v>
      </c>
      <c r="UZ45" s="51" cm="1">
        <f t="array" ref="UZ45">IFERROR(_xlfn.IFS(Input[[#This Row],[Type]]="HRI",SUMIFS('FTSE | FTFE'!$Q$8:$Q$77,'FTSE | FTFE'!$H$8:$H$77,A45),Input[[#This Row],[Type]]="UNIV",SUMIFS('FTSE | FTFE'!$Q$104:$Q$139,'FTSE | FTFE'!$H$104:$H$139,A45),OR(Input[[#This Row],[Type]]="TSTC",Input[[#This Row],[Type]]="LSC"),SUMIFS('FTSE | FTFE'!$P$88:$P$96,'FTSE | FTFE'!$H$88:$H$96,A45)),"N/A")</f>
        <v>84.23</v>
      </c>
      <c r="VA4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22562496</v>
      </c>
      <c r="VB4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1533301</v>
      </c>
      <c r="VC45" s="46">
        <f>SUM(Input[[#This Row],[Fed G&amp;C E&amp;G]],Input[[#This Row],[Fed G&amp;C Desg]],Input[[#This Row],[Fed G&amp;C R Exp]],Input[[#This Row],[Fed G&amp;C Loan]],Input[[#This Row],[Fed G&amp;C Annuity]],Input[[#This Row],[Fed G&amp;C Unexp]],Input[[#This Row],[Fed G&amp;C R of Ind]],Input[[#This Row],[Fed G&amp;C Inv in P]])</f>
        <v>5670044</v>
      </c>
      <c r="VD4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1919327</v>
      </c>
      <c r="VE4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1662083</v>
      </c>
      <c r="VF4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1358083</v>
      </c>
      <c r="VG45" s="46">
        <f>SUM(Input[[#This Row],[Oth Inc E&amp;G]],Input[[#This Row],[Oth Exp Desg]],Input[[#This Row],[Oth Exp R Exp]],Input[[#This Row],[Oth Exp Loan]],Input[[#This Row],[Oth Exp Annuity]],Input[[#This Row],[Oth Exp Unexp]],Input[[#This Row],[Oth Exp R of Ind]],Input[[#This Row],[Oth Exp Inv in P]])</f>
        <v>36683</v>
      </c>
      <c r="VH45" s="46">
        <f>SUM(Input[[#This Row],[Instr E&amp;G]],Input[[#This Row],[Instr Desg]],Input[[#This Row],[Instr R Exp]],Input[[#This Row],[Instr Loan]],Input[[#This Row],[Instr Annuity]],Input[[#This Row],[Instr Unexp]],Input[[#This Row],[Instr R of Ind]],Input[[#This Row],[Instr Inv in P]])</f>
        <v>8414305</v>
      </c>
      <c r="VI45" s="46">
        <f>SUM(Input[[#This Row],[Res E&amp;G]],Input[[#This Row],[Res Desg]],Input[[#This Row],[Res R Exp]],Input[[#This Row],[Res Loan]],Input[[#This Row],[Res Annuity]],Input[[#This Row],[Res Unexp]],Input[[#This Row],[Res R of Ind]],Input[[#This Row],[Res Inv in P]])</f>
        <v>0</v>
      </c>
      <c r="VJ45" s="46">
        <f>SUM(Input[[#This Row],[Acad Sup E&amp;G]],Input[[#This Row],[Acad Sup Desg]],Input[[#This Row],[Acad Sup R Exp]],Input[[#This Row],[Acad Sup Loan]],Input[[#This Row],[Acad Sup Annuity]],Input[[#This Row],[Acad Sup Unexp]],Input[[#This Row],[Acad Sup R of Ind]],Input[[#This Row],[Acad Sup Inv in P]])</f>
        <v>3482175</v>
      </c>
      <c r="VK45" s="46">
        <f>SUM(Input[[#This Row],[Stu Svc E&amp;G]],Input[[#This Row],[Stu Svc Desg]],Input[[#This Row],[Stu Svc R Exp]],Input[[#This Row],[Stu Svc Loan]],Input[[#This Row],[Stu Svc Annuity]],Input[[#This Row],[Stu Svc Unexp]],Input[[#This Row],[Stu Svc R of Ind]],Input[[#This Row],[Stu Svc Inv in P]])</f>
        <v>2266273</v>
      </c>
      <c r="VL45" s="46">
        <f>SUM(Input[[#This Row],[Inst. Spt E&amp;G]],Input[[#This Row],[Inst. Spt Desg]],Input[[#This Row],[Inst. Spt R Exp]],Input[[#This Row],[Inst. Spt Loan]],Input[[#This Row],[Inst. Spt Annuity]],Input[[#This Row],[Inst. Spt Unexp]],Input[[#This Row],[Inst. Spt R of Ind]],Input[[#This Row],[Inst. Spt Inv in P]])</f>
        <v>5650853</v>
      </c>
      <c r="VM45" s="46">
        <f>SUM(Input[[#This Row],[M&amp;O Plnt E&amp;G]],Input[[#This Row],[M&amp;O Plnt Desg]],Input[[#This Row],[M&amp;O Plnt R Exp]],Input[[#This Row],[M&amp;O Plnt Loan]],Input[[#This Row],[M&amp;O Plnt Annuity]],Input[[#This Row],[M&amp;O Plnt Unexp]],Input[[#This Row],[M&amp;O Plnt R of Ind]],Input[[#This Row],[M&amp;O Plnt Inv in P]])</f>
        <v>2685194</v>
      </c>
      <c r="VN45" s="46">
        <f>SUM(Input[[#This Row],[Schl &amp; Fell E&amp;G]],Input[[#This Row],[Schl &amp; Fell Desg]],Input[[#This Row],[Schl &amp; Fell R Exp]],Input[[#This Row],[Schl &amp; Fell Loan]],Input[[#This Row],[Schl &amp; Fell Annuity]],Input[[#This Row],[Schl &amp; Fell Unexp]],Input[[#This Row],[Schl &amp; Fell R of Ind]],Input[[#This Row],[Schl &amp; Fell Inv in P]])</f>
        <v>5682750</v>
      </c>
      <c r="VO45" s="46">
        <f>SUM(Input[[#This Row],[Cap Out fund E&amp;G]],Input[[#This Row],[Cap Out fund Desg]],Input[[#This Row],[Cap Out fund R Exp]],Input[[#This Row],[Cap Out fund Loan]],Input[[#This Row],[Cap Out fund Annuity]],Input[[#This Row],[Cap Out fund Unexp]],Input[[#This Row],[Cap Out fund R of Ind]],Input[[#This Row],[Cap Out fund Inv in P]])</f>
        <v>6062649</v>
      </c>
      <c r="VP45" s="46">
        <f>SUM(Input[[#This Row],[Oth Exp E&amp;G]],Input[[#This Row],[Oth Exp Desg]],Input[[#This Row],[Oth Exp R Exp]],Input[[#This Row],[Oth Exp Loan]],Input[[#This Row],[Oth Exp Annuity]],Input[[#This Row],[Oth Exp Unexp]],Input[[#This Row],[Oth Exp R of Ind]],Input[[#This Row],[Oth Exp Inv in P]],Input[[#This Row],[Oth Exp Inv in P]])</f>
        <v>0</v>
      </c>
    </row>
    <row r="46" spans="1:588" ht="30" customHeight="1" x14ac:dyDescent="0.3">
      <c r="A46" s="15" t="s">
        <v>42</v>
      </c>
      <c r="B46" s="36" t="s">
        <v>113</v>
      </c>
      <c r="C46" s="36" t="s">
        <v>113</v>
      </c>
      <c r="D46" s="36">
        <v>804</v>
      </c>
      <c r="E46" s="36" t="s">
        <v>134</v>
      </c>
      <c r="F46" s="95" cm="1">
        <f t="array" ref="F46">IFERROR(_xlfn.IFS(Input[[#This Row],[Type]]="HRI",SUMIFS('FTSE | FTFE'!$I$8:$I$77,'FTSE | FTFE'!$H$8:$H$77,A46),Input[[#This Row],[Type]]="UNIV",SUMIFS('FTSE | FTFE'!$I$104:$I$139,'FTSE | FTFE'!$H$104:$H$139,A46),OR(Input[[#This Row],[Type]]="TSTC",Input[[#This Row],[Type]]="LSC"),SUMIFS('FTSE | FTFE'!$I$88:$I$96,'FTSE | FTFE'!$H$88:$H$96,A46)),"N/A")</f>
        <v>23485</v>
      </c>
      <c r="G46" s="46">
        <v>22705788</v>
      </c>
      <c r="H46" s="46">
        <v>0</v>
      </c>
      <c r="I46" s="46">
        <v>0</v>
      </c>
      <c r="J46" s="46">
        <v>0</v>
      </c>
      <c r="K46" s="46">
        <v>0</v>
      </c>
      <c r="L46" s="46">
        <v>0</v>
      </c>
      <c r="M46" s="46">
        <v>0</v>
      </c>
      <c r="N46" s="46">
        <v>0</v>
      </c>
      <c r="O46" s="46">
        <v>0</v>
      </c>
      <c r="P46" s="46">
        <v>0</v>
      </c>
      <c r="Q46" s="46">
        <v>0</v>
      </c>
      <c r="R46" s="46">
        <v>0</v>
      </c>
      <c r="S46" s="46">
        <v>2297502</v>
      </c>
      <c r="T46" s="46">
        <v>0</v>
      </c>
      <c r="U46" s="46">
        <v>0</v>
      </c>
      <c r="V46" s="46">
        <v>0</v>
      </c>
      <c r="W46" s="46">
        <v>0</v>
      </c>
      <c r="X46" s="46">
        <v>0</v>
      </c>
      <c r="Y46" s="46">
        <v>2283992</v>
      </c>
      <c r="Z46" s="46">
        <v>0</v>
      </c>
      <c r="AA46" s="46">
        <v>0</v>
      </c>
      <c r="AB46" s="46">
        <v>0</v>
      </c>
      <c r="AC46" s="46">
        <v>0</v>
      </c>
      <c r="AD46" s="46">
        <v>0</v>
      </c>
      <c r="AE46" s="46">
        <v>0</v>
      </c>
      <c r="AF46" s="46">
        <v>0</v>
      </c>
      <c r="AG46" s="46">
        <v>0</v>
      </c>
      <c r="AH46" s="46">
        <v>0</v>
      </c>
      <c r="AI46" s="46">
        <v>0</v>
      </c>
      <c r="AJ46" s="46">
        <v>0</v>
      </c>
      <c r="AK46" s="46">
        <v>0</v>
      </c>
      <c r="AL46" s="46">
        <v>0</v>
      </c>
      <c r="AM46" s="46">
        <v>0</v>
      </c>
      <c r="AN46" s="46">
        <v>0</v>
      </c>
      <c r="AO46" s="46">
        <v>0</v>
      </c>
      <c r="AP46" s="46">
        <v>0</v>
      </c>
      <c r="AQ46" s="46">
        <v>-164805</v>
      </c>
      <c r="AR46" s="46">
        <v>-11917</v>
      </c>
      <c r="AS46" s="46">
        <v>0</v>
      </c>
      <c r="AT46" s="46">
        <v>0</v>
      </c>
      <c r="AU46" s="46">
        <v>0</v>
      </c>
      <c r="AV46" s="46">
        <v>0</v>
      </c>
      <c r="AW46" s="46">
        <v>0</v>
      </c>
      <c r="AX46" s="46">
        <v>0</v>
      </c>
      <c r="AY46" s="46">
        <v>0</v>
      </c>
      <c r="AZ46" s="46">
        <v>0</v>
      </c>
      <c r="BA46" s="46">
        <v>0</v>
      </c>
      <c r="BB46" s="46">
        <v>0</v>
      </c>
      <c r="BC46" s="46">
        <v>0</v>
      </c>
      <c r="BD46" s="46">
        <v>0</v>
      </c>
      <c r="BE46" s="46">
        <v>0</v>
      </c>
      <c r="BF46" s="46">
        <v>0</v>
      </c>
      <c r="BG46" s="46">
        <v>0</v>
      </c>
      <c r="BH46" s="46">
        <v>0</v>
      </c>
      <c r="BI46" s="46">
        <v>0</v>
      </c>
      <c r="BJ46" s="46">
        <v>0</v>
      </c>
      <c r="BK46" s="46">
        <v>0</v>
      </c>
      <c r="BL46" s="46">
        <v>0</v>
      </c>
      <c r="BM46" s="46">
        <v>0</v>
      </c>
      <c r="BN46" s="46">
        <v>0</v>
      </c>
      <c r="BO46" s="46">
        <v>0</v>
      </c>
      <c r="BP46" s="46">
        <v>0</v>
      </c>
      <c r="BQ46" s="46">
        <v>0</v>
      </c>
      <c r="BR46" s="46">
        <v>0</v>
      </c>
      <c r="BS46" s="46">
        <v>0</v>
      </c>
      <c r="BT46" s="46">
        <v>0</v>
      </c>
      <c r="BU46" s="46">
        <v>0</v>
      </c>
      <c r="BV46" s="46">
        <v>0</v>
      </c>
      <c r="BW46" s="46">
        <v>0</v>
      </c>
      <c r="BX46" s="46">
        <v>0</v>
      </c>
      <c r="BY46" s="46">
        <v>0</v>
      </c>
      <c r="BZ46" s="46">
        <v>0</v>
      </c>
      <c r="CA46" s="46">
        <v>1754304</v>
      </c>
      <c r="CB46" s="46">
        <v>1992120</v>
      </c>
      <c r="CC46" s="46">
        <v>0</v>
      </c>
      <c r="CD46" s="46">
        <v>0</v>
      </c>
      <c r="CE46" s="46">
        <v>0</v>
      </c>
      <c r="CF46" s="46">
        <v>0</v>
      </c>
      <c r="CG46" s="46">
        <v>0</v>
      </c>
      <c r="CH46" s="46">
        <v>0</v>
      </c>
      <c r="CI46" s="46">
        <v>0</v>
      </c>
      <c r="CJ46" s="46">
        <v>0</v>
      </c>
      <c r="CK46" s="46">
        <v>0</v>
      </c>
      <c r="CL46" s="46">
        <v>0</v>
      </c>
      <c r="CM46" s="46">
        <v>0</v>
      </c>
      <c r="CN46" s="46">
        <v>0</v>
      </c>
      <c r="CO46" s="46">
        <v>0</v>
      </c>
      <c r="CP46" s="46">
        <v>0</v>
      </c>
      <c r="CQ46" s="46">
        <v>0</v>
      </c>
      <c r="CR46" s="46">
        <v>0</v>
      </c>
      <c r="CS46" s="46">
        <v>0</v>
      </c>
      <c r="CT46" s="46">
        <v>0</v>
      </c>
      <c r="CU46" s="46">
        <v>0</v>
      </c>
      <c r="CV46" s="46">
        <v>0</v>
      </c>
      <c r="CW46" s="46">
        <v>0</v>
      </c>
      <c r="CX46" s="46">
        <v>0</v>
      </c>
      <c r="CY46" s="46">
        <v>0</v>
      </c>
      <c r="CZ46" s="46">
        <v>0</v>
      </c>
      <c r="DA46" s="46">
        <v>0</v>
      </c>
      <c r="DB46" s="46">
        <v>-32580</v>
      </c>
      <c r="DC46" s="46">
        <v>-43560</v>
      </c>
      <c r="DD46" s="46">
        <v>0</v>
      </c>
      <c r="DE46" s="46">
        <v>0</v>
      </c>
      <c r="DF46" s="46">
        <v>0</v>
      </c>
      <c r="DG46" s="46">
        <v>0</v>
      </c>
      <c r="DH46" s="46">
        <v>0</v>
      </c>
      <c r="DI46" s="46">
        <v>0</v>
      </c>
      <c r="DJ46" s="46">
        <v>0</v>
      </c>
      <c r="DK46" s="46">
        <v>0</v>
      </c>
      <c r="DL46" s="46">
        <v>0</v>
      </c>
      <c r="DM46" s="46">
        <v>0</v>
      </c>
      <c r="DN46" s="46">
        <v>0</v>
      </c>
      <c r="DO46" s="46">
        <v>0</v>
      </c>
      <c r="DP46" s="46">
        <v>0</v>
      </c>
      <c r="DQ46" s="46">
        <v>0</v>
      </c>
      <c r="DR46" s="46">
        <v>0</v>
      </c>
      <c r="DS46" s="46">
        <v>0</v>
      </c>
      <c r="DT46" s="46">
        <v>-1258834</v>
      </c>
      <c r="DU46" s="46">
        <v>-1516592</v>
      </c>
      <c r="DV46" s="46">
        <v>0</v>
      </c>
      <c r="DW46" s="46">
        <v>0</v>
      </c>
      <c r="DX46" s="46">
        <v>0</v>
      </c>
      <c r="DY46" s="46">
        <v>0</v>
      </c>
      <c r="DZ46" s="46">
        <v>0</v>
      </c>
      <c r="EA46" s="46">
        <v>0</v>
      </c>
      <c r="EB46" s="46">
        <v>0</v>
      </c>
      <c r="EC46" s="46">
        <v>-12105</v>
      </c>
      <c r="ED46" s="46">
        <v>-12427</v>
      </c>
      <c r="EE46" s="46">
        <v>0</v>
      </c>
      <c r="EF46" s="46">
        <v>0</v>
      </c>
      <c r="EG46" s="46">
        <v>0</v>
      </c>
      <c r="EH46" s="46">
        <v>0</v>
      </c>
      <c r="EI46" s="46">
        <v>0</v>
      </c>
      <c r="EJ46" s="46">
        <v>0</v>
      </c>
      <c r="EK46" s="46">
        <v>0</v>
      </c>
      <c r="EL46" s="46">
        <v>0</v>
      </c>
      <c r="EM46" s="46">
        <v>0</v>
      </c>
      <c r="EN46" s="46">
        <v>0</v>
      </c>
      <c r="EO46" s="46">
        <v>0</v>
      </c>
      <c r="EP46" s="46">
        <v>0</v>
      </c>
      <c r="EQ46" s="46">
        <v>0</v>
      </c>
      <c r="ER46" s="46">
        <v>0</v>
      </c>
      <c r="ES46" s="46">
        <v>0</v>
      </c>
      <c r="ET46" s="46">
        <v>0</v>
      </c>
      <c r="EU46" s="46">
        <v>0</v>
      </c>
      <c r="EV46" s="46">
        <v>0</v>
      </c>
      <c r="EW46" s="46">
        <v>0</v>
      </c>
      <c r="EX46" s="46">
        <v>0</v>
      </c>
      <c r="EY46" s="46">
        <v>0</v>
      </c>
      <c r="EZ46" s="46">
        <v>0</v>
      </c>
      <c r="FA46" s="46">
        <v>0</v>
      </c>
      <c r="FB46" s="46">
        <v>0</v>
      </c>
      <c r="FC46" s="46">
        <v>0</v>
      </c>
      <c r="FD46" s="46">
        <v>0</v>
      </c>
      <c r="FE46" s="46">
        <v>0</v>
      </c>
      <c r="FF46" s="46">
        <v>0</v>
      </c>
      <c r="FG46" s="46">
        <v>0</v>
      </c>
      <c r="FH46" s="46">
        <v>0</v>
      </c>
      <c r="FI46" s="46">
        <v>0</v>
      </c>
      <c r="FJ46" s="46">
        <v>0</v>
      </c>
      <c r="FK46" s="46">
        <v>0</v>
      </c>
      <c r="FL46" s="46">
        <v>0</v>
      </c>
      <c r="FM46" s="46">
        <v>36051</v>
      </c>
      <c r="FN46" s="46">
        <v>2859340</v>
      </c>
      <c r="FO46" s="46">
        <v>252815</v>
      </c>
      <c r="FP46" s="46">
        <v>0</v>
      </c>
      <c r="FQ46" s="46">
        <v>0</v>
      </c>
      <c r="FR46" s="46">
        <v>0</v>
      </c>
      <c r="FS46" s="46">
        <v>0</v>
      </c>
      <c r="FT46" s="46">
        <v>0</v>
      </c>
      <c r="FU46" s="46">
        <v>0</v>
      </c>
      <c r="FV46" s="46">
        <v>0</v>
      </c>
      <c r="FW46" s="46">
        <v>0</v>
      </c>
      <c r="FX46" s="46">
        <v>0</v>
      </c>
      <c r="FY46" s="46">
        <v>0</v>
      </c>
      <c r="FZ46" s="46">
        <v>0</v>
      </c>
      <c r="GA46" s="46">
        <v>0</v>
      </c>
      <c r="GB46" s="46">
        <v>0</v>
      </c>
      <c r="GC46" s="46">
        <v>0</v>
      </c>
      <c r="GD46" s="46">
        <v>0</v>
      </c>
      <c r="GE46" s="46">
        <v>0</v>
      </c>
      <c r="GF46" s="46">
        <v>0</v>
      </c>
      <c r="GG46" s="46">
        <v>0</v>
      </c>
      <c r="GH46" s="46">
        <v>0</v>
      </c>
      <c r="GI46" s="46">
        <v>0</v>
      </c>
      <c r="GJ46" s="46">
        <v>0</v>
      </c>
      <c r="GK46" s="46">
        <v>0</v>
      </c>
      <c r="GL46" s="46">
        <v>0</v>
      </c>
      <c r="GM46" s="46">
        <v>0</v>
      </c>
      <c r="GN46" s="46">
        <v>-580</v>
      </c>
      <c r="GO46" s="46">
        <v>-24360</v>
      </c>
      <c r="GP46" s="46">
        <v>-2175</v>
      </c>
      <c r="GQ46" s="46">
        <v>0</v>
      </c>
      <c r="GR46" s="46">
        <v>0</v>
      </c>
      <c r="GS46" s="46">
        <v>0</v>
      </c>
      <c r="GT46" s="46">
        <v>0</v>
      </c>
      <c r="GU46" s="46">
        <v>0</v>
      </c>
      <c r="GV46" s="46">
        <v>0</v>
      </c>
      <c r="GW46" s="46">
        <v>0</v>
      </c>
      <c r="GX46" s="46">
        <v>0</v>
      </c>
      <c r="GY46" s="46">
        <v>0</v>
      </c>
      <c r="GZ46" s="46">
        <v>0</v>
      </c>
      <c r="HA46" s="46">
        <v>0</v>
      </c>
      <c r="HB46" s="46">
        <v>0</v>
      </c>
      <c r="HC46" s="46">
        <v>0</v>
      </c>
      <c r="HD46" s="46">
        <v>0</v>
      </c>
      <c r="HE46" s="46">
        <v>0</v>
      </c>
      <c r="HF46" s="46">
        <v>-40966</v>
      </c>
      <c r="HG46" s="46">
        <v>-44399</v>
      </c>
      <c r="HH46" s="46">
        <v>-55695</v>
      </c>
      <c r="HI46" s="46">
        <v>0</v>
      </c>
      <c r="HJ46" s="46">
        <v>0</v>
      </c>
      <c r="HK46" s="46">
        <v>0</v>
      </c>
      <c r="HL46" s="46">
        <v>0</v>
      </c>
      <c r="HM46" s="46">
        <v>0</v>
      </c>
      <c r="HN46" s="46">
        <v>0</v>
      </c>
      <c r="HO46" s="46">
        <v>0</v>
      </c>
      <c r="HP46" s="46">
        <v>5340</v>
      </c>
      <c r="HQ46" s="46">
        <v>7262899</v>
      </c>
      <c r="HR46" s="46">
        <v>0</v>
      </c>
      <c r="HS46" s="46">
        <v>0</v>
      </c>
      <c r="HT46" s="46">
        <v>0</v>
      </c>
      <c r="HU46" s="46">
        <v>0</v>
      </c>
      <c r="HV46" s="46">
        <v>0</v>
      </c>
      <c r="HW46" s="46">
        <v>0</v>
      </c>
      <c r="HX46" s="46">
        <v>0</v>
      </c>
      <c r="HY46" s="46">
        <v>0</v>
      </c>
      <c r="HZ46" s="46">
        <v>0</v>
      </c>
      <c r="IA46" s="46">
        <v>0</v>
      </c>
      <c r="IB46" s="46">
        <v>0</v>
      </c>
      <c r="IC46" s="46">
        <v>0</v>
      </c>
      <c r="ID46" s="46">
        <v>0</v>
      </c>
      <c r="IE46" s="46">
        <v>0</v>
      </c>
      <c r="IF46" s="46">
        <v>0</v>
      </c>
      <c r="IG46" s="46">
        <v>0</v>
      </c>
      <c r="IH46" s="46">
        <v>0</v>
      </c>
      <c r="II46" s="46">
        <v>0</v>
      </c>
      <c r="IJ46" s="46">
        <v>0</v>
      </c>
      <c r="IK46" s="46">
        <v>0</v>
      </c>
      <c r="IL46" s="46">
        <v>0</v>
      </c>
      <c r="IM46" s="46">
        <v>0</v>
      </c>
      <c r="IN46" s="46">
        <v>0</v>
      </c>
      <c r="IO46" s="46">
        <v>0</v>
      </c>
      <c r="IP46" s="46">
        <v>255044</v>
      </c>
      <c r="IQ46" s="46">
        <v>360709</v>
      </c>
      <c r="IR46" s="46">
        <v>-1803</v>
      </c>
      <c r="IS46" s="46">
        <v>0</v>
      </c>
      <c r="IT46" s="46">
        <v>0</v>
      </c>
      <c r="IU46" s="46">
        <v>0</v>
      </c>
      <c r="IV46" s="46">
        <v>0</v>
      </c>
      <c r="IW46" s="46">
        <v>0</v>
      </c>
      <c r="IX46" s="46">
        <v>0</v>
      </c>
      <c r="IY46" s="46">
        <v>0</v>
      </c>
      <c r="IZ46" s="46">
        <v>0</v>
      </c>
      <c r="JA46" s="46">
        <v>0</v>
      </c>
      <c r="JB46" s="46">
        <v>0</v>
      </c>
      <c r="JC46" s="46">
        <v>0</v>
      </c>
      <c r="JD46" s="46">
        <v>0</v>
      </c>
      <c r="JE46" s="46">
        <v>0</v>
      </c>
      <c r="JF46" s="46">
        <v>0</v>
      </c>
      <c r="JG46" s="46">
        <v>0</v>
      </c>
      <c r="JH46" s="46">
        <v>0</v>
      </c>
      <c r="JI46" s="46">
        <v>198440</v>
      </c>
      <c r="JJ46" s="46">
        <v>2550</v>
      </c>
      <c r="JK46" s="46">
        <v>966284</v>
      </c>
      <c r="JL46" s="46">
        <v>0</v>
      </c>
      <c r="JM46" s="46">
        <v>0</v>
      </c>
      <c r="JN46" s="46">
        <v>0</v>
      </c>
      <c r="JO46" s="46">
        <v>0</v>
      </c>
      <c r="JP46" s="46">
        <v>0</v>
      </c>
      <c r="JQ46" s="46">
        <v>0</v>
      </c>
      <c r="JR46" s="46">
        <v>27967</v>
      </c>
      <c r="JS46" s="46">
        <v>260258</v>
      </c>
      <c r="JT46" s="46">
        <v>384338</v>
      </c>
      <c r="JU46" s="46">
        <v>0</v>
      </c>
      <c r="JV46" s="46">
        <v>0</v>
      </c>
      <c r="JW46" s="46">
        <v>0</v>
      </c>
      <c r="JX46" s="46">
        <v>0</v>
      </c>
      <c r="JY46" s="46">
        <v>0</v>
      </c>
      <c r="JZ46" s="46">
        <v>0</v>
      </c>
      <c r="KA46" s="46">
        <v>0</v>
      </c>
      <c r="KB46" s="46">
        <v>0</v>
      </c>
      <c r="KC46" s="46">
        <v>0</v>
      </c>
      <c r="KD46" s="46">
        <v>0</v>
      </c>
      <c r="KE46" s="46">
        <v>0</v>
      </c>
      <c r="KF46" s="46">
        <v>0</v>
      </c>
      <c r="KG46" s="46">
        <v>0</v>
      </c>
      <c r="KH46" s="46">
        <v>0</v>
      </c>
      <c r="KI46" s="46">
        <v>-119036</v>
      </c>
      <c r="KJ46" s="46">
        <v>416836</v>
      </c>
      <c r="KK46" s="46">
        <v>134099</v>
      </c>
      <c r="KL46" s="46">
        <v>294838</v>
      </c>
      <c r="KM46" s="46">
        <v>0</v>
      </c>
      <c r="KN46" s="46">
        <v>0</v>
      </c>
      <c r="KO46" s="46">
        <v>0</v>
      </c>
      <c r="KP46" s="46">
        <v>0</v>
      </c>
      <c r="KQ46" s="46">
        <v>0</v>
      </c>
      <c r="KR46" s="46">
        <v>10572055</v>
      </c>
      <c r="KS46" s="46">
        <v>1208544</v>
      </c>
      <c r="KT46" s="46">
        <v>0</v>
      </c>
      <c r="KU46" s="46">
        <v>3049445</v>
      </c>
      <c r="KV46" s="46">
        <v>0</v>
      </c>
      <c r="KW46" s="46">
        <v>0</v>
      </c>
      <c r="KX46" s="46">
        <v>0</v>
      </c>
      <c r="KY46" s="46">
        <v>0</v>
      </c>
      <c r="KZ46" s="46">
        <v>0</v>
      </c>
      <c r="LA46" s="46">
        <v>0</v>
      </c>
      <c r="LB46" s="46">
        <v>0</v>
      </c>
      <c r="LC46" s="46">
        <v>0</v>
      </c>
      <c r="LD46" s="46">
        <v>0</v>
      </c>
      <c r="LE46" s="46">
        <v>0</v>
      </c>
      <c r="LF46" s="46">
        <v>0</v>
      </c>
      <c r="LG46" s="46">
        <v>0</v>
      </c>
      <c r="LH46" s="46">
        <v>0</v>
      </c>
      <c r="LI46" s="46">
        <v>0</v>
      </c>
      <c r="LJ46" s="46">
        <v>155669</v>
      </c>
      <c r="LK46" s="46">
        <v>91178</v>
      </c>
      <c r="LL46" s="46">
        <v>0</v>
      </c>
      <c r="LM46" s="46">
        <v>197302</v>
      </c>
      <c r="LN46" s="46">
        <v>0</v>
      </c>
      <c r="LO46" s="46">
        <v>0</v>
      </c>
      <c r="LP46" s="46">
        <v>0</v>
      </c>
      <c r="LQ46" s="46">
        <v>0</v>
      </c>
      <c r="LR46" s="46">
        <v>0</v>
      </c>
      <c r="LS46" s="46">
        <v>0</v>
      </c>
      <c r="LT46" s="46">
        <v>0</v>
      </c>
      <c r="LU46" s="46">
        <v>0</v>
      </c>
      <c r="LV46" s="46">
        <v>0</v>
      </c>
      <c r="LW46" s="46">
        <v>0</v>
      </c>
      <c r="LX46" s="46">
        <v>0</v>
      </c>
      <c r="LY46" s="46">
        <v>0</v>
      </c>
      <c r="LZ46" s="46">
        <v>0</v>
      </c>
      <c r="MA46" s="46">
        <v>0</v>
      </c>
      <c r="MB46" s="46">
        <v>3642371</v>
      </c>
      <c r="MC46" s="46">
        <v>235881</v>
      </c>
      <c r="MD46" s="46">
        <v>0</v>
      </c>
      <c r="ME46" s="46">
        <v>639146</v>
      </c>
      <c r="MF46" s="46">
        <v>0</v>
      </c>
      <c r="MG46" s="46">
        <v>0</v>
      </c>
      <c r="MH46" s="46">
        <v>0</v>
      </c>
      <c r="MI46" s="46">
        <v>0</v>
      </c>
      <c r="MJ46" s="46">
        <v>0</v>
      </c>
      <c r="MK46" s="46">
        <v>1380764</v>
      </c>
      <c r="ML46" s="46">
        <v>121283</v>
      </c>
      <c r="MM46" s="46">
        <v>0</v>
      </c>
      <c r="MN46" s="46">
        <v>89926</v>
      </c>
      <c r="MO46" s="46">
        <v>0</v>
      </c>
      <c r="MP46" s="46">
        <v>0</v>
      </c>
      <c r="MQ46" s="46">
        <v>0</v>
      </c>
      <c r="MR46" s="46">
        <v>0</v>
      </c>
      <c r="MS46" s="46">
        <v>0</v>
      </c>
      <c r="MT46" s="46">
        <v>3459719</v>
      </c>
      <c r="MU46" s="46">
        <v>1344741</v>
      </c>
      <c r="MV46" s="46">
        <v>0</v>
      </c>
      <c r="MW46" s="46">
        <v>33459</v>
      </c>
      <c r="MX46" s="46">
        <v>0</v>
      </c>
      <c r="MY46" s="46">
        <v>0</v>
      </c>
      <c r="MZ46" s="46">
        <v>0</v>
      </c>
      <c r="NA46" s="46">
        <v>0</v>
      </c>
      <c r="NB46" s="46">
        <v>0</v>
      </c>
      <c r="NC46" s="46">
        <v>2864838</v>
      </c>
      <c r="ND46" s="46">
        <v>471256</v>
      </c>
      <c r="NE46" s="46">
        <v>0</v>
      </c>
      <c r="NF46" s="46">
        <v>0</v>
      </c>
      <c r="NG46" s="46">
        <v>0</v>
      </c>
      <c r="NH46" s="46">
        <v>0</v>
      </c>
      <c r="NI46" s="46">
        <v>0</v>
      </c>
      <c r="NJ46" s="46">
        <v>0</v>
      </c>
      <c r="NK46" s="46">
        <v>0</v>
      </c>
      <c r="NL46" s="46">
        <v>982690</v>
      </c>
      <c r="NM46" s="46">
        <v>780642</v>
      </c>
      <c r="NN46" s="46">
        <v>0</v>
      </c>
      <c r="NO46" s="46">
        <v>6329170</v>
      </c>
      <c r="NP46" s="46">
        <v>0</v>
      </c>
      <c r="NQ46" s="46">
        <v>0</v>
      </c>
      <c r="NR46" s="46">
        <v>0</v>
      </c>
      <c r="NS46" s="46">
        <v>0</v>
      </c>
      <c r="NT46" s="46">
        <v>0</v>
      </c>
      <c r="NU46" s="46">
        <v>0</v>
      </c>
      <c r="NV46" s="46">
        <v>0</v>
      </c>
      <c r="NW46" s="46">
        <v>1499431</v>
      </c>
      <c r="NX46" s="46">
        <v>0</v>
      </c>
      <c r="NY46" s="46">
        <v>0</v>
      </c>
      <c r="NZ46" s="46">
        <v>0</v>
      </c>
      <c r="OA46" s="46">
        <v>0</v>
      </c>
      <c r="OB46" s="46">
        <v>0</v>
      </c>
      <c r="OC46" s="46">
        <v>0</v>
      </c>
      <c r="OD46" s="46">
        <v>4060688</v>
      </c>
      <c r="OE46" s="46">
        <v>172470</v>
      </c>
      <c r="OF46" s="46">
        <v>2544050</v>
      </c>
      <c r="OG46" s="46">
        <v>35285014</v>
      </c>
      <c r="OH46" s="46">
        <v>0</v>
      </c>
      <c r="OI46" s="46">
        <v>0</v>
      </c>
      <c r="OJ46" s="46">
        <v>0</v>
      </c>
      <c r="OK46" s="46">
        <v>0</v>
      </c>
      <c r="OL46" s="46">
        <v>0</v>
      </c>
      <c r="OM46" s="46">
        <v>0</v>
      </c>
      <c r="ON46" s="46">
        <v>0</v>
      </c>
      <c r="OO46" s="46">
        <v>0</v>
      </c>
      <c r="OP46" s="46">
        <v>0</v>
      </c>
      <c r="OQ46" s="46">
        <v>0</v>
      </c>
      <c r="OR46" s="46">
        <v>0</v>
      </c>
      <c r="OS46" s="46">
        <v>0</v>
      </c>
      <c r="OT46" s="46">
        <v>0</v>
      </c>
      <c r="OU46" s="46">
        <v>0</v>
      </c>
      <c r="OV46" s="46">
        <v>0</v>
      </c>
      <c r="OW46" s="46">
        <v>0</v>
      </c>
      <c r="OX46" s="46">
        <v>0</v>
      </c>
      <c r="OY46" s="46">
        <v>0</v>
      </c>
      <c r="OZ46" s="46">
        <v>0</v>
      </c>
      <c r="PA46" s="46">
        <v>0</v>
      </c>
      <c r="PB46" s="46">
        <v>0</v>
      </c>
      <c r="PC46" s="46">
        <v>0</v>
      </c>
      <c r="PD46" s="46">
        <v>0</v>
      </c>
      <c r="PE46" s="46">
        <v>-232845</v>
      </c>
      <c r="PF46" s="46">
        <v>-1249399</v>
      </c>
      <c r="PG46" s="46">
        <v>979886</v>
      </c>
      <c r="PH46" s="46">
        <v>304533</v>
      </c>
      <c r="PI46" s="46">
        <v>2328</v>
      </c>
      <c r="PJ46" s="46">
        <v>0</v>
      </c>
      <c r="PK46" s="46">
        <v>39577905</v>
      </c>
      <c r="PL46" s="46">
        <v>0</v>
      </c>
      <c r="PM46" s="46">
        <v>0</v>
      </c>
      <c r="PN46" s="46">
        <v>0</v>
      </c>
      <c r="PO46" s="46">
        <v>0</v>
      </c>
      <c r="PP46" s="46">
        <v>0</v>
      </c>
      <c r="PQ46" s="46">
        <v>0</v>
      </c>
      <c r="PR46" s="46">
        <v>0</v>
      </c>
      <c r="PS46" s="46">
        <v>0</v>
      </c>
      <c r="PT46" s="46">
        <v>0</v>
      </c>
      <c r="PU46" s="46">
        <v>0</v>
      </c>
      <c r="PV46" s="46">
        <v>0</v>
      </c>
      <c r="PW46" s="46">
        <v>-4005000</v>
      </c>
      <c r="PX46" s="46">
        <v>0</v>
      </c>
      <c r="PY46" s="46">
        <v>0</v>
      </c>
      <c r="PZ46" s="46">
        <v>0</v>
      </c>
      <c r="QA46" s="46">
        <v>0</v>
      </c>
      <c r="QB46" s="46">
        <v>0</v>
      </c>
      <c r="QC46" s="46">
        <v>0</v>
      </c>
      <c r="QD46" s="46">
        <v>0</v>
      </c>
      <c r="QE46" s="46">
        <v>0</v>
      </c>
      <c r="QF46" s="46">
        <v>0</v>
      </c>
      <c r="QG46" s="46">
        <v>0</v>
      </c>
      <c r="QH46" s="46">
        <v>0</v>
      </c>
      <c r="QI46" s="46">
        <v>354645</v>
      </c>
      <c r="QJ46" s="46">
        <v>0</v>
      </c>
      <c r="QK46" s="46">
        <v>0</v>
      </c>
      <c r="QL46" s="46">
        <v>0</v>
      </c>
      <c r="QM46" s="46">
        <v>0</v>
      </c>
      <c r="QN46" s="46">
        <v>0</v>
      </c>
      <c r="QO46" s="46">
        <v>0</v>
      </c>
      <c r="QP46" s="46">
        <v>0</v>
      </c>
      <c r="QQ46" s="46">
        <v>0</v>
      </c>
      <c r="QR46" s="46">
        <v>0</v>
      </c>
      <c r="QS46" s="46">
        <v>0</v>
      </c>
      <c r="QT46" s="46">
        <v>0</v>
      </c>
      <c r="QU46" s="46">
        <v>0</v>
      </c>
      <c r="QV46" s="46">
        <v>0</v>
      </c>
      <c r="QW46" s="46">
        <v>0</v>
      </c>
      <c r="QX46" s="46">
        <v>0</v>
      </c>
      <c r="QY46" s="46">
        <v>0</v>
      </c>
      <c r="QZ46" s="46">
        <v>0</v>
      </c>
      <c r="RA46" s="46">
        <v>0</v>
      </c>
      <c r="RB46" s="46">
        <v>0</v>
      </c>
      <c r="RC46" s="46">
        <v>0</v>
      </c>
      <c r="RD46" s="46">
        <v>0</v>
      </c>
      <c r="RE46" s="46">
        <v>0</v>
      </c>
      <c r="RF46" s="46">
        <v>0</v>
      </c>
      <c r="RG46" s="46">
        <v>0</v>
      </c>
      <c r="RH46" s="46">
        <v>0</v>
      </c>
      <c r="RI46" s="46">
        <v>0</v>
      </c>
      <c r="RJ46" s="46">
        <v>0</v>
      </c>
      <c r="RK46" s="46">
        <v>0</v>
      </c>
      <c r="RL46" s="46">
        <v>0</v>
      </c>
      <c r="RM46" s="46">
        <v>0</v>
      </c>
      <c r="RN46" s="46">
        <v>0</v>
      </c>
      <c r="RO46" s="46">
        <v>-3019219</v>
      </c>
      <c r="RP46" s="46">
        <v>0</v>
      </c>
      <c r="RQ46" s="46">
        <v>0</v>
      </c>
      <c r="RR46" s="46">
        <v>0</v>
      </c>
      <c r="RS46" s="46">
        <v>0</v>
      </c>
      <c r="RT46" s="46">
        <v>0</v>
      </c>
      <c r="RU46" s="46">
        <v>0</v>
      </c>
      <c r="RV46" s="46">
        <v>0</v>
      </c>
      <c r="RW46" s="46">
        <v>0</v>
      </c>
      <c r="RX46" s="46">
        <v>0</v>
      </c>
      <c r="RY46" s="46">
        <v>0</v>
      </c>
      <c r="RZ46" s="46">
        <v>0</v>
      </c>
      <c r="SA46" s="46">
        <v>0</v>
      </c>
      <c r="SB46" s="46">
        <v>0</v>
      </c>
      <c r="SC46" s="46">
        <v>0</v>
      </c>
      <c r="SD46" s="46">
        <v>0</v>
      </c>
      <c r="SE46" s="46">
        <v>0</v>
      </c>
      <c r="SF46" s="46">
        <v>0</v>
      </c>
      <c r="SG46" s="46">
        <v>0</v>
      </c>
      <c r="SH46" s="46">
        <v>0</v>
      </c>
      <c r="SI46" s="46">
        <v>0</v>
      </c>
      <c r="SJ46" s="46">
        <v>0</v>
      </c>
      <c r="SK46" s="46">
        <v>0</v>
      </c>
      <c r="SL46" s="46">
        <v>0</v>
      </c>
      <c r="SM46" s="46">
        <v>0</v>
      </c>
      <c r="SN46" s="46">
        <v>0</v>
      </c>
      <c r="SO46" s="46">
        <v>0</v>
      </c>
      <c r="SP46" s="46">
        <v>0</v>
      </c>
      <c r="SQ46" s="46">
        <v>4060688</v>
      </c>
      <c r="SR46" s="46">
        <v>172470</v>
      </c>
      <c r="SS46" s="46">
        <v>2544050</v>
      </c>
      <c r="ST46" s="46">
        <v>35285014</v>
      </c>
      <c r="SU46" s="46">
        <v>0</v>
      </c>
      <c r="SV46" s="46">
        <v>0</v>
      </c>
      <c r="SW46" s="46">
        <v>0</v>
      </c>
      <c r="SX46" s="46">
        <v>0</v>
      </c>
      <c r="SY46" s="46">
        <v>0</v>
      </c>
      <c r="SZ46" s="46">
        <v>41368849</v>
      </c>
      <c r="TA46" s="46">
        <v>0</v>
      </c>
      <c r="TB46" s="46">
        <v>0</v>
      </c>
      <c r="TC46" s="46">
        <v>0</v>
      </c>
      <c r="TD46" s="46">
        <v>0</v>
      </c>
      <c r="TE46" s="46">
        <v>0</v>
      </c>
      <c r="TF46" s="46">
        <v>0</v>
      </c>
      <c r="TG46" s="46">
        <v>693373</v>
      </c>
      <c r="TH46" s="46">
        <v>0</v>
      </c>
      <c r="TI46" s="46">
        <v>0</v>
      </c>
      <c r="TJ46" s="46">
        <v>0</v>
      </c>
      <c r="TK46" s="46">
        <v>0</v>
      </c>
      <c r="TL46" s="46">
        <v>0</v>
      </c>
      <c r="TM46" s="46">
        <v>0</v>
      </c>
      <c r="TN46" s="46">
        <v>0</v>
      </c>
      <c r="TO46" s="46">
        <v>0</v>
      </c>
      <c r="TP46" s="46">
        <v>0</v>
      </c>
      <c r="TQ46" s="46">
        <v>0</v>
      </c>
      <c r="TR46" s="46">
        <v>0</v>
      </c>
      <c r="TS46" s="46">
        <v>0</v>
      </c>
      <c r="TT46" s="46">
        <v>0</v>
      </c>
      <c r="TU46" s="46">
        <v>0</v>
      </c>
      <c r="TV46" s="46">
        <v>0</v>
      </c>
      <c r="TW46" s="46">
        <v>0</v>
      </c>
      <c r="TX46" s="46">
        <v>0</v>
      </c>
      <c r="TY46" s="46">
        <v>0</v>
      </c>
      <c r="TZ46" s="46">
        <v>0</v>
      </c>
      <c r="UA46" s="46">
        <v>0</v>
      </c>
      <c r="UB46" s="46">
        <v>0</v>
      </c>
      <c r="UC46" s="46">
        <v>0</v>
      </c>
      <c r="UD46" s="46">
        <v>0</v>
      </c>
      <c r="UE46" s="46">
        <v>14830044</v>
      </c>
      <c r="UF46" s="46">
        <v>0</v>
      </c>
      <c r="UG46" s="46">
        <v>444149</v>
      </c>
      <c r="UH46" s="46">
        <v>0</v>
      </c>
      <c r="UI46" s="46">
        <v>4517398</v>
      </c>
      <c r="UJ46" s="46">
        <v>1591973</v>
      </c>
      <c r="UK46" s="46">
        <v>4837919</v>
      </c>
      <c r="UL46" s="46">
        <v>3336094</v>
      </c>
      <c r="UM46" s="46">
        <v>8092502</v>
      </c>
      <c r="UN46" s="46">
        <v>1499431</v>
      </c>
      <c r="UO4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42062222</v>
      </c>
      <c r="UP46" s="46">
        <f>SUM(Input[[#This Row],[Oth Exp E&amp;G]],Input[[#This Row],[Oth Exp Desg]],Input[[#This Row],[Oth Exp Aux]],Input[[#This Row],[Oth Exp R Exp]],Input[[#This Row],[Oth Exp Loan]],Input[[#This Row],[Oth Exp Annuity]],Input[[#This Row],[Oth Exp Unexp]],Input[[#This Row],[Oth Exp R of Ind]],Input[[#This Row],[Oth Exp Inv in P]])</f>
        <v>0</v>
      </c>
      <c r="UQ46" s="46"/>
      <c r="UR46" s="46"/>
      <c r="US46" s="8" t="s">
        <v>750</v>
      </c>
      <c r="UT46" s="47">
        <v>4099846125</v>
      </c>
      <c r="UU46" s="8" t="s">
        <v>95</v>
      </c>
      <c r="UV46" s="8" t="s">
        <v>751</v>
      </c>
      <c r="UW46" s="47">
        <v>4099846129</v>
      </c>
      <c r="UX46" s="8" t="s">
        <v>752</v>
      </c>
      <c r="UY46" s="51" cm="1">
        <f t="array" ref="UY46">IFERROR(_xlfn.IFS(Input[[#This Row],[Type]]="HRI",SUMIFS('FTSE | FTFE'!$P$8:$P$77,'FTSE | FTFE'!$H$8:$H$77,A46),Input[[#This Row],[Type]]="UNIV",SUMIFS('FTSE | FTFE'!$P$104:$P$139,'FTSE | FTFE'!$H$104:$H$139,A46),OR(Input[[#This Row],[Type]]="TSTC",Input[[#This Row],[Type]]="LSC"),SUMIFS('FTSE | FTFE'!$O$88:$O$96,'FTSE | FTFE'!$H$88:$H$96,A46),Input[[#This Row],[Type]]="AHM",SUMIFS(Hidden!$H$42:$H$45,Hidden!$G$42:$G$45,A46)),"N/A")</f>
        <v>2668</v>
      </c>
      <c r="UZ46" s="51" cm="1">
        <f t="array" ref="UZ46">IFERROR(_xlfn.IFS(Input[[#This Row],[Type]]="HRI",SUMIFS('FTSE | FTFE'!$Q$8:$Q$77,'FTSE | FTFE'!$H$8:$H$77,A46),Input[[#This Row],[Type]]="UNIV",SUMIFS('FTSE | FTFE'!$Q$104:$Q$139,'FTSE | FTFE'!$H$104:$H$139,A46),OR(Input[[#This Row],[Type]]="TSTC",Input[[#This Row],[Type]]="LSC"),SUMIFS('FTSE | FTFE'!$P$88:$P$96,'FTSE | FTFE'!$H$88:$H$96,A46)),"N/A")</f>
        <v>116.64</v>
      </c>
      <c r="VA4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25003290</v>
      </c>
      <c r="VB4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2283992</v>
      </c>
      <c r="VC46" s="46">
        <f>SUM(Input[[#This Row],[Fed G&amp;C E&amp;G]],Input[[#This Row],[Fed G&amp;C Desg]],Input[[#This Row],[Fed G&amp;C R Exp]],Input[[#This Row],[Fed G&amp;C Loan]],Input[[#This Row],[Fed G&amp;C Annuity]],Input[[#This Row],[Fed G&amp;C Unexp]],Input[[#This Row],[Fed G&amp;C R of Ind]],Input[[#This Row],[Fed G&amp;C Inv in P]])</f>
        <v>5340</v>
      </c>
      <c r="VD4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2785420</v>
      </c>
      <c r="VE4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894858</v>
      </c>
      <c r="VF4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2785086</v>
      </c>
      <c r="VG46" s="46">
        <f>SUM(Input[[#This Row],[Oth Inc E&amp;G]],Input[[#This Row],[Oth Exp Desg]],Input[[#This Row],[Oth Exp R Exp]],Input[[#This Row],[Oth Exp Loan]],Input[[#This Row],[Oth Exp Annuity]],Input[[#This Row],[Oth Exp Unexp]],Input[[#This Row],[Oth Exp R of Ind]],Input[[#This Row],[Oth Exp Inv in P]])</f>
        <v>-119036</v>
      </c>
      <c r="VH46" s="46">
        <f>SUM(Input[[#This Row],[Instr E&amp;G]],Input[[#This Row],[Instr Desg]],Input[[#This Row],[Instr R Exp]],Input[[#This Row],[Instr Loan]],Input[[#This Row],[Instr Annuity]],Input[[#This Row],[Instr Unexp]],Input[[#This Row],[Instr R of Ind]],Input[[#This Row],[Instr Inv in P]])</f>
        <v>14830044</v>
      </c>
      <c r="VI46" s="46">
        <f>SUM(Input[[#This Row],[Res E&amp;G]],Input[[#This Row],[Res Desg]],Input[[#This Row],[Res R Exp]],Input[[#This Row],[Res Loan]],Input[[#This Row],[Res Annuity]],Input[[#This Row],[Res Unexp]],Input[[#This Row],[Res R of Ind]],Input[[#This Row],[Res Inv in P]])</f>
        <v>0</v>
      </c>
      <c r="VJ46" s="46">
        <f>SUM(Input[[#This Row],[Acad Sup E&amp;G]],Input[[#This Row],[Acad Sup Desg]],Input[[#This Row],[Acad Sup R Exp]],Input[[#This Row],[Acad Sup Loan]],Input[[#This Row],[Acad Sup Annuity]],Input[[#This Row],[Acad Sup Unexp]],Input[[#This Row],[Acad Sup R of Ind]],Input[[#This Row],[Acad Sup Inv in P]])</f>
        <v>4517398</v>
      </c>
      <c r="VK46" s="46">
        <f>SUM(Input[[#This Row],[Stu Svc E&amp;G]],Input[[#This Row],[Stu Svc Desg]],Input[[#This Row],[Stu Svc R Exp]],Input[[#This Row],[Stu Svc Loan]],Input[[#This Row],[Stu Svc Annuity]],Input[[#This Row],[Stu Svc Unexp]],Input[[#This Row],[Stu Svc R of Ind]],Input[[#This Row],[Stu Svc Inv in P]])</f>
        <v>1591973</v>
      </c>
      <c r="VL46" s="46">
        <f>SUM(Input[[#This Row],[Inst. Spt E&amp;G]],Input[[#This Row],[Inst. Spt Desg]],Input[[#This Row],[Inst. Spt R Exp]],Input[[#This Row],[Inst. Spt Loan]],Input[[#This Row],[Inst. Spt Annuity]],Input[[#This Row],[Inst. Spt Unexp]],Input[[#This Row],[Inst. Spt R of Ind]],Input[[#This Row],[Inst. Spt Inv in P]])</f>
        <v>4837919</v>
      </c>
      <c r="VM46" s="46">
        <f>SUM(Input[[#This Row],[M&amp;O Plnt E&amp;G]],Input[[#This Row],[M&amp;O Plnt Desg]],Input[[#This Row],[M&amp;O Plnt R Exp]],Input[[#This Row],[M&amp;O Plnt Loan]],Input[[#This Row],[M&amp;O Plnt Annuity]],Input[[#This Row],[M&amp;O Plnt Unexp]],Input[[#This Row],[M&amp;O Plnt R of Ind]],Input[[#This Row],[M&amp;O Plnt Inv in P]])</f>
        <v>3336094</v>
      </c>
      <c r="VN46" s="46">
        <f>SUM(Input[[#This Row],[Schl &amp; Fell E&amp;G]],Input[[#This Row],[Schl &amp; Fell Desg]],Input[[#This Row],[Schl &amp; Fell R Exp]],Input[[#This Row],[Schl &amp; Fell Loan]],Input[[#This Row],[Schl &amp; Fell Annuity]],Input[[#This Row],[Schl &amp; Fell Unexp]],Input[[#This Row],[Schl &amp; Fell R of Ind]],Input[[#This Row],[Schl &amp; Fell Inv in P]])</f>
        <v>8092502</v>
      </c>
      <c r="VO46" s="46">
        <f>SUM(Input[[#This Row],[Cap Out fund E&amp;G]],Input[[#This Row],[Cap Out fund Desg]],Input[[#This Row],[Cap Out fund R Exp]],Input[[#This Row],[Cap Out fund Loan]],Input[[#This Row],[Cap Out fund Annuity]],Input[[#This Row],[Cap Out fund Unexp]],Input[[#This Row],[Cap Out fund R of Ind]],Input[[#This Row],[Cap Out fund Inv in P]])</f>
        <v>39518172</v>
      </c>
      <c r="VP46" s="46">
        <f>SUM(Input[[#This Row],[Oth Exp E&amp;G]],Input[[#This Row],[Oth Exp Desg]],Input[[#This Row],[Oth Exp R Exp]],Input[[#This Row],[Oth Exp Loan]],Input[[#This Row],[Oth Exp Annuity]],Input[[#This Row],[Oth Exp Unexp]],Input[[#This Row],[Oth Exp R of Ind]],Input[[#This Row],[Oth Exp Inv in P]],Input[[#This Row],[Oth Exp Inv in P]])</f>
        <v>0</v>
      </c>
    </row>
    <row r="47" spans="1:588" ht="30" customHeight="1" x14ac:dyDescent="0.3">
      <c r="A47" s="15" t="s">
        <v>78</v>
      </c>
      <c r="B47" s="36" t="s">
        <v>114</v>
      </c>
      <c r="C47" s="36" t="s">
        <v>115</v>
      </c>
      <c r="D47" s="36">
        <v>805</v>
      </c>
      <c r="E47" s="36" t="s">
        <v>132</v>
      </c>
      <c r="F47" s="95" t="s">
        <v>106</v>
      </c>
      <c r="G47" s="46">
        <v>114791328</v>
      </c>
      <c r="H47" s="46">
        <v>0</v>
      </c>
      <c r="I47" s="46">
        <v>0</v>
      </c>
      <c r="J47" s="46">
        <v>0</v>
      </c>
      <c r="K47" s="46">
        <v>0</v>
      </c>
      <c r="L47" s="46">
        <v>0</v>
      </c>
      <c r="M47" s="46">
        <v>0</v>
      </c>
      <c r="N47" s="46">
        <v>0</v>
      </c>
      <c r="O47" s="46">
        <v>0</v>
      </c>
      <c r="P47" s="46">
        <v>1314311</v>
      </c>
      <c r="Q47" s="46">
        <v>0</v>
      </c>
      <c r="R47" s="46">
        <v>0</v>
      </c>
      <c r="S47" s="46">
        <v>25387810</v>
      </c>
      <c r="T47" s="46">
        <v>0</v>
      </c>
      <c r="U47" s="46">
        <v>0</v>
      </c>
      <c r="V47" s="46">
        <v>0</v>
      </c>
      <c r="W47" s="46">
        <v>0</v>
      </c>
      <c r="X47" s="46">
        <v>0</v>
      </c>
      <c r="Y47" s="46">
        <v>18787013</v>
      </c>
      <c r="Z47" s="46">
        <v>0</v>
      </c>
      <c r="AA47" s="46">
        <v>0</v>
      </c>
      <c r="AB47" s="46">
        <v>0</v>
      </c>
      <c r="AC47" s="46">
        <v>0</v>
      </c>
      <c r="AD47" s="46">
        <v>0</v>
      </c>
      <c r="AE47" s="46">
        <v>0</v>
      </c>
      <c r="AF47" s="46">
        <v>0</v>
      </c>
      <c r="AG47" s="46">
        <v>0</v>
      </c>
      <c r="AH47" s="46">
        <v>0</v>
      </c>
      <c r="AI47" s="46">
        <v>0</v>
      </c>
      <c r="AJ47" s="46">
        <v>0</v>
      </c>
      <c r="AK47" s="46">
        <v>0</v>
      </c>
      <c r="AL47" s="46">
        <v>0</v>
      </c>
      <c r="AM47" s="46">
        <v>0</v>
      </c>
      <c r="AN47" s="46">
        <v>0</v>
      </c>
      <c r="AO47" s="46">
        <v>0</v>
      </c>
      <c r="AP47" s="46">
        <v>0</v>
      </c>
      <c r="AQ47" s="46">
        <v>0</v>
      </c>
      <c r="AR47" s="46">
        <v>0</v>
      </c>
      <c r="AS47" s="46">
        <v>0</v>
      </c>
      <c r="AT47" s="46">
        <v>0</v>
      </c>
      <c r="AU47" s="46">
        <v>0</v>
      </c>
      <c r="AV47" s="46">
        <v>0</v>
      </c>
      <c r="AW47" s="46">
        <v>0</v>
      </c>
      <c r="AX47" s="46">
        <v>0</v>
      </c>
      <c r="AY47" s="46">
        <v>0</v>
      </c>
      <c r="AZ47" s="46">
        <v>0</v>
      </c>
      <c r="BA47" s="46">
        <v>0</v>
      </c>
      <c r="BB47" s="46">
        <v>0</v>
      </c>
      <c r="BC47" s="46">
        <v>0</v>
      </c>
      <c r="BD47" s="46">
        <v>0</v>
      </c>
      <c r="BE47" s="46">
        <v>0</v>
      </c>
      <c r="BF47" s="46">
        <v>0</v>
      </c>
      <c r="BG47" s="46">
        <v>0</v>
      </c>
      <c r="BH47" s="46">
        <v>0</v>
      </c>
      <c r="BI47" s="46">
        <v>0</v>
      </c>
      <c r="BJ47" s="46">
        <v>0</v>
      </c>
      <c r="BK47" s="46">
        <v>0</v>
      </c>
      <c r="BL47" s="46">
        <v>0</v>
      </c>
      <c r="BM47" s="46">
        <v>0</v>
      </c>
      <c r="BN47" s="46">
        <v>0</v>
      </c>
      <c r="BO47" s="46">
        <v>0</v>
      </c>
      <c r="BP47" s="46">
        <v>0</v>
      </c>
      <c r="BQ47" s="46">
        <v>0</v>
      </c>
      <c r="BR47" s="46">
        <v>0</v>
      </c>
      <c r="BS47" s="46">
        <v>0</v>
      </c>
      <c r="BT47" s="46">
        <v>0</v>
      </c>
      <c r="BU47" s="46">
        <v>0</v>
      </c>
      <c r="BV47" s="46">
        <v>0</v>
      </c>
      <c r="BW47" s="46">
        <v>0</v>
      </c>
      <c r="BX47" s="46">
        <v>0</v>
      </c>
      <c r="BY47" s="46">
        <v>0</v>
      </c>
      <c r="BZ47" s="46">
        <v>0</v>
      </c>
      <c r="CA47" s="46">
        <v>41829153</v>
      </c>
      <c r="CB47" s="46">
        <v>115089032</v>
      </c>
      <c r="CC47" s="46">
        <v>0</v>
      </c>
      <c r="CD47" s="46">
        <v>0</v>
      </c>
      <c r="CE47" s="46">
        <v>0</v>
      </c>
      <c r="CF47" s="46">
        <v>0</v>
      </c>
      <c r="CG47" s="46">
        <v>0</v>
      </c>
      <c r="CH47" s="46">
        <v>0</v>
      </c>
      <c r="CI47" s="46">
        <v>0</v>
      </c>
      <c r="CJ47" s="46">
        <v>-3802406</v>
      </c>
      <c r="CK47" s="46">
        <v>-618066</v>
      </c>
      <c r="CL47" s="46">
        <v>0</v>
      </c>
      <c r="CM47" s="46">
        <v>0</v>
      </c>
      <c r="CN47" s="46">
        <v>0</v>
      </c>
      <c r="CO47" s="46">
        <v>0</v>
      </c>
      <c r="CP47" s="46">
        <v>0</v>
      </c>
      <c r="CQ47" s="46">
        <v>0</v>
      </c>
      <c r="CR47" s="46">
        <v>0</v>
      </c>
      <c r="CS47" s="46">
        <v>0</v>
      </c>
      <c r="CT47" s="46">
        <v>0</v>
      </c>
      <c r="CU47" s="46">
        <v>0</v>
      </c>
      <c r="CV47" s="46">
        <v>0</v>
      </c>
      <c r="CW47" s="46">
        <v>0</v>
      </c>
      <c r="CX47" s="46">
        <v>0</v>
      </c>
      <c r="CY47" s="46">
        <v>0</v>
      </c>
      <c r="CZ47" s="46">
        <v>0</v>
      </c>
      <c r="DA47" s="46">
        <v>0</v>
      </c>
      <c r="DB47" s="46">
        <v>-9196381</v>
      </c>
      <c r="DC47" s="46">
        <v>-4653630</v>
      </c>
      <c r="DD47" s="46">
        <v>0</v>
      </c>
      <c r="DE47" s="46">
        <v>0</v>
      </c>
      <c r="DF47" s="46">
        <v>0</v>
      </c>
      <c r="DG47" s="46">
        <v>0</v>
      </c>
      <c r="DH47" s="46">
        <v>0</v>
      </c>
      <c r="DI47" s="46">
        <v>0</v>
      </c>
      <c r="DJ47" s="46">
        <v>0</v>
      </c>
      <c r="DK47" s="46">
        <v>0</v>
      </c>
      <c r="DL47" s="46">
        <v>0</v>
      </c>
      <c r="DM47" s="46">
        <v>0</v>
      </c>
      <c r="DN47" s="46">
        <v>0</v>
      </c>
      <c r="DO47" s="46">
        <v>0</v>
      </c>
      <c r="DP47" s="46">
        <v>0</v>
      </c>
      <c r="DQ47" s="46">
        <v>0</v>
      </c>
      <c r="DR47" s="46">
        <v>0</v>
      </c>
      <c r="DS47" s="46">
        <v>0</v>
      </c>
      <c r="DT47" s="46">
        <v>0</v>
      </c>
      <c r="DU47" s="46">
        <v>-88539038</v>
      </c>
      <c r="DV47" s="46">
        <v>0</v>
      </c>
      <c r="DW47" s="46">
        <v>0</v>
      </c>
      <c r="DX47" s="46">
        <v>0</v>
      </c>
      <c r="DY47" s="46">
        <v>0</v>
      </c>
      <c r="DZ47" s="46">
        <v>0</v>
      </c>
      <c r="EA47" s="46">
        <v>0</v>
      </c>
      <c r="EB47" s="46">
        <v>0</v>
      </c>
      <c r="EC47" s="46">
        <v>0</v>
      </c>
      <c r="ED47" s="46">
        <v>0</v>
      </c>
      <c r="EE47" s="46">
        <v>0</v>
      </c>
      <c r="EF47" s="46">
        <v>0</v>
      </c>
      <c r="EG47" s="46">
        <v>0</v>
      </c>
      <c r="EH47" s="46">
        <v>0</v>
      </c>
      <c r="EI47" s="46">
        <v>0</v>
      </c>
      <c r="EJ47" s="46">
        <v>0</v>
      </c>
      <c r="EK47" s="46">
        <v>0</v>
      </c>
      <c r="EL47" s="46">
        <v>0</v>
      </c>
      <c r="EM47" s="46">
        <v>0</v>
      </c>
      <c r="EN47" s="46">
        <v>0</v>
      </c>
      <c r="EO47" s="46">
        <v>0</v>
      </c>
      <c r="EP47" s="46">
        <v>0</v>
      </c>
      <c r="EQ47" s="46">
        <v>0</v>
      </c>
      <c r="ER47" s="46">
        <v>0</v>
      </c>
      <c r="ES47" s="46">
        <v>0</v>
      </c>
      <c r="ET47" s="46">
        <v>0</v>
      </c>
      <c r="EU47" s="46">
        <v>0</v>
      </c>
      <c r="EV47" s="46">
        <v>0</v>
      </c>
      <c r="EW47" s="46">
        <v>0</v>
      </c>
      <c r="EX47" s="46">
        <v>0</v>
      </c>
      <c r="EY47" s="46">
        <v>0</v>
      </c>
      <c r="EZ47" s="46">
        <v>0</v>
      </c>
      <c r="FA47" s="46">
        <v>0</v>
      </c>
      <c r="FB47" s="46">
        <v>0</v>
      </c>
      <c r="FC47" s="46">
        <v>0</v>
      </c>
      <c r="FD47" s="46">
        <v>0</v>
      </c>
      <c r="FE47" s="46">
        <v>0</v>
      </c>
      <c r="FF47" s="46">
        <v>0</v>
      </c>
      <c r="FG47" s="46">
        <v>0</v>
      </c>
      <c r="FH47" s="46">
        <v>0</v>
      </c>
      <c r="FI47" s="46">
        <v>0</v>
      </c>
      <c r="FJ47" s="46">
        <v>0</v>
      </c>
      <c r="FK47" s="46">
        <v>0</v>
      </c>
      <c r="FL47" s="46">
        <v>0</v>
      </c>
      <c r="FM47" s="46">
        <v>425549</v>
      </c>
      <c r="FN47" s="46">
        <v>93322834</v>
      </c>
      <c r="FO47" s="46">
        <v>10401165</v>
      </c>
      <c r="FP47" s="46">
        <v>0</v>
      </c>
      <c r="FQ47" s="46">
        <v>0</v>
      </c>
      <c r="FR47" s="46">
        <v>0</v>
      </c>
      <c r="FS47" s="46">
        <v>0</v>
      </c>
      <c r="FT47" s="46">
        <v>0</v>
      </c>
      <c r="FU47" s="46">
        <v>0</v>
      </c>
      <c r="FV47" s="46">
        <v>0</v>
      </c>
      <c r="FW47" s="46">
        <v>0</v>
      </c>
      <c r="FX47" s="46">
        <v>0</v>
      </c>
      <c r="FY47" s="46">
        <v>0</v>
      </c>
      <c r="FZ47" s="46">
        <v>0</v>
      </c>
      <c r="GA47" s="46">
        <v>0</v>
      </c>
      <c r="GB47" s="46">
        <v>0</v>
      </c>
      <c r="GC47" s="46">
        <v>0</v>
      </c>
      <c r="GD47" s="46">
        <v>0</v>
      </c>
      <c r="GE47" s="46">
        <v>0</v>
      </c>
      <c r="GF47" s="46">
        <v>0</v>
      </c>
      <c r="GG47" s="46">
        <v>0</v>
      </c>
      <c r="GH47" s="46">
        <v>0</v>
      </c>
      <c r="GI47" s="46">
        <v>0</v>
      </c>
      <c r="GJ47" s="46">
        <v>0</v>
      </c>
      <c r="GK47" s="46">
        <v>0</v>
      </c>
      <c r="GL47" s="46">
        <v>0</v>
      </c>
      <c r="GM47" s="46">
        <v>0</v>
      </c>
      <c r="GN47" s="46">
        <v>0</v>
      </c>
      <c r="GO47" s="46">
        <v>-7885925</v>
      </c>
      <c r="GP47" s="46">
        <v>-238491</v>
      </c>
      <c r="GQ47" s="46">
        <v>0</v>
      </c>
      <c r="GR47" s="46">
        <v>0</v>
      </c>
      <c r="GS47" s="46">
        <v>0</v>
      </c>
      <c r="GT47" s="46">
        <v>0</v>
      </c>
      <c r="GU47" s="46">
        <v>0</v>
      </c>
      <c r="GV47" s="46">
        <v>0</v>
      </c>
      <c r="GW47" s="46">
        <v>0</v>
      </c>
      <c r="GX47" s="46">
        <v>0</v>
      </c>
      <c r="GY47" s="46">
        <v>0</v>
      </c>
      <c r="GZ47" s="46">
        <v>0</v>
      </c>
      <c r="HA47" s="46">
        <v>0</v>
      </c>
      <c r="HB47" s="46">
        <v>0</v>
      </c>
      <c r="HC47" s="46">
        <v>0</v>
      </c>
      <c r="HD47" s="46">
        <v>0</v>
      </c>
      <c r="HE47" s="46">
        <v>0</v>
      </c>
      <c r="HF47" s="46">
        <v>0</v>
      </c>
      <c r="HG47" s="46">
        <v>0</v>
      </c>
      <c r="HH47" s="46">
        <v>-7305966</v>
      </c>
      <c r="HI47" s="46">
        <v>0</v>
      </c>
      <c r="HJ47" s="46">
        <v>0</v>
      </c>
      <c r="HK47" s="46">
        <v>0</v>
      </c>
      <c r="HL47" s="46">
        <v>0</v>
      </c>
      <c r="HM47" s="46">
        <v>0</v>
      </c>
      <c r="HN47" s="46">
        <v>0</v>
      </c>
      <c r="HO47" s="46">
        <v>0</v>
      </c>
      <c r="HP47" s="46">
        <v>0</v>
      </c>
      <c r="HQ47" s="46">
        <v>0</v>
      </c>
      <c r="HR47" s="46">
        <v>66725356</v>
      </c>
      <c r="HS47" s="46">
        <v>0</v>
      </c>
      <c r="HT47" s="46">
        <v>0</v>
      </c>
      <c r="HU47" s="46">
        <v>0</v>
      </c>
      <c r="HV47" s="46">
        <v>0</v>
      </c>
      <c r="HW47" s="46">
        <v>0</v>
      </c>
      <c r="HX47" s="46">
        <v>0</v>
      </c>
      <c r="HY47" s="46">
        <v>0</v>
      </c>
      <c r="HZ47" s="46">
        <v>0</v>
      </c>
      <c r="IA47" s="46">
        <v>0</v>
      </c>
      <c r="IB47" s="46">
        <v>0</v>
      </c>
      <c r="IC47" s="46">
        <v>0</v>
      </c>
      <c r="ID47" s="46">
        <v>0</v>
      </c>
      <c r="IE47" s="46">
        <v>0</v>
      </c>
      <c r="IF47" s="46">
        <v>0</v>
      </c>
      <c r="IG47" s="46">
        <v>0</v>
      </c>
      <c r="IH47" s="46">
        <v>0</v>
      </c>
      <c r="II47" s="46">
        <v>669481</v>
      </c>
      <c r="IJ47" s="46">
        <v>0</v>
      </c>
      <c r="IK47" s="46">
        <v>0</v>
      </c>
      <c r="IL47" s="46">
        <v>0</v>
      </c>
      <c r="IM47" s="46">
        <v>0</v>
      </c>
      <c r="IN47" s="46">
        <v>0</v>
      </c>
      <c r="IO47" s="46">
        <v>0</v>
      </c>
      <c r="IP47" s="46">
        <v>166</v>
      </c>
      <c r="IQ47" s="46">
        <v>5326549</v>
      </c>
      <c r="IR47" s="46">
        <v>8798</v>
      </c>
      <c r="IS47" s="46">
        <v>0</v>
      </c>
      <c r="IT47" s="46">
        <v>0</v>
      </c>
      <c r="IU47" s="46">
        <v>4083375</v>
      </c>
      <c r="IV47" s="46">
        <v>0</v>
      </c>
      <c r="IW47" s="46">
        <v>0</v>
      </c>
      <c r="IX47" s="46">
        <v>0</v>
      </c>
      <c r="IY47" s="46">
        <v>0</v>
      </c>
      <c r="IZ47" s="46">
        <v>0</v>
      </c>
      <c r="JA47" s="46">
        <v>0</v>
      </c>
      <c r="JB47" s="46">
        <v>6799100</v>
      </c>
      <c r="JC47" s="46">
        <v>0</v>
      </c>
      <c r="JD47" s="46">
        <v>0</v>
      </c>
      <c r="JE47" s="46">
        <v>0</v>
      </c>
      <c r="JF47" s="46">
        <v>0</v>
      </c>
      <c r="JG47" s="46">
        <v>0</v>
      </c>
      <c r="JH47" s="46">
        <v>0</v>
      </c>
      <c r="JI47" s="46">
        <v>6591</v>
      </c>
      <c r="JJ47" s="46">
        <v>594519</v>
      </c>
      <c r="JK47" s="46">
        <v>8577791</v>
      </c>
      <c r="JL47" s="46">
        <v>0</v>
      </c>
      <c r="JM47" s="46">
        <v>976710</v>
      </c>
      <c r="JN47" s="46">
        <v>0</v>
      </c>
      <c r="JO47" s="46">
        <v>0</v>
      </c>
      <c r="JP47" s="46">
        <v>0</v>
      </c>
      <c r="JQ47" s="46">
        <v>83272</v>
      </c>
      <c r="JR47" s="46">
        <v>2592904</v>
      </c>
      <c r="JS47" s="46">
        <v>802942</v>
      </c>
      <c r="JT47" s="46">
        <v>1083714</v>
      </c>
      <c r="JU47" s="46">
        <v>0</v>
      </c>
      <c r="JV47" s="46">
        <v>0</v>
      </c>
      <c r="JW47" s="46">
        <v>0</v>
      </c>
      <c r="JX47" s="46">
        <v>0</v>
      </c>
      <c r="JY47" s="46">
        <v>0</v>
      </c>
      <c r="JZ47" s="46">
        <v>0</v>
      </c>
      <c r="KA47" s="46">
        <v>23435</v>
      </c>
      <c r="KB47" s="46">
        <v>66007696</v>
      </c>
      <c r="KC47" s="46">
        <v>624511</v>
      </c>
      <c r="KD47" s="46">
        <v>0</v>
      </c>
      <c r="KE47" s="46">
        <v>0</v>
      </c>
      <c r="KF47" s="46">
        <v>0</v>
      </c>
      <c r="KG47" s="46">
        <v>0</v>
      </c>
      <c r="KH47" s="46">
        <v>0</v>
      </c>
      <c r="KI47" s="46">
        <v>4742434</v>
      </c>
      <c r="KJ47" s="46">
        <v>407634</v>
      </c>
      <c r="KK47" s="46">
        <v>1804470</v>
      </c>
      <c r="KL47" s="46">
        <v>1632999</v>
      </c>
      <c r="KM47" s="46">
        <v>0</v>
      </c>
      <c r="KN47" s="46">
        <v>0</v>
      </c>
      <c r="KO47" s="46">
        <v>0</v>
      </c>
      <c r="KP47" s="46">
        <v>0</v>
      </c>
      <c r="KQ47" s="46">
        <v>0</v>
      </c>
      <c r="KR47" s="46">
        <v>70796873</v>
      </c>
      <c r="KS47" s="46">
        <v>38434903</v>
      </c>
      <c r="KT47" s="46">
        <v>0</v>
      </c>
      <c r="KU47" s="46">
        <v>2505911</v>
      </c>
      <c r="KV47" s="46">
        <v>0</v>
      </c>
      <c r="KW47" s="46">
        <v>0</v>
      </c>
      <c r="KX47" s="46">
        <v>0</v>
      </c>
      <c r="KY47" s="46">
        <v>0</v>
      </c>
      <c r="KZ47" s="46">
        <v>0</v>
      </c>
      <c r="LA47" s="46">
        <v>14633480</v>
      </c>
      <c r="LB47" s="46">
        <v>7069203</v>
      </c>
      <c r="LC47" s="46">
        <v>0</v>
      </c>
      <c r="LD47" s="46">
        <v>7216242</v>
      </c>
      <c r="LE47" s="46">
        <v>0</v>
      </c>
      <c r="LF47" s="46">
        <v>0</v>
      </c>
      <c r="LG47" s="46">
        <v>0</v>
      </c>
      <c r="LH47" s="46">
        <v>0</v>
      </c>
      <c r="LI47" s="46">
        <v>0</v>
      </c>
      <c r="LJ47" s="46">
        <v>10889551</v>
      </c>
      <c r="LK47" s="46">
        <v>1068095</v>
      </c>
      <c r="LL47" s="46">
        <v>0</v>
      </c>
      <c r="LM47" s="46">
        <v>8862678</v>
      </c>
      <c r="LN47" s="46">
        <v>0</v>
      </c>
      <c r="LO47" s="46">
        <v>0</v>
      </c>
      <c r="LP47" s="46">
        <v>0</v>
      </c>
      <c r="LQ47" s="46">
        <v>0</v>
      </c>
      <c r="LR47" s="46">
        <v>0</v>
      </c>
      <c r="LS47" s="46">
        <v>0</v>
      </c>
      <c r="LT47" s="46">
        <v>0</v>
      </c>
      <c r="LU47" s="46">
        <v>1527241</v>
      </c>
      <c r="LV47" s="46">
        <v>0</v>
      </c>
      <c r="LW47" s="46">
        <v>0</v>
      </c>
      <c r="LX47" s="46">
        <v>0</v>
      </c>
      <c r="LY47" s="46">
        <v>0</v>
      </c>
      <c r="LZ47" s="46">
        <v>0</v>
      </c>
      <c r="MA47" s="46">
        <v>0</v>
      </c>
      <c r="MB47" s="46">
        <v>22468089</v>
      </c>
      <c r="MC47" s="46">
        <v>38143208</v>
      </c>
      <c r="MD47" s="46">
        <v>0</v>
      </c>
      <c r="ME47" s="46">
        <v>7030181</v>
      </c>
      <c r="MF47" s="46">
        <v>0</v>
      </c>
      <c r="MG47" s="46">
        <v>0</v>
      </c>
      <c r="MH47" s="46">
        <v>0</v>
      </c>
      <c r="MI47" s="46">
        <v>0</v>
      </c>
      <c r="MJ47" s="46">
        <v>0</v>
      </c>
      <c r="MK47" s="46">
        <v>6497395</v>
      </c>
      <c r="ML47" s="46">
        <v>27001724</v>
      </c>
      <c r="MM47" s="46">
        <v>0</v>
      </c>
      <c r="MN47" s="46">
        <v>424805</v>
      </c>
      <c r="MO47" s="46">
        <v>0</v>
      </c>
      <c r="MP47" s="46">
        <v>0</v>
      </c>
      <c r="MQ47" s="46">
        <v>121078</v>
      </c>
      <c r="MR47" s="46">
        <v>0</v>
      </c>
      <c r="MS47" s="46">
        <v>0</v>
      </c>
      <c r="MT47" s="46">
        <v>9388483</v>
      </c>
      <c r="MU47" s="46">
        <v>23363364</v>
      </c>
      <c r="MV47" s="46">
        <v>518</v>
      </c>
      <c r="MW47" s="46">
        <v>458710</v>
      </c>
      <c r="MX47" s="46">
        <v>0</v>
      </c>
      <c r="MY47" s="46">
        <v>0</v>
      </c>
      <c r="MZ47" s="46">
        <v>11600</v>
      </c>
      <c r="NA47" s="46">
        <v>0</v>
      </c>
      <c r="NB47" s="46">
        <v>0</v>
      </c>
      <c r="NC47" s="46">
        <v>12603976</v>
      </c>
      <c r="ND47" s="46">
        <v>14026129</v>
      </c>
      <c r="NE47" s="46">
        <v>0</v>
      </c>
      <c r="NF47" s="46">
        <v>1166794</v>
      </c>
      <c r="NG47" s="46">
        <v>0</v>
      </c>
      <c r="NH47" s="46">
        <v>0</v>
      </c>
      <c r="NI47" s="46">
        <v>0</v>
      </c>
      <c r="NJ47" s="46">
        <v>0</v>
      </c>
      <c r="NK47" s="46">
        <v>424806</v>
      </c>
      <c r="NL47" s="46">
        <v>1316762</v>
      </c>
      <c r="NM47" s="46">
        <v>1596606</v>
      </c>
      <c r="NN47" s="46">
        <v>1866</v>
      </c>
      <c r="NO47" s="46">
        <v>4341400</v>
      </c>
      <c r="NP47" s="46">
        <v>1988</v>
      </c>
      <c r="NQ47" s="46">
        <v>0</v>
      </c>
      <c r="NR47" s="46">
        <v>0</v>
      </c>
      <c r="NS47" s="46">
        <v>0</v>
      </c>
      <c r="NT47" s="46">
        <v>0</v>
      </c>
      <c r="NU47" s="46">
        <v>0</v>
      </c>
      <c r="NV47" s="46">
        <v>6134357</v>
      </c>
      <c r="NW47" s="46">
        <v>62750583</v>
      </c>
      <c r="NX47" s="46">
        <v>1677343</v>
      </c>
      <c r="NY47" s="46">
        <v>0</v>
      </c>
      <c r="NZ47" s="46">
        <v>0</v>
      </c>
      <c r="OA47" s="46">
        <v>0</v>
      </c>
      <c r="OB47" s="46">
        <v>0</v>
      </c>
      <c r="OC47" s="46">
        <v>0</v>
      </c>
      <c r="OD47" s="46">
        <v>878427</v>
      </c>
      <c r="OE47" s="46">
        <v>1114393</v>
      </c>
      <c r="OF47" s="46">
        <v>1294797</v>
      </c>
      <c r="OG47" s="46">
        <v>741909</v>
      </c>
      <c r="OH47" s="46">
        <v>0</v>
      </c>
      <c r="OI47" s="46">
        <v>0</v>
      </c>
      <c r="OJ47" s="46">
        <v>0</v>
      </c>
      <c r="OK47" s="46">
        <v>0</v>
      </c>
      <c r="OL47" s="46">
        <v>0</v>
      </c>
      <c r="OM47" s="46">
        <v>552067</v>
      </c>
      <c r="ON47" s="46">
        <v>308506</v>
      </c>
      <c r="OO47" s="46">
        <v>0</v>
      </c>
      <c r="OP47" s="46">
        <v>0</v>
      </c>
      <c r="OQ47" s="46">
        <v>26830</v>
      </c>
      <c r="OR47" s="46">
        <v>0</v>
      </c>
      <c r="OS47" s="46">
        <v>350107</v>
      </c>
      <c r="OT47" s="46">
        <v>0</v>
      </c>
      <c r="OU47" s="46">
        <v>0</v>
      </c>
      <c r="OV47" s="46">
        <v>0</v>
      </c>
      <c r="OW47" s="46">
        <v>0</v>
      </c>
      <c r="OX47" s="46">
        <v>0</v>
      </c>
      <c r="OY47" s="46">
        <v>0</v>
      </c>
      <c r="OZ47" s="46">
        <v>0</v>
      </c>
      <c r="PA47" s="46">
        <v>0</v>
      </c>
      <c r="PB47" s="46">
        <v>-80524259</v>
      </c>
      <c r="PC47" s="46">
        <v>0</v>
      </c>
      <c r="PD47" s="46">
        <v>0</v>
      </c>
      <c r="PE47" s="46">
        <v>-11776372</v>
      </c>
      <c r="PF47" s="46">
        <v>-3145068</v>
      </c>
      <c r="PG47" s="46">
        <v>200000</v>
      </c>
      <c r="PH47" s="46">
        <v>5714730</v>
      </c>
      <c r="PI47" s="46">
        <v>0</v>
      </c>
      <c r="PJ47" s="46">
        <v>0</v>
      </c>
      <c r="PK47" s="46">
        <v>26274056</v>
      </c>
      <c r="PL47" s="46">
        <v>0</v>
      </c>
      <c r="PM47" s="46">
        <v>0</v>
      </c>
      <c r="PN47" s="46">
        <v>0</v>
      </c>
      <c r="PO47" s="46">
        <v>0</v>
      </c>
      <c r="PP47" s="46">
        <v>0</v>
      </c>
      <c r="PQ47" s="46">
        <v>0</v>
      </c>
      <c r="PR47" s="46">
        <v>0</v>
      </c>
      <c r="PS47" s="46">
        <v>0</v>
      </c>
      <c r="PT47" s="46">
        <v>0</v>
      </c>
      <c r="PU47" s="46">
        <v>0</v>
      </c>
      <c r="PV47" s="46">
        <v>0</v>
      </c>
      <c r="PW47" s="46">
        <v>0</v>
      </c>
      <c r="PX47" s="46">
        <v>0</v>
      </c>
      <c r="PY47" s="46">
        <v>0</v>
      </c>
      <c r="PZ47" s="46">
        <v>0</v>
      </c>
      <c r="QA47" s="46">
        <v>0</v>
      </c>
      <c r="QB47" s="46">
        <v>0</v>
      </c>
      <c r="QC47" s="46">
        <v>0</v>
      </c>
      <c r="QD47" s="46">
        <v>0</v>
      </c>
      <c r="QE47" s="46">
        <v>0</v>
      </c>
      <c r="QF47" s="46">
        <v>0</v>
      </c>
      <c r="QG47" s="46">
        <v>10294322</v>
      </c>
      <c r="QH47" s="46">
        <v>0</v>
      </c>
      <c r="QI47" s="46">
        <v>0</v>
      </c>
      <c r="QJ47" s="46">
        <v>0</v>
      </c>
      <c r="QK47" s="46">
        <v>14561252</v>
      </c>
      <c r="QL47" s="46">
        <v>0</v>
      </c>
      <c r="QM47" s="46">
        <v>0</v>
      </c>
      <c r="QN47" s="46">
        <v>0</v>
      </c>
      <c r="QO47" s="46">
        <v>0</v>
      </c>
      <c r="QP47" s="46">
        <v>0</v>
      </c>
      <c r="QQ47" s="46">
        <v>0</v>
      </c>
      <c r="QR47" s="46">
        <v>0</v>
      </c>
      <c r="QS47" s="46">
        <v>0</v>
      </c>
      <c r="QT47" s="46">
        <v>2221444</v>
      </c>
      <c r="QU47" s="46">
        <v>0</v>
      </c>
      <c r="QV47" s="46">
        <v>0</v>
      </c>
      <c r="QW47" s="46">
        <v>0</v>
      </c>
      <c r="QX47" s="46">
        <v>0</v>
      </c>
      <c r="QY47" s="46">
        <v>0</v>
      </c>
      <c r="QZ47" s="46">
        <v>0</v>
      </c>
      <c r="RA47" s="46">
        <v>0</v>
      </c>
      <c r="RB47" s="46">
        <v>0</v>
      </c>
      <c r="RC47" s="46">
        <v>0</v>
      </c>
      <c r="RD47" s="46">
        <v>0</v>
      </c>
      <c r="RE47" s="46">
        <v>0</v>
      </c>
      <c r="RF47" s="46">
        <v>0</v>
      </c>
      <c r="RG47" s="46">
        <v>0</v>
      </c>
      <c r="RH47" s="46">
        <v>0</v>
      </c>
      <c r="RI47" s="46">
        <v>0</v>
      </c>
      <c r="RJ47" s="46">
        <v>0</v>
      </c>
      <c r="RK47" s="46">
        <v>0</v>
      </c>
      <c r="RL47" s="46">
        <v>0</v>
      </c>
      <c r="RM47" s="46">
        <v>0</v>
      </c>
      <c r="RN47" s="46">
        <v>0</v>
      </c>
      <c r="RO47" s="46">
        <v>-50691108</v>
      </c>
      <c r="RP47" s="46">
        <v>0</v>
      </c>
      <c r="RQ47" s="46">
        <v>0</v>
      </c>
      <c r="RR47" s="46">
        <v>0</v>
      </c>
      <c r="RS47" s="46">
        <v>0</v>
      </c>
      <c r="RT47" s="46">
        <v>0</v>
      </c>
      <c r="RU47" s="46">
        <v>0</v>
      </c>
      <c r="RV47" s="46">
        <v>0</v>
      </c>
      <c r="RW47" s="46">
        <v>0</v>
      </c>
      <c r="RX47" s="46">
        <v>0</v>
      </c>
      <c r="RY47" s="46">
        <v>0</v>
      </c>
      <c r="RZ47" s="46">
        <v>0</v>
      </c>
      <c r="SA47" s="46">
        <v>0</v>
      </c>
      <c r="SB47" s="46">
        <v>0</v>
      </c>
      <c r="SC47" s="46">
        <v>0</v>
      </c>
      <c r="SD47" s="46">
        <v>0</v>
      </c>
      <c r="SE47" s="46">
        <v>0</v>
      </c>
      <c r="SF47" s="46">
        <v>0</v>
      </c>
      <c r="SG47" s="46">
        <v>0</v>
      </c>
      <c r="SH47" s="46">
        <v>0</v>
      </c>
      <c r="SI47" s="46">
        <v>0</v>
      </c>
      <c r="SJ47" s="46">
        <v>0</v>
      </c>
      <c r="SK47" s="46">
        <v>0</v>
      </c>
      <c r="SL47" s="46">
        <v>0</v>
      </c>
      <c r="SM47" s="46">
        <v>0</v>
      </c>
      <c r="SN47" s="46">
        <v>0</v>
      </c>
      <c r="SO47" s="46">
        <v>0</v>
      </c>
      <c r="SP47" s="46">
        <v>1062553</v>
      </c>
      <c r="SQ47" s="46">
        <v>878427</v>
      </c>
      <c r="SR47" s="46">
        <v>1114393</v>
      </c>
      <c r="SS47" s="46">
        <v>1294797</v>
      </c>
      <c r="ST47" s="46">
        <v>741909</v>
      </c>
      <c r="SU47" s="46">
        <v>0</v>
      </c>
      <c r="SV47" s="46">
        <v>0</v>
      </c>
      <c r="SW47" s="46">
        <v>80524259</v>
      </c>
      <c r="SX47" s="46">
        <v>0</v>
      </c>
      <c r="SY47" s="46">
        <v>0</v>
      </c>
      <c r="SZ47" s="46">
        <v>169245</v>
      </c>
      <c r="TA47" s="46">
        <v>291187</v>
      </c>
      <c r="TB47" s="46">
        <v>59729</v>
      </c>
      <c r="TC47" s="46">
        <v>0</v>
      </c>
      <c r="TD47" s="46">
        <v>1439069</v>
      </c>
      <c r="TE47" s="46">
        <v>23673</v>
      </c>
      <c r="TF47" s="46">
        <v>225434</v>
      </c>
      <c r="TG47" s="46">
        <v>526392</v>
      </c>
      <c r="TH47" s="46">
        <v>0</v>
      </c>
      <c r="TI47" s="46">
        <v>1294797</v>
      </c>
      <c r="TJ47" s="46">
        <v>0</v>
      </c>
      <c r="TK47" s="46">
        <v>0</v>
      </c>
      <c r="TL47" s="46">
        <v>69380</v>
      </c>
      <c r="TM47" s="46">
        <v>0</v>
      </c>
      <c r="TN47" s="46">
        <v>0</v>
      </c>
      <c r="TO47" s="46">
        <v>0</v>
      </c>
      <c r="TP47" s="46">
        <v>0</v>
      </c>
      <c r="TQ47" s="46">
        <v>0</v>
      </c>
      <c r="TR47" s="46">
        <v>0</v>
      </c>
      <c r="TS47" s="46">
        <v>0</v>
      </c>
      <c r="TT47" s="46">
        <v>0</v>
      </c>
      <c r="TU47" s="46">
        <v>0</v>
      </c>
      <c r="TV47" s="46">
        <v>0</v>
      </c>
      <c r="TW47" s="46">
        <v>0</v>
      </c>
      <c r="TX47" s="46">
        <v>0</v>
      </c>
      <c r="TY47" s="46">
        <v>0</v>
      </c>
      <c r="TZ47" s="46">
        <v>0</v>
      </c>
      <c r="UA47" s="46">
        <v>0</v>
      </c>
      <c r="UB47" s="46">
        <v>0</v>
      </c>
      <c r="UC47" s="46">
        <v>669510</v>
      </c>
      <c r="UD47" s="46">
        <v>0</v>
      </c>
      <c r="UE47" s="46">
        <v>111737687</v>
      </c>
      <c r="UF47" s="46">
        <v>28918925</v>
      </c>
      <c r="UG47" s="46">
        <v>20820324</v>
      </c>
      <c r="UH47" s="46">
        <v>1527241</v>
      </c>
      <c r="UI47" s="46">
        <v>67641478</v>
      </c>
      <c r="UJ47" s="46">
        <v>34045002</v>
      </c>
      <c r="UK47" s="46">
        <v>33222675</v>
      </c>
      <c r="UL47" s="46">
        <v>28221705</v>
      </c>
      <c r="UM47" s="46">
        <v>7258622</v>
      </c>
      <c r="UN47" s="46">
        <v>70562283</v>
      </c>
      <c r="UO47"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4029526</v>
      </c>
      <c r="UP47" s="46">
        <f>SUM(Input[[#This Row],[Oth Exp E&amp;G]],Input[[#This Row],[Oth Exp Desg]],Input[[#This Row],[Oth Exp Aux]],Input[[#This Row],[Oth Exp R Exp]],Input[[#This Row],[Oth Exp Loan]],Input[[#This Row],[Oth Exp Annuity]],Input[[#This Row],[Oth Exp Unexp]],Input[[#This Row],[Oth Exp R of Ind]],Input[[#This Row],[Oth Exp Inv in P]])</f>
        <v>1237510</v>
      </c>
      <c r="UQ47" s="46"/>
      <c r="UR47" s="46"/>
      <c r="US47" s="8" t="s">
        <v>761</v>
      </c>
      <c r="UT47" s="47">
        <v>9362943405</v>
      </c>
      <c r="UU47" s="8" t="s">
        <v>79</v>
      </c>
      <c r="UV47" s="8" t="s">
        <v>762</v>
      </c>
      <c r="UW47" s="47">
        <v>9362943860</v>
      </c>
      <c r="UX47" s="8" t="s">
        <v>763</v>
      </c>
      <c r="UY47" s="51" cm="1">
        <f t="array" ref="UY47">IFERROR(_xlfn.IFS(Input[[#This Row],[Type]]="HRI",SUMIFS('FTSE | FTFE'!$P$8:$P$77,'FTSE | FTFE'!$H$8:$H$77,A47),Input[[#This Row],[Type]]="UNIV",SUMIFS('FTSE | FTFE'!$P$104:$P$139,'FTSE | FTFE'!$H$104:$H$139,A47),OR(Input[[#This Row],[Type]]="TSTC",Input[[#This Row],[Type]]="LSC"),SUMIFS('FTSE | FTFE'!$O$88:$O$96,'FTSE | FTFE'!$H$88:$H$96,A47),Input[[#This Row],[Type]]="AHM",SUMIFS(Hidden!$H$42:$H$45,Hidden!$G$42:$G$45,A47)),"N/A")</f>
        <v>17719</v>
      </c>
      <c r="UZ47" s="51" t="str" cm="1">
        <f t="array" ref="UZ47">IFERROR(_xlfn.IFS(Input[[#This Row],[Type]]="HRI",SUMIFS('FTSE | FTFE'!$Q$8:$Q$77,'FTSE | FTFE'!$H$8:$H$77,A47),Input[[#This Row],[Type]]="UNIV",SUMIFS('FTSE | FTFE'!$Q$104:$Q$139,'FTSE | FTFE'!$H$104:$H$139,A47),OR(Input[[#This Row],[Type]]="TSTC",Input[[#This Row],[Type]]="LSC"),SUMIFS('FTSE | FTFE'!$P$88:$P$96,'FTSE | FTFE'!$H$88:$H$96,A47)),"N/A")</f>
        <v>N/A</v>
      </c>
      <c r="VA4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141493449</v>
      </c>
      <c r="VB4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18787013</v>
      </c>
      <c r="VC47" s="46">
        <f>SUM(Input[[#This Row],[Fed G&amp;C E&amp;G]],Input[[#This Row],[Fed G&amp;C Desg]],Input[[#This Row],[Fed G&amp;C R Exp]],Input[[#This Row],[Fed G&amp;C Loan]],Input[[#This Row],[Fed G&amp;C Annuity]],Input[[#This Row],[Fed G&amp;C Unexp]],Input[[#This Row],[Fed G&amp;C R of Ind]],Input[[#This Row],[Fed G&amp;C Inv in P]])</f>
        <v>66725356</v>
      </c>
      <c r="VD4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36313239</v>
      </c>
      <c r="VE4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50108664</v>
      </c>
      <c r="VF4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85862458</v>
      </c>
      <c r="VG47" s="46">
        <f>SUM(Input[[#This Row],[Oth Inc E&amp;G]],Input[[#This Row],[Oth Exp Desg]],Input[[#This Row],[Oth Exp R Exp]],Input[[#This Row],[Oth Exp Loan]],Input[[#This Row],[Oth Exp Annuity]],Input[[#This Row],[Oth Exp Unexp]],Input[[#This Row],[Oth Exp R of Ind]],Input[[#This Row],[Oth Exp Inv in P]])</f>
        <v>5427877</v>
      </c>
      <c r="VH47" s="46">
        <f>SUM(Input[[#This Row],[Instr E&amp;G]],Input[[#This Row],[Instr Desg]],Input[[#This Row],[Instr R Exp]],Input[[#This Row],[Instr Loan]],Input[[#This Row],[Instr Annuity]],Input[[#This Row],[Instr Unexp]],Input[[#This Row],[Instr R of Ind]],Input[[#This Row],[Instr Inv in P]])</f>
        <v>111737687</v>
      </c>
      <c r="VI47" s="46">
        <f>SUM(Input[[#This Row],[Res E&amp;G]],Input[[#This Row],[Res Desg]],Input[[#This Row],[Res R Exp]],Input[[#This Row],[Res Loan]],Input[[#This Row],[Res Annuity]],Input[[#This Row],[Res Unexp]],Input[[#This Row],[Res R of Ind]],Input[[#This Row],[Res Inv in P]])</f>
        <v>28918925</v>
      </c>
      <c r="VJ47" s="46">
        <f>SUM(Input[[#This Row],[Acad Sup E&amp;G]],Input[[#This Row],[Acad Sup Desg]],Input[[#This Row],[Acad Sup R Exp]],Input[[#This Row],[Acad Sup Loan]],Input[[#This Row],[Acad Sup Annuity]],Input[[#This Row],[Acad Sup Unexp]],Input[[#This Row],[Acad Sup R of Ind]],Input[[#This Row],[Acad Sup Inv in P]])</f>
        <v>67641478</v>
      </c>
      <c r="VK47" s="46">
        <f>SUM(Input[[#This Row],[Stu Svc E&amp;G]],Input[[#This Row],[Stu Svc Desg]],Input[[#This Row],[Stu Svc R Exp]],Input[[#This Row],[Stu Svc Loan]],Input[[#This Row],[Stu Svc Annuity]],Input[[#This Row],[Stu Svc Unexp]],Input[[#This Row],[Stu Svc R of Ind]],Input[[#This Row],[Stu Svc Inv in P]])</f>
        <v>34045002</v>
      </c>
      <c r="VL47" s="46">
        <f>SUM(Input[[#This Row],[Inst. Spt E&amp;G]],Input[[#This Row],[Inst. Spt Desg]],Input[[#This Row],[Inst. Spt R Exp]],Input[[#This Row],[Inst. Spt Loan]],Input[[#This Row],[Inst. Spt Annuity]],Input[[#This Row],[Inst. Spt Unexp]],Input[[#This Row],[Inst. Spt R of Ind]],Input[[#This Row],[Inst. Spt Inv in P]])</f>
        <v>33222157</v>
      </c>
      <c r="VM47" s="46">
        <f>SUM(Input[[#This Row],[M&amp;O Plnt E&amp;G]],Input[[#This Row],[M&amp;O Plnt Desg]],Input[[#This Row],[M&amp;O Plnt R Exp]],Input[[#This Row],[M&amp;O Plnt Loan]],Input[[#This Row],[M&amp;O Plnt Annuity]],Input[[#This Row],[M&amp;O Plnt Unexp]],Input[[#This Row],[M&amp;O Plnt R of Ind]],Input[[#This Row],[M&amp;O Plnt Inv in P]])</f>
        <v>28221705</v>
      </c>
      <c r="VN47" s="46">
        <f>SUM(Input[[#This Row],[Schl &amp; Fell E&amp;G]],Input[[#This Row],[Schl &amp; Fell Desg]],Input[[#This Row],[Schl &amp; Fell R Exp]],Input[[#This Row],[Schl &amp; Fell Loan]],Input[[#This Row],[Schl &amp; Fell Annuity]],Input[[#This Row],[Schl &amp; Fell Unexp]],Input[[#This Row],[Schl &amp; Fell R of Ind]],Input[[#This Row],[Schl &amp; Fell Inv in P]])</f>
        <v>7256756</v>
      </c>
      <c r="VO47" s="46">
        <f>SUM(Input[[#This Row],[Cap Out fund E&amp;G]],Input[[#This Row],[Cap Out fund Desg]],Input[[#This Row],[Cap Out fund R Exp]],Input[[#This Row],[Cap Out fund Loan]],Input[[#This Row],[Cap Out fund Annuity]],Input[[#This Row],[Cap Out fund Unexp]],Input[[#This Row],[Cap Out fund R of Ind]],Input[[#This Row],[Cap Out fund Inv in P]])</f>
        <v>2734729</v>
      </c>
      <c r="VP47" s="46">
        <f>SUM(Input[[#This Row],[Oth Exp E&amp;G]],Input[[#This Row],[Oth Exp Desg]],Input[[#This Row],[Oth Exp R Exp]],Input[[#This Row],[Oth Exp Loan]],Input[[#This Row],[Oth Exp Annuity]],Input[[#This Row],[Oth Exp Unexp]],Input[[#This Row],[Oth Exp R of Ind]],Input[[#This Row],[Oth Exp Inv in P]],Input[[#This Row],[Oth Exp Inv in P]])</f>
        <v>1237510</v>
      </c>
    </row>
    <row r="48" spans="1:588" ht="30" customHeight="1" x14ac:dyDescent="0.3">
      <c r="A48" s="15" t="s">
        <v>21</v>
      </c>
      <c r="B48" s="36" t="s">
        <v>106</v>
      </c>
      <c r="C48" s="36" t="s">
        <v>110</v>
      </c>
      <c r="D48" s="36">
        <v>806</v>
      </c>
      <c r="E48" s="36" t="s">
        <v>132</v>
      </c>
      <c r="F48" s="95" cm="1">
        <f t="array" ref="F48">IFERROR(_xlfn.IFS(Input[[#This Row],[Type]]="HRI",SUMIFS('FTSE | FTFE'!$I$8:$I$77,'FTSE | FTFE'!$H$8:$H$77,A48),Input[[#This Row],[Type]]="UNIV",SUMIFS('FTSE | FTFE'!$I$104:$I$139,'FTSE | FTFE'!$H$104:$H$139,A48),OR(Input[[#This Row],[Type]]="TSTC",Input[[#This Row],[Type]]="LSC"),SUMIFS('FTSE | FTFE'!$I$88:$I$96,'FTSE | FTFE'!$H$88:$H$96,A48)),"N/A")</f>
        <v>3606</v>
      </c>
      <c r="G48" s="46">
        <v>97554357</v>
      </c>
      <c r="H48" s="46">
        <v>0</v>
      </c>
      <c r="I48" s="46">
        <v>0</v>
      </c>
      <c r="J48" s="46">
        <v>0</v>
      </c>
      <c r="K48" s="46">
        <v>0</v>
      </c>
      <c r="L48" s="46">
        <v>0</v>
      </c>
      <c r="M48" s="46">
        <v>0</v>
      </c>
      <c r="N48" s="46">
        <v>0</v>
      </c>
      <c r="O48" s="46">
        <v>0</v>
      </c>
      <c r="P48" s="46">
        <v>0</v>
      </c>
      <c r="Q48" s="46">
        <v>0</v>
      </c>
      <c r="R48" s="46">
        <v>0</v>
      </c>
      <c r="S48" s="46">
        <v>24583509</v>
      </c>
      <c r="T48" s="46">
        <v>0</v>
      </c>
      <c r="U48" s="46">
        <v>0</v>
      </c>
      <c r="V48" s="46">
        <v>0</v>
      </c>
      <c r="W48" s="46">
        <v>0</v>
      </c>
      <c r="X48" s="46">
        <v>0</v>
      </c>
      <c r="Y48" s="46">
        <v>18787013</v>
      </c>
      <c r="Z48" s="46">
        <v>0</v>
      </c>
      <c r="AA48" s="46">
        <v>0</v>
      </c>
      <c r="AB48" s="46">
        <v>0</v>
      </c>
      <c r="AC48" s="46">
        <v>0</v>
      </c>
      <c r="AD48" s="46">
        <v>0</v>
      </c>
      <c r="AE48" s="46">
        <v>0</v>
      </c>
      <c r="AF48" s="46">
        <v>0</v>
      </c>
      <c r="AG48" s="46">
        <v>0</v>
      </c>
      <c r="AH48" s="46">
        <v>0</v>
      </c>
      <c r="AI48" s="46">
        <v>0</v>
      </c>
      <c r="AJ48" s="46">
        <v>0</v>
      </c>
      <c r="AK48" s="46">
        <v>0</v>
      </c>
      <c r="AL48" s="46">
        <v>0</v>
      </c>
      <c r="AM48" s="46">
        <v>0</v>
      </c>
      <c r="AN48" s="46">
        <v>0</v>
      </c>
      <c r="AO48" s="46">
        <v>0</v>
      </c>
      <c r="AP48" s="46">
        <v>0</v>
      </c>
      <c r="AQ48" s="46">
        <v>0</v>
      </c>
      <c r="AR48" s="46">
        <v>0</v>
      </c>
      <c r="AS48" s="46">
        <v>0</v>
      </c>
      <c r="AT48" s="46">
        <v>0</v>
      </c>
      <c r="AU48" s="46">
        <v>0</v>
      </c>
      <c r="AV48" s="46">
        <v>0</v>
      </c>
      <c r="AW48" s="46">
        <v>0</v>
      </c>
      <c r="AX48" s="46">
        <v>0</v>
      </c>
      <c r="AY48" s="46">
        <v>0</v>
      </c>
      <c r="AZ48" s="46">
        <v>0</v>
      </c>
      <c r="BA48" s="46">
        <v>0</v>
      </c>
      <c r="BB48" s="46">
        <v>0</v>
      </c>
      <c r="BC48" s="46">
        <v>0</v>
      </c>
      <c r="BD48" s="46">
        <v>0</v>
      </c>
      <c r="BE48" s="46">
        <v>0</v>
      </c>
      <c r="BF48" s="46">
        <v>0</v>
      </c>
      <c r="BG48" s="46">
        <v>0</v>
      </c>
      <c r="BH48" s="46">
        <v>0</v>
      </c>
      <c r="BI48" s="46">
        <v>0</v>
      </c>
      <c r="BJ48" s="46">
        <v>0</v>
      </c>
      <c r="BK48" s="46">
        <v>0</v>
      </c>
      <c r="BL48" s="46">
        <v>0</v>
      </c>
      <c r="BM48" s="46">
        <v>0</v>
      </c>
      <c r="BN48" s="46">
        <v>0</v>
      </c>
      <c r="BO48" s="46">
        <v>0</v>
      </c>
      <c r="BP48" s="46">
        <v>0</v>
      </c>
      <c r="BQ48" s="46">
        <v>0</v>
      </c>
      <c r="BR48" s="46">
        <v>0</v>
      </c>
      <c r="BS48" s="46">
        <v>0</v>
      </c>
      <c r="BT48" s="46">
        <v>0</v>
      </c>
      <c r="BU48" s="46">
        <v>0</v>
      </c>
      <c r="BV48" s="46">
        <v>0</v>
      </c>
      <c r="BW48" s="46">
        <v>0</v>
      </c>
      <c r="BX48" s="46">
        <v>0</v>
      </c>
      <c r="BY48" s="46">
        <v>0</v>
      </c>
      <c r="BZ48" s="46">
        <v>0</v>
      </c>
      <c r="CA48" s="46">
        <v>38038340</v>
      </c>
      <c r="CB48" s="46">
        <v>103775357</v>
      </c>
      <c r="CC48" s="46">
        <v>0</v>
      </c>
      <c r="CD48" s="46">
        <v>0</v>
      </c>
      <c r="CE48" s="46">
        <v>0</v>
      </c>
      <c r="CF48" s="46">
        <v>0</v>
      </c>
      <c r="CG48" s="46">
        <v>0</v>
      </c>
      <c r="CH48" s="46">
        <v>0</v>
      </c>
      <c r="CI48" s="46">
        <v>0</v>
      </c>
      <c r="CJ48" s="46">
        <v>-3802406</v>
      </c>
      <c r="CK48" s="46">
        <v>-618066</v>
      </c>
      <c r="CL48" s="46">
        <v>0</v>
      </c>
      <c r="CM48" s="46">
        <v>0</v>
      </c>
      <c r="CN48" s="46">
        <v>0</v>
      </c>
      <c r="CO48" s="46">
        <v>0</v>
      </c>
      <c r="CP48" s="46">
        <v>0</v>
      </c>
      <c r="CQ48" s="46">
        <v>0</v>
      </c>
      <c r="CR48" s="46">
        <v>0</v>
      </c>
      <c r="CS48" s="46">
        <v>0</v>
      </c>
      <c r="CT48" s="46">
        <v>0</v>
      </c>
      <c r="CU48" s="46">
        <v>0</v>
      </c>
      <c r="CV48" s="46">
        <v>0</v>
      </c>
      <c r="CW48" s="46">
        <v>0</v>
      </c>
      <c r="CX48" s="46">
        <v>0</v>
      </c>
      <c r="CY48" s="46">
        <v>0</v>
      </c>
      <c r="CZ48" s="46">
        <v>0</v>
      </c>
      <c r="DA48" s="46">
        <v>0</v>
      </c>
      <c r="DB48" s="46">
        <v>-9196381</v>
      </c>
      <c r="DC48" s="46">
        <v>-4653630</v>
      </c>
      <c r="DD48" s="46">
        <v>0</v>
      </c>
      <c r="DE48" s="46">
        <v>0</v>
      </c>
      <c r="DF48" s="46">
        <v>0</v>
      </c>
      <c r="DG48" s="46">
        <v>0</v>
      </c>
      <c r="DH48" s="46">
        <v>0</v>
      </c>
      <c r="DI48" s="46">
        <v>0</v>
      </c>
      <c r="DJ48" s="46">
        <v>0</v>
      </c>
      <c r="DK48" s="46">
        <v>0</v>
      </c>
      <c r="DL48" s="46">
        <v>0</v>
      </c>
      <c r="DM48" s="46">
        <v>0</v>
      </c>
      <c r="DN48" s="46">
        <v>0</v>
      </c>
      <c r="DO48" s="46">
        <v>0</v>
      </c>
      <c r="DP48" s="46">
        <v>0</v>
      </c>
      <c r="DQ48" s="46">
        <v>0</v>
      </c>
      <c r="DR48" s="46">
        <v>0</v>
      </c>
      <c r="DS48" s="46">
        <v>0</v>
      </c>
      <c r="DT48" s="46">
        <v>0</v>
      </c>
      <c r="DU48" s="46">
        <v>-87932108</v>
      </c>
      <c r="DV48" s="46">
        <v>0</v>
      </c>
      <c r="DW48" s="46">
        <v>0</v>
      </c>
      <c r="DX48" s="46">
        <v>0</v>
      </c>
      <c r="DY48" s="46">
        <v>0</v>
      </c>
      <c r="DZ48" s="46">
        <v>0</v>
      </c>
      <c r="EA48" s="46">
        <v>0</v>
      </c>
      <c r="EB48" s="46">
        <v>0</v>
      </c>
      <c r="EC48" s="46">
        <v>0</v>
      </c>
      <c r="ED48" s="46">
        <v>0</v>
      </c>
      <c r="EE48" s="46">
        <v>0</v>
      </c>
      <c r="EF48" s="46">
        <v>0</v>
      </c>
      <c r="EG48" s="46">
        <v>0</v>
      </c>
      <c r="EH48" s="46">
        <v>0</v>
      </c>
      <c r="EI48" s="46">
        <v>0</v>
      </c>
      <c r="EJ48" s="46">
        <v>0</v>
      </c>
      <c r="EK48" s="46">
        <v>0</v>
      </c>
      <c r="EL48" s="46">
        <v>0</v>
      </c>
      <c r="EM48" s="46">
        <v>0</v>
      </c>
      <c r="EN48" s="46">
        <v>0</v>
      </c>
      <c r="EO48" s="46">
        <v>0</v>
      </c>
      <c r="EP48" s="46">
        <v>0</v>
      </c>
      <c r="EQ48" s="46">
        <v>0</v>
      </c>
      <c r="ER48" s="46">
        <v>0</v>
      </c>
      <c r="ES48" s="46">
        <v>0</v>
      </c>
      <c r="ET48" s="46">
        <v>0</v>
      </c>
      <c r="EU48" s="46">
        <v>0</v>
      </c>
      <c r="EV48" s="46">
        <v>0</v>
      </c>
      <c r="EW48" s="46">
        <v>0</v>
      </c>
      <c r="EX48" s="46">
        <v>0</v>
      </c>
      <c r="EY48" s="46">
        <v>0</v>
      </c>
      <c r="EZ48" s="46">
        <v>0</v>
      </c>
      <c r="FA48" s="46">
        <v>0</v>
      </c>
      <c r="FB48" s="46">
        <v>0</v>
      </c>
      <c r="FC48" s="46">
        <v>0</v>
      </c>
      <c r="FD48" s="46">
        <v>0</v>
      </c>
      <c r="FE48" s="46">
        <v>0</v>
      </c>
      <c r="FF48" s="46">
        <v>0</v>
      </c>
      <c r="FG48" s="46">
        <v>0</v>
      </c>
      <c r="FH48" s="46">
        <v>0</v>
      </c>
      <c r="FI48" s="46">
        <v>0</v>
      </c>
      <c r="FJ48" s="46">
        <v>0</v>
      </c>
      <c r="FK48" s="46">
        <v>0</v>
      </c>
      <c r="FL48" s="46">
        <v>0</v>
      </c>
      <c r="FM48" s="46">
        <v>425549</v>
      </c>
      <c r="FN48" s="46">
        <v>93322834</v>
      </c>
      <c r="FO48" s="46">
        <v>10401165</v>
      </c>
      <c r="FP48" s="46">
        <v>0</v>
      </c>
      <c r="FQ48" s="46">
        <v>0</v>
      </c>
      <c r="FR48" s="46">
        <v>0</v>
      </c>
      <c r="FS48" s="46">
        <v>0</v>
      </c>
      <c r="FT48" s="46">
        <v>0</v>
      </c>
      <c r="FU48" s="46">
        <v>0</v>
      </c>
      <c r="FV48" s="46">
        <v>0</v>
      </c>
      <c r="FW48" s="46">
        <v>0</v>
      </c>
      <c r="FX48" s="46">
        <v>0</v>
      </c>
      <c r="FY48" s="46">
        <v>0</v>
      </c>
      <c r="FZ48" s="46">
        <v>0</v>
      </c>
      <c r="GA48" s="46">
        <v>0</v>
      </c>
      <c r="GB48" s="46">
        <v>0</v>
      </c>
      <c r="GC48" s="46">
        <v>0</v>
      </c>
      <c r="GD48" s="46">
        <v>0</v>
      </c>
      <c r="GE48" s="46">
        <v>0</v>
      </c>
      <c r="GF48" s="46">
        <v>0</v>
      </c>
      <c r="GG48" s="46">
        <v>0</v>
      </c>
      <c r="GH48" s="46">
        <v>0</v>
      </c>
      <c r="GI48" s="46">
        <v>0</v>
      </c>
      <c r="GJ48" s="46">
        <v>0</v>
      </c>
      <c r="GK48" s="46">
        <v>0</v>
      </c>
      <c r="GL48" s="46">
        <v>0</v>
      </c>
      <c r="GM48" s="46">
        <v>0</v>
      </c>
      <c r="GN48" s="46">
        <v>0</v>
      </c>
      <c r="GO48" s="46">
        <v>-7885925</v>
      </c>
      <c r="GP48" s="46">
        <v>-238491</v>
      </c>
      <c r="GQ48" s="46">
        <v>0</v>
      </c>
      <c r="GR48" s="46">
        <v>0</v>
      </c>
      <c r="GS48" s="46">
        <v>0</v>
      </c>
      <c r="GT48" s="46">
        <v>0</v>
      </c>
      <c r="GU48" s="46">
        <v>0</v>
      </c>
      <c r="GV48" s="46">
        <v>0</v>
      </c>
      <c r="GW48" s="46">
        <v>0</v>
      </c>
      <c r="GX48" s="46">
        <v>0</v>
      </c>
      <c r="GY48" s="46">
        <v>0</v>
      </c>
      <c r="GZ48" s="46">
        <v>0</v>
      </c>
      <c r="HA48" s="46">
        <v>0</v>
      </c>
      <c r="HB48" s="46">
        <v>0</v>
      </c>
      <c r="HC48" s="46">
        <v>0</v>
      </c>
      <c r="HD48" s="46">
        <v>0</v>
      </c>
      <c r="HE48" s="46">
        <v>0</v>
      </c>
      <c r="HF48" s="46">
        <v>0</v>
      </c>
      <c r="HG48" s="46">
        <v>0</v>
      </c>
      <c r="HH48" s="46">
        <v>-7305966</v>
      </c>
      <c r="HI48" s="46">
        <v>0</v>
      </c>
      <c r="HJ48" s="46">
        <v>0</v>
      </c>
      <c r="HK48" s="46">
        <v>0</v>
      </c>
      <c r="HL48" s="46">
        <v>0</v>
      </c>
      <c r="HM48" s="46">
        <v>0</v>
      </c>
      <c r="HN48" s="46">
        <v>0</v>
      </c>
      <c r="HO48" s="46">
        <v>0</v>
      </c>
      <c r="HP48" s="46">
        <v>0</v>
      </c>
      <c r="HQ48" s="46">
        <v>0</v>
      </c>
      <c r="HR48" s="46">
        <v>66655913</v>
      </c>
      <c r="HS48" s="46">
        <v>0</v>
      </c>
      <c r="HT48" s="46">
        <v>0</v>
      </c>
      <c r="HU48" s="46">
        <v>0</v>
      </c>
      <c r="HV48" s="46">
        <v>0</v>
      </c>
      <c r="HW48" s="46">
        <v>0</v>
      </c>
      <c r="HX48" s="46">
        <v>0</v>
      </c>
      <c r="HY48" s="46">
        <v>0</v>
      </c>
      <c r="HZ48" s="46">
        <v>0</v>
      </c>
      <c r="IA48" s="46">
        <v>0</v>
      </c>
      <c r="IB48" s="46">
        <v>0</v>
      </c>
      <c r="IC48" s="46">
        <v>0</v>
      </c>
      <c r="ID48" s="46">
        <v>0</v>
      </c>
      <c r="IE48" s="46">
        <v>0</v>
      </c>
      <c r="IF48" s="46">
        <v>0</v>
      </c>
      <c r="IG48" s="46">
        <v>0</v>
      </c>
      <c r="IH48" s="46">
        <v>0</v>
      </c>
      <c r="II48" s="46">
        <v>0</v>
      </c>
      <c r="IJ48" s="46">
        <v>0</v>
      </c>
      <c r="IK48" s="46">
        <v>0</v>
      </c>
      <c r="IL48" s="46">
        <v>0</v>
      </c>
      <c r="IM48" s="46">
        <v>0</v>
      </c>
      <c r="IN48" s="46">
        <v>0</v>
      </c>
      <c r="IO48" s="46">
        <v>0</v>
      </c>
      <c r="IP48" s="46">
        <v>166</v>
      </c>
      <c r="IQ48" s="46">
        <v>5326549</v>
      </c>
      <c r="IR48" s="46">
        <v>8798</v>
      </c>
      <c r="IS48" s="46">
        <v>-14247</v>
      </c>
      <c r="IT48" s="46">
        <v>0</v>
      </c>
      <c r="IU48" s="46">
        <v>4066706</v>
      </c>
      <c r="IV48" s="46">
        <v>0</v>
      </c>
      <c r="IW48" s="46">
        <v>0</v>
      </c>
      <c r="IX48" s="46">
        <v>0</v>
      </c>
      <c r="IY48" s="46">
        <v>0</v>
      </c>
      <c r="IZ48" s="46">
        <v>0</v>
      </c>
      <c r="JA48" s="46">
        <v>0</v>
      </c>
      <c r="JB48" s="46">
        <v>5740305</v>
      </c>
      <c r="JC48" s="46">
        <v>0</v>
      </c>
      <c r="JD48" s="46">
        <v>0</v>
      </c>
      <c r="JE48" s="46">
        <v>0</v>
      </c>
      <c r="JF48" s="46">
        <v>0</v>
      </c>
      <c r="JG48" s="46">
        <v>0</v>
      </c>
      <c r="JH48" s="46">
        <v>0</v>
      </c>
      <c r="JI48" s="46">
        <v>5071</v>
      </c>
      <c r="JJ48" s="46">
        <v>594519</v>
      </c>
      <c r="JK48" s="46">
        <v>7391646</v>
      </c>
      <c r="JL48" s="46">
        <v>0</v>
      </c>
      <c r="JM48" s="46">
        <v>976710</v>
      </c>
      <c r="JN48" s="46">
        <v>0</v>
      </c>
      <c r="JO48" s="46">
        <v>0</v>
      </c>
      <c r="JP48" s="46">
        <v>0</v>
      </c>
      <c r="JQ48" s="46">
        <v>83272</v>
      </c>
      <c r="JR48" s="46">
        <v>2271684</v>
      </c>
      <c r="JS48" s="46">
        <v>802942</v>
      </c>
      <c r="JT48" s="46">
        <v>1083714</v>
      </c>
      <c r="JU48" s="46">
        <v>0</v>
      </c>
      <c r="JV48" s="46">
        <v>0</v>
      </c>
      <c r="JW48" s="46">
        <v>0</v>
      </c>
      <c r="JX48" s="46">
        <v>0</v>
      </c>
      <c r="JY48" s="46">
        <v>0</v>
      </c>
      <c r="JZ48" s="46">
        <v>0</v>
      </c>
      <c r="KA48" s="46">
        <v>23435</v>
      </c>
      <c r="KB48" s="46">
        <v>66007696</v>
      </c>
      <c r="KC48" s="46">
        <v>624511</v>
      </c>
      <c r="KD48" s="46">
        <v>0</v>
      </c>
      <c r="KE48" s="46">
        <v>0</v>
      </c>
      <c r="KF48" s="46">
        <v>0</v>
      </c>
      <c r="KG48" s="46">
        <v>0</v>
      </c>
      <c r="KH48" s="46">
        <v>0</v>
      </c>
      <c r="KI48" s="46">
        <v>4742265</v>
      </c>
      <c r="KJ48" s="46">
        <v>365593</v>
      </c>
      <c r="KK48" s="46">
        <v>1804470</v>
      </c>
      <c r="KL48" s="46">
        <v>1632999</v>
      </c>
      <c r="KM48" s="46">
        <v>0</v>
      </c>
      <c r="KN48" s="46">
        <v>0</v>
      </c>
      <c r="KO48" s="46">
        <v>0</v>
      </c>
      <c r="KP48" s="46">
        <v>0</v>
      </c>
      <c r="KQ48" s="46">
        <v>0</v>
      </c>
      <c r="KR48" s="46">
        <v>59815351</v>
      </c>
      <c r="KS48" s="46">
        <v>37188685</v>
      </c>
      <c r="KT48" s="46">
        <v>0</v>
      </c>
      <c r="KU48" s="46">
        <v>1231163</v>
      </c>
      <c r="KV48" s="46">
        <v>0</v>
      </c>
      <c r="KW48" s="46">
        <v>0</v>
      </c>
      <c r="KX48" s="46">
        <v>0</v>
      </c>
      <c r="KY48" s="46">
        <v>0</v>
      </c>
      <c r="KZ48" s="46">
        <v>0</v>
      </c>
      <c r="LA48" s="46">
        <v>13321008</v>
      </c>
      <c r="LB48" s="46">
        <v>6903119</v>
      </c>
      <c r="LC48" s="46">
        <v>0</v>
      </c>
      <c r="LD48" s="46">
        <v>7158803</v>
      </c>
      <c r="LE48" s="46">
        <v>0</v>
      </c>
      <c r="LF48" s="46">
        <v>0</v>
      </c>
      <c r="LG48" s="46">
        <v>0</v>
      </c>
      <c r="LH48" s="46">
        <v>0</v>
      </c>
      <c r="LI48" s="46">
        <v>0</v>
      </c>
      <c r="LJ48" s="46">
        <v>10889551</v>
      </c>
      <c r="LK48" s="46">
        <v>1068095</v>
      </c>
      <c r="LL48" s="46">
        <v>0</v>
      </c>
      <c r="LM48" s="46">
        <v>8577869</v>
      </c>
      <c r="LN48" s="46">
        <v>0</v>
      </c>
      <c r="LO48" s="46">
        <v>0</v>
      </c>
      <c r="LP48" s="46">
        <v>0</v>
      </c>
      <c r="LQ48" s="46">
        <v>0</v>
      </c>
      <c r="LR48" s="46">
        <v>0</v>
      </c>
      <c r="LS48" s="46">
        <v>0</v>
      </c>
      <c r="LT48" s="46">
        <v>0</v>
      </c>
      <c r="LU48" s="46">
        <v>0</v>
      </c>
      <c r="LV48" s="46">
        <v>0</v>
      </c>
      <c r="LW48" s="46">
        <v>0</v>
      </c>
      <c r="LX48" s="46">
        <v>0</v>
      </c>
      <c r="LY48" s="46">
        <v>0</v>
      </c>
      <c r="LZ48" s="46">
        <v>0</v>
      </c>
      <c r="MA48" s="46">
        <v>0</v>
      </c>
      <c r="MB48" s="46">
        <v>16784689</v>
      </c>
      <c r="MC48" s="46">
        <v>36844222</v>
      </c>
      <c r="MD48" s="46">
        <v>0</v>
      </c>
      <c r="ME48" s="46">
        <v>6095388</v>
      </c>
      <c r="MF48" s="46">
        <v>0</v>
      </c>
      <c r="MG48" s="46">
        <v>0</v>
      </c>
      <c r="MH48" s="46">
        <v>0</v>
      </c>
      <c r="MI48" s="46">
        <v>0</v>
      </c>
      <c r="MJ48" s="46">
        <v>0</v>
      </c>
      <c r="MK48" s="46">
        <v>5207296</v>
      </c>
      <c r="ML48" s="46">
        <v>26257131</v>
      </c>
      <c r="MM48" s="46">
        <v>0</v>
      </c>
      <c r="MN48" s="46">
        <v>424828</v>
      </c>
      <c r="MO48" s="46">
        <v>0</v>
      </c>
      <c r="MP48" s="46">
        <v>0</v>
      </c>
      <c r="MQ48" s="46">
        <v>121078</v>
      </c>
      <c r="MR48" s="46">
        <v>0</v>
      </c>
      <c r="MS48" s="46">
        <v>0</v>
      </c>
      <c r="MT48" s="46">
        <v>8192548</v>
      </c>
      <c r="MU48" s="46">
        <v>23261460</v>
      </c>
      <c r="MV48" s="46">
        <v>518</v>
      </c>
      <c r="MW48" s="46">
        <v>458710</v>
      </c>
      <c r="MX48" s="46">
        <v>0</v>
      </c>
      <c r="MY48" s="46">
        <v>0</v>
      </c>
      <c r="MZ48" s="46">
        <v>11600</v>
      </c>
      <c r="NA48" s="46">
        <v>0</v>
      </c>
      <c r="NB48" s="46">
        <v>0</v>
      </c>
      <c r="NC48" s="46">
        <v>11502304</v>
      </c>
      <c r="ND48" s="46">
        <v>13966803</v>
      </c>
      <c r="NE48" s="46">
        <v>0</v>
      </c>
      <c r="NF48" s="46">
        <v>1166794</v>
      </c>
      <c r="NG48" s="46">
        <v>0</v>
      </c>
      <c r="NH48" s="46">
        <v>0</v>
      </c>
      <c r="NI48" s="46">
        <v>0</v>
      </c>
      <c r="NJ48" s="46">
        <v>0</v>
      </c>
      <c r="NK48" s="46">
        <v>424806</v>
      </c>
      <c r="NL48" s="46">
        <v>1316762</v>
      </c>
      <c r="NM48" s="46">
        <v>1596606</v>
      </c>
      <c r="NN48" s="46">
        <v>1866</v>
      </c>
      <c r="NO48" s="46">
        <v>4341400</v>
      </c>
      <c r="NP48" s="46">
        <v>1988</v>
      </c>
      <c r="NQ48" s="46">
        <v>0</v>
      </c>
      <c r="NR48" s="46">
        <v>0</v>
      </c>
      <c r="NS48" s="46">
        <v>0</v>
      </c>
      <c r="NT48" s="46">
        <v>0</v>
      </c>
      <c r="NU48" s="46">
        <v>0</v>
      </c>
      <c r="NV48" s="46">
        <v>6134357</v>
      </c>
      <c r="NW48" s="46">
        <v>62750583</v>
      </c>
      <c r="NX48" s="46">
        <v>1677343</v>
      </c>
      <c r="NY48" s="46">
        <v>0</v>
      </c>
      <c r="NZ48" s="46">
        <v>0</v>
      </c>
      <c r="OA48" s="46">
        <v>0</v>
      </c>
      <c r="OB48" s="46">
        <v>0</v>
      </c>
      <c r="OC48" s="46">
        <v>0</v>
      </c>
      <c r="OD48" s="46">
        <v>878427</v>
      </c>
      <c r="OE48" s="46">
        <v>1070794</v>
      </c>
      <c r="OF48" s="46">
        <v>1294797</v>
      </c>
      <c r="OG48" s="46">
        <v>741909</v>
      </c>
      <c r="OH48" s="46">
        <v>0</v>
      </c>
      <c r="OI48" s="46">
        <v>0</v>
      </c>
      <c r="OJ48" s="46">
        <v>0</v>
      </c>
      <c r="OK48" s="46">
        <v>0</v>
      </c>
      <c r="OL48" s="46">
        <v>0</v>
      </c>
      <c r="OM48" s="46">
        <v>552067</v>
      </c>
      <c r="ON48" s="46">
        <v>308506</v>
      </c>
      <c r="OO48" s="46">
        <v>0</v>
      </c>
      <c r="OP48" s="46">
        <v>0</v>
      </c>
      <c r="OQ48" s="46">
        <v>26830</v>
      </c>
      <c r="OR48" s="46">
        <v>0</v>
      </c>
      <c r="OS48" s="46">
        <v>350107</v>
      </c>
      <c r="OT48" s="46">
        <v>0</v>
      </c>
      <c r="OU48" s="46">
        <v>0</v>
      </c>
      <c r="OV48" s="46">
        <v>0</v>
      </c>
      <c r="OW48" s="46">
        <v>0</v>
      </c>
      <c r="OX48" s="46">
        <v>0</v>
      </c>
      <c r="OY48" s="46">
        <v>0</v>
      </c>
      <c r="OZ48" s="46">
        <v>0</v>
      </c>
      <c r="PA48" s="46">
        <v>0</v>
      </c>
      <c r="PB48" s="46">
        <v>-78583889</v>
      </c>
      <c r="PC48" s="46">
        <v>0</v>
      </c>
      <c r="PD48" s="46">
        <v>0</v>
      </c>
      <c r="PE48" s="46">
        <v>-11736620</v>
      </c>
      <c r="PF48" s="46">
        <v>-2683524</v>
      </c>
      <c r="PG48" s="46">
        <v>200000</v>
      </c>
      <c r="PH48" s="46">
        <v>5653463</v>
      </c>
      <c r="PI48" s="46">
        <v>0</v>
      </c>
      <c r="PJ48" s="46">
        <v>0</v>
      </c>
      <c r="PK48" s="46">
        <v>26274056</v>
      </c>
      <c r="PL48" s="46">
        <v>0</v>
      </c>
      <c r="PM48" s="46">
        <v>0</v>
      </c>
      <c r="PN48" s="46">
        <v>0</v>
      </c>
      <c r="PO48" s="46">
        <v>0</v>
      </c>
      <c r="PP48" s="46">
        <v>0</v>
      </c>
      <c r="PQ48" s="46">
        <v>0</v>
      </c>
      <c r="PR48" s="46">
        <v>0</v>
      </c>
      <c r="PS48" s="46">
        <v>0</v>
      </c>
      <c r="PT48" s="46">
        <v>0</v>
      </c>
      <c r="PU48" s="46">
        <v>0</v>
      </c>
      <c r="PV48" s="46">
        <v>0</v>
      </c>
      <c r="PW48" s="46">
        <v>0</v>
      </c>
      <c r="PX48" s="46">
        <v>0</v>
      </c>
      <c r="PY48" s="46">
        <v>0</v>
      </c>
      <c r="PZ48" s="46">
        <v>0</v>
      </c>
      <c r="QA48" s="46">
        <v>0</v>
      </c>
      <c r="QB48" s="46">
        <v>0</v>
      </c>
      <c r="QC48" s="46">
        <v>0</v>
      </c>
      <c r="QD48" s="46">
        <v>0</v>
      </c>
      <c r="QE48" s="46">
        <v>0</v>
      </c>
      <c r="QF48" s="46">
        <v>0</v>
      </c>
      <c r="QG48" s="46">
        <v>10294322</v>
      </c>
      <c r="QH48" s="46">
        <v>0</v>
      </c>
      <c r="QI48" s="46">
        <v>0</v>
      </c>
      <c r="QJ48" s="46">
        <v>0</v>
      </c>
      <c r="QK48" s="46">
        <v>14534671</v>
      </c>
      <c r="QL48" s="46">
        <v>0</v>
      </c>
      <c r="QM48" s="46">
        <v>0</v>
      </c>
      <c r="QN48" s="46">
        <v>0</v>
      </c>
      <c r="QO48" s="46">
        <v>0</v>
      </c>
      <c r="QP48" s="46">
        <v>0</v>
      </c>
      <c r="QQ48" s="46">
        <v>0</v>
      </c>
      <c r="QR48" s="46">
        <v>0</v>
      </c>
      <c r="QS48" s="46">
        <v>0</v>
      </c>
      <c r="QT48" s="46">
        <v>2180444</v>
      </c>
      <c r="QU48" s="46">
        <v>0</v>
      </c>
      <c r="QV48" s="46">
        <v>0</v>
      </c>
      <c r="QW48" s="46">
        <v>0</v>
      </c>
      <c r="QX48" s="46">
        <v>0</v>
      </c>
      <c r="QY48" s="46">
        <v>0</v>
      </c>
      <c r="QZ48" s="46">
        <v>0</v>
      </c>
      <c r="RA48" s="46">
        <v>0</v>
      </c>
      <c r="RB48" s="46">
        <v>0</v>
      </c>
      <c r="RC48" s="46">
        <v>0</v>
      </c>
      <c r="RD48" s="46">
        <v>0</v>
      </c>
      <c r="RE48" s="46">
        <v>0</v>
      </c>
      <c r="RF48" s="46">
        <v>0</v>
      </c>
      <c r="RG48" s="46">
        <v>0</v>
      </c>
      <c r="RH48" s="46">
        <v>0</v>
      </c>
      <c r="RI48" s="46">
        <v>0</v>
      </c>
      <c r="RJ48" s="46">
        <v>0</v>
      </c>
      <c r="RK48" s="46">
        <v>0</v>
      </c>
      <c r="RL48" s="46">
        <v>0</v>
      </c>
      <c r="RM48" s="46">
        <v>0</v>
      </c>
      <c r="RN48" s="46">
        <v>0</v>
      </c>
      <c r="RO48" s="46">
        <v>-49681347</v>
      </c>
      <c r="RP48" s="46">
        <v>0</v>
      </c>
      <c r="RQ48" s="46">
        <v>0</v>
      </c>
      <c r="RR48" s="46">
        <v>0</v>
      </c>
      <c r="RS48" s="46">
        <v>0</v>
      </c>
      <c r="RT48" s="46">
        <v>0</v>
      </c>
      <c r="RU48" s="46">
        <v>0</v>
      </c>
      <c r="RV48" s="46">
        <v>0</v>
      </c>
      <c r="RW48" s="46">
        <v>0</v>
      </c>
      <c r="RX48" s="46">
        <v>0</v>
      </c>
      <c r="RY48" s="46">
        <v>0</v>
      </c>
      <c r="RZ48" s="46">
        <v>0</v>
      </c>
      <c r="SA48" s="46">
        <v>0</v>
      </c>
      <c r="SB48" s="46">
        <v>0</v>
      </c>
      <c r="SC48" s="46">
        <v>0</v>
      </c>
      <c r="SD48" s="46">
        <v>0</v>
      </c>
      <c r="SE48" s="46">
        <v>0</v>
      </c>
      <c r="SF48" s="46">
        <v>0</v>
      </c>
      <c r="SG48" s="46">
        <v>0</v>
      </c>
      <c r="SH48" s="46">
        <v>0</v>
      </c>
      <c r="SI48" s="46">
        <v>0</v>
      </c>
      <c r="SJ48" s="46">
        <v>0</v>
      </c>
      <c r="SK48" s="46">
        <v>0</v>
      </c>
      <c r="SL48" s="46">
        <v>0</v>
      </c>
      <c r="SM48" s="46">
        <v>0</v>
      </c>
      <c r="SN48" s="46">
        <v>0</v>
      </c>
      <c r="SO48" s="46">
        <v>0</v>
      </c>
      <c r="SP48" s="46">
        <v>1062553</v>
      </c>
      <c r="SQ48" s="46">
        <v>878427</v>
      </c>
      <c r="SR48" s="46">
        <v>1070794</v>
      </c>
      <c r="SS48" s="46">
        <v>1294797</v>
      </c>
      <c r="ST48" s="46">
        <v>741909</v>
      </c>
      <c r="SU48" s="46">
        <v>0</v>
      </c>
      <c r="SV48" s="46">
        <v>0</v>
      </c>
      <c r="SW48" s="46">
        <v>78583889</v>
      </c>
      <c r="SX48" s="46">
        <v>0</v>
      </c>
      <c r="SY48" s="46">
        <v>0</v>
      </c>
      <c r="SZ48" s="46">
        <v>169245</v>
      </c>
      <c r="TA48" s="46">
        <v>264527</v>
      </c>
      <c r="TB48" s="46">
        <v>59729</v>
      </c>
      <c r="TC48" s="46">
        <v>0</v>
      </c>
      <c r="TD48" s="46">
        <v>1439069</v>
      </c>
      <c r="TE48" s="46">
        <v>6734</v>
      </c>
      <c r="TF48" s="46">
        <v>225434</v>
      </c>
      <c r="TG48" s="46">
        <v>526392</v>
      </c>
      <c r="TH48" s="46">
        <v>0</v>
      </c>
      <c r="TI48" s="46">
        <v>1294797</v>
      </c>
      <c r="TJ48" s="46">
        <v>0</v>
      </c>
      <c r="TK48" s="46">
        <v>0</v>
      </c>
      <c r="TL48" s="46">
        <v>69380</v>
      </c>
      <c r="TM48" s="46">
        <v>0</v>
      </c>
      <c r="TN48" s="46">
        <v>0</v>
      </c>
      <c r="TO48" s="46">
        <v>0</v>
      </c>
      <c r="TP48" s="46">
        <v>0</v>
      </c>
      <c r="TQ48" s="46">
        <v>0</v>
      </c>
      <c r="TR48" s="46">
        <v>0</v>
      </c>
      <c r="TS48" s="46">
        <v>0</v>
      </c>
      <c r="TT48" s="46">
        <v>0</v>
      </c>
      <c r="TU48" s="46">
        <v>0</v>
      </c>
      <c r="TV48" s="46">
        <v>0</v>
      </c>
      <c r="TW48" s="46">
        <v>0</v>
      </c>
      <c r="TX48" s="46">
        <v>0</v>
      </c>
      <c r="TY48" s="46">
        <v>0</v>
      </c>
      <c r="TZ48" s="46">
        <v>0</v>
      </c>
      <c r="UA48" s="46">
        <v>0</v>
      </c>
      <c r="UB48" s="46">
        <v>0</v>
      </c>
      <c r="UC48" s="46">
        <v>0</v>
      </c>
      <c r="UD48" s="46">
        <v>0</v>
      </c>
      <c r="UE48" s="46">
        <v>98235199</v>
      </c>
      <c r="UF48" s="46">
        <v>27382930</v>
      </c>
      <c r="UG48" s="46">
        <v>20535515</v>
      </c>
      <c r="UH48" s="46">
        <v>0</v>
      </c>
      <c r="UI48" s="46">
        <v>59724299</v>
      </c>
      <c r="UJ48" s="46">
        <v>32010333</v>
      </c>
      <c r="UK48" s="46">
        <v>31924836</v>
      </c>
      <c r="UL48" s="46">
        <v>27060707</v>
      </c>
      <c r="UM48" s="46">
        <v>7258622</v>
      </c>
      <c r="UN48" s="46">
        <v>70562283</v>
      </c>
      <c r="UO4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3985927</v>
      </c>
      <c r="UP48" s="46">
        <f>SUM(Input[[#This Row],[Oth Exp E&amp;G]],Input[[#This Row],[Oth Exp Desg]],Input[[#This Row],[Oth Exp Aux]],Input[[#This Row],[Oth Exp R Exp]],Input[[#This Row],[Oth Exp Loan]],Input[[#This Row],[Oth Exp Annuity]],Input[[#This Row],[Oth Exp Unexp]],Input[[#This Row],[Oth Exp R of Ind]],Input[[#This Row],[Oth Exp Inv in P]])</f>
        <v>1237510</v>
      </c>
      <c r="UQ48" s="46"/>
      <c r="UR48" s="46"/>
      <c r="US48" s="8" t="s">
        <v>761</v>
      </c>
      <c r="UT48" s="47">
        <v>9362943405</v>
      </c>
      <c r="UU48" s="8" t="s">
        <v>80</v>
      </c>
      <c r="UV48" s="8" t="s">
        <v>762</v>
      </c>
      <c r="UW48" s="47">
        <v>9362943860</v>
      </c>
      <c r="UX48" s="8" t="s">
        <v>763</v>
      </c>
      <c r="UY48" s="51" cm="1">
        <f t="array" ref="UY48">IFERROR(_xlfn.IFS(Input[[#This Row],[Type]]="HRI",SUMIFS('FTSE | FTFE'!$P$8:$P$77,'FTSE | FTFE'!$H$8:$H$77,A48),Input[[#This Row],[Type]]="UNIV",SUMIFS('FTSE | FTFE'!$P$104:$P$139,'FTSE | FTFE'!$H$104:$H$139,A48),OR(Input[[#This Row],[Type]]="TSTC",Input[[#This Row],[Type]]="LSC"),SUMIFS('FTSE | FTFE'!$O$88:$O$96,'FTSE | FTFE'!$H$88:$H$96,A48),Input[[#This Row],[Type]]="AHM",SUMIFS(Hidden!$H$42:$H$45,Hidden!$G$42:$G$45,A48)),"N/A")</f>
        <v>17145</v>
      </c>
      <c r="UZ48" s="51" cm="1">
        <f t="array" ref="UZ48">IFERROR(_xlfn.IFS(Input[[#This Row],[Type]]="HRI",SUMIFS('FTSE | FTFE'!$Q$8:$Q$77,'FTSE | FTFE'!$H$8:$H$77,A48),Input[[#This Row],[Type]]="UNIV",SUMIFS('FTSE | FTFE'!$Q$104:$Q$139,'FTSE | FTFE'!$H$104:$H$139,A48),OR(Input[[#This Row],[Type]]="TSTC",Input[[#This Row],[Type]]="LSC"),SUMIFS('FTSE | FTFE'!$P$88:$P$96,'FTSE | FTFE'!$H$88:$H$96,A48)),"N/A")</f>
        <v>397</v>
      </c>
      <c r="VA4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122137866</v>
      </c>
      <c r="VB4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18787013</v>
      </c>
      <c r="VC48" s="46">
        <f>SUM(Input[[#This Row],[Fed G&amp;C E&amp;G]],Input[[#This Row],[Fed G&amp;C Desg]],Input[[#This Row],[Fed G&amp;C R Exp]],Input[[#This Row],[Fed G&amp;C Loan]],Input[[#This Row],[Fed G&amp;C Annuity]],Input[[#This Row],[Fed G&amp;C Unexp]],Input[[#This Row],[Fed G&amp;C R of Ind]],Input[[#This Row],[Fed G&amp;C Inv in P]])</f>
        <v>66655913</v>
      </c>
      <c r="VD4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33672433</v>
      </c>
      <c r="VE4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35611106</v>
      </c>
      <c r="VF4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85862458</v>
      </c>
      <c r="VG48" s="46">
        <f>SUM(Input[[#This Row],[Oth Inc E&amp;G]],Input[[#This Row],[Oth Exp Desg]],Input[[#This Row],[Oth Exp R Exp]],Input[[#This Row],[Oth Exp Loan]],Input[[#This Row],[Oth Exp Annuity]],Input[[#This Row],[Oth Exp Unexp]],Input[[#This Row],[Oth Exp R of Ind]],Input[[#This Row],[Oth Exp Inv in P]])</f>
        <v>5427708</v>
      </c>
      <c r="VH48" s="46">
        <f>SUM(Input[[#This Row],[Instr E&amp;G]],Input[[#This Row],[Instr Desg]],Input[[#This Row],[Instr R Exp]],Input[[#This Row],[Instr Loan]],Input[[#This Row],[Instr Annuity]],Input[[#This Row],[Instr Unexp]],Input[[#This Row],[Instr R of Ind]],Input[[#This Row],[Instr Inv in P]])</f>
        <v>98235199</v>
      </c>
      <c r="VI48" s="46">
        <f>SUM(Input[[#This Row],[Res E&amp;G]],Input[[#This Row],[Res Desg]],Input[[#This Row],[Res R Exp]],Input[[#This Row],[Res Loan]],Input[[#This Row],[Res Annuity]],Input[[#This Row],[Res Unexp]],Input[[#This Row],[Res R of Ind]],Input[[#This Row],[Res Inv in P]])</f>
        <v>27382930</v>
      </c>
      <c r="VJ48" s="46">
        <f>SUM(Input[[#This Row],[Acad Sup E&amp;G]],Input[[#This Row],[Acad Sup Desg]],Input[[#This Row],[Acad Sup R Exp]],Input[[#This Row],[Acad Sup Loan]],Input[[#This Row],[Acad Sup Annuity]],Input[[#This Row],[Acad Sup Unexp]],Input[[#This Row],[Acad Sup R of Ind]],Input[[#This Row],[Acad Sup Inv in P]])</f>
        <v>59724299</v>
      </c>
      <c r="VK48" s="46">
        <f>SUM(Input[[#This Row],[Stu Svc E&amp;G]],Input[[#This Row],[Stu Svc Desg]],Input[[#This Row],[Stu Svc R Exp]],Input[[#This Row],[Stu Svc Loan]],Input[[#This Row],[Stu Svc Annuity]],Input[[#This Row],[Stu Svc Unexp]],Input[[#This Row],[Stu Svc R of Ind]],Input[[#This Row],[Stu Svc Inv in P]])</f>
        <v>32010333</v>
      </c>
      <c r="VL48" s="46">
        <f>SUM(Input[[#This Row],[Inst. Spt E&amp;G]],Input[[#This Row],[Inst. Spt Desg]],Input[[#This Row],[Inst. Spt R Exp]],Input[[#This Row],[Inst. Spt Loan]],Input[[#This Row],[Inst. Spt Annuity]],Input[[#This Row],[Inst. Spt Unexp]],Input[[#This Row],[Inst. Spt R of Ind]],Input[[#This Row],[Inst. Spt Inv in P]])</f>
        <v>31924318</v>
      </c>
      <c r="VM48" s="46">
        <f>SUM(Input[[#This Row],[M&amp;O Plnt E&amp;G]],Input[[#This Row],[M&amp;O Plnt Desg]],Input[[#This Row],[M&amp;O Plnt R Exp]],Input[[#This Row],[M&amp;O Plnt Loan]],Input[[#This Row],[M&amp;O Plnt Annuity]],Input[[#This Row],[M&amp;O Plnt Unexp]],Input[[#This Row],[M&amp;O Plnt R of Ind]],Input[[#This Row],[M&amp;O Plnt Inv in P]])</f>
        <v>27060707</v>
      </c>
      <c r="VN48" s="46">
        <f>SUM(Input[[#This Row],[Schl &amp; Fell E&amp;G]],Input[[#This Row],[Schl &amp; Fell Desg]],Input[[#This Row],[Schl &amp; Fell R Exp]],Input[[#This Row],[Schl &amp; Fell Loan]],Input[[#This Row],[Schl &amp; Fell Annuity]],Input[[#This Row],[Schl &amp; Fell Unexp]],Input[[#This Row],[Schl &amp; Fell R of Ind]],Input[[#This Row],[Schl &amp; Fell Inv in P]])</f>
        <v>7256756</v>
      </c>
      <c r="VO48" s="46">
        <f>SUM(Input[[#This Row],[Cap Out fund E&amp;G]],Input[[#This Row],[Cap Out fund Desg]],Input[[#This Row],[Cap Out fund R Exp]],Input[[#This Row],[Cap Out fund Loan]],Input[[#This Row],[Cap Out fund Annuity]],Input[[#This Row],[Cap Out fund Unexp]],Input[[#This Row],[Cap Out fund R of Ind]],Input[[#This Row],[Cap Out fund Inv in P]])</f>
        <v>2691130</v>
      </c>
      <c r="VP48" s="46">
        <f>SUM(Input[[#This Row],[Oth Exp E&amp;G]],Input[[#This Row],[Oth Exp Desg]],Input[[#This Row],[Oth Exp R Exp]],Input[[#This Row],[Oth Exp Loan]],Input[[#This Row],[Oth Exp Annuity]],Input[[#This Row],[Oth Exp Unexp]],Input[[#This Row],[Oth Exp R of Ind]],Input[[#This Row],[Oth Exp Inv in P]],Input[[#This Row],[Oth Exp Inv in P]])</f>
        <v>1237510</v>
      </c>
    </row>
    <row r="49" spans="1:588" ht="30" customHeight="1" x14ac:dyDescent="0.3">
      <c r="A49" s="15" t="s">
        <v>61</v>
      </c>
      <c r="B49" s="36" t="s">
        <v>114</v>
      </c>
      <c r="C49" s="36" t="s">
        <v>110</v>
      </c>
      <c r="D49" s="36">
        <v>808</v>
      </c>
      <c r="E49" s="36" t="s">
        <v>134</v>
      </c>
      <c r="F49" s="95" cm="1">
        <f t="array" ref="F49">IFERROR(_xlfn.IFS(Input[[#This Row],[Type]]="HRI",SUMIFS('FTSE | FTFE'!$I$8:$I$77,'FTSE | FTFE'!$H$8:$H$77,A49),Input[[#This Row],[Type]]="UNIV",SUMIFS('FTSE | FTFE'!$I$104:$I$139,'FTSE | FTFE'!$H$104:$H$139,A49),OR(Input[[#This Row],[Type]]="TSTC",Input[[#This Row],[Type]]="LSC"),SUMIFS('FTSE | FTFE'!$I$88:$I$96,'FTSE | FTFE'!$H$88:$H$96,A49)),"N/A")</f>
        <v>3615</v>
      </c>
      <c r="G49" s="46">
        <v>195211053</v>
      </c>
      <c r="H49" s="46">
        <v>0</v>
      </c>
      <c r="I49" s="46">
        <v>0</v>
      </c>
      <c r="J49" s="46">
        <v>0</v>
      </c>
      <c r="K49" s="46">
        <v>0</v>
      </c>
      <c r="L49" s="46">
        <v>0</v>
      </c>
      <c r="M49" s="46">
        <v>0</v>
      </c>
      <c r="N49" s="46">
        <v>0</v>
      </c>
      <c r="O49" s="46">
        <v>0</v>
      </c>
      <c r="P49" s="46">
        <v>321444</v>
      </c>
      <c r="Q49" s="46">
        <v>14526237</v>
      </c>
      <c r="R49" s="46">
        <v>0</v>
      </c>
      <c r="S49" s="46">
        <v>43758041</v>
      </c>
      <c r="T49" s="46">
        <v>0</v>
      </c>
      <c r="U49" s="46">
        <v>0</v>
      </c>
      <c r="V49" s="46">
        <v>0</v>
      </c>
      <c r="W49" s="46">
        <v>0</v>
      </c>
      <c r="X49" s="46">
        <v>0</v>
      </c>
      <c r="Y49" s="46">
        <v>38741061</v>
      </c>
      <c r="Z49" s="46">
        <v>0</v>
      </c>
      <c r="AA49" s="46">
        <v>0</v>
      </c>
      <c r="AB49" s="46">
        <v>0</v>
      </c>
      <c r="AC49" s="46">
        <v>0</v>
      </c>
      <c r="AD49" s="46">
        <v>0</v>
      </c>
      <c r="AE49" s="46">
        <v>0</v>
      </c>
      <c r="AF49" s="46">
        <v>0</v>
      </c>
      <c r="AG49" s="46">
        <v>0</v>
      </c>
      <c r="AH49" s="46">
        <v>0</v>
      </c>
      <c r="AI49" s="46">
        <v>0</v>
      </c>
      <c r="AJ49" s="46">
        <v>0</v>
      </c>
      <c r="AK49" s="46">
        <v>0</v>
      </c>
      <c r="AL49" s="46">
        <v>0</v>
      </c>
      <c r="AM49" s="46">
        <v>0</v>
      </c>
      <c r="AN49" s="46">
        <v>0</v>
      </c>
      <c r="AO49" s="46">
        <v>0</v>
      </c>
      <c r="AP49" s="46">
        <v>0</v>
      </c>
      <c r="AQ49" s="46">
        <v>-19264240</v>
      </c>
      <c r="AR49" s="46">
        <v>0</v>
      </c>
      <c r="AS49" s="46">
        <v>0</v>
      </c>
      <c r="AT49" s="46">
        <v>0</v>
      </c>
      <c r="AU49" s="46">
        <v>0</v>
      </c>
      <c r="AV49" s="46">
        <v>0</v>
      </c>
      <c r="AW49" s="46">
        <v>0</v>
      </c>
      <c r="AX49" s="46">
        <v>0</v>
      </c>
      <c r="AY49" s="46">
        <v>0</v>
      </c>
      <c r="AZ49" s="46">
        <v>0</v>
      </c>
      <c r="BA49" s="46">
        <v>0</v>
      </c>
      <c r="BB49" s="46">
        <v>0</v>
      </c>
      <c r="BC49" s="46">
        <v>0</v>
      </c>
      <c r="BD49" s="46">
        <v>0</v>
      </c>
      <c r="BE49" s="46">
        <v>0</v>
      </c>
      <c r="BF49" s="46">
        <v>0</v>
      </c>
      <c r="BG49" s="46">
        <v>0</v>
      </c>
      <c r="BH49" s="46">
        <v>0</v>
      </c>
      <c r="BI49" s="46">
        <v>0</v>
      </c>
      <c r="BJ49" s="46">
        <v>0</v>
      </c>
      <c r="BK49" s="46">
        <v>0</v>
      </c>
      <c r="BL49" s="46">
        <v>0</v>
      </c>
      <c r="BM49" s="46">
        <v>0</v>
      </c>
      <c r="BN49" s="46">
        <v>0</v>
      </c>
      <c r="BO49" s="46">
        <v>0</v>
      </c>
      <c r="BP49" s="46">
        <v>0</v>
      </c>
      <c r="BQ49" s="46">
        <v>0</v>
      </c>
      <c r="BR49" s="46">
        <v>0</v>
      </c>
      <c r="BS49" s="46">
        <v>0</v>
      </c>
      <c r="BT49" s="46">
        <v>0</v>
      </c>
      <c r="BU49" s="46">
        <v>0</v>
      </c>
      <c r="BV49" s="46">
        <v>0</v>
      </c>
      <c r="BW49" s="46">
        <v>0</v>
      </c>
      <c r="BX49" s="46">
        <v>0</v>
      </c>
      <c r="BY49" s="46">
        <v>0</v>
      </c>
      <c r="BZ49" s="46">
        <v>0</v>
      </c>
      <c r="CA49" s="46">
        <v>61683506</v>
      </c>
      <c r="CB49" s="46">
        <v>278931653</v>
      </c>
      <c r="CC49" s="46">
        <v>0</v>
      </c>
      <c r="CD49" s="46">
        <v>0</v>
      </c>
      <c r="CE49" s="46">
        <v>0</v>
      </c>
      <c r="CF49" s="46">
        <v>0</v>
      </c>
      <c r="CG49" s="46">
        <v>0</v>
      </c>
      <c r="CH49" s="46">
        <v>0</v>
      </c>
      <c r="CI49" s="46">
        <v>0</v>
      </c>
      <c r="CJ49" s="46">
        <v>0</v>
      </c>
      <c r="CK49" s="46">
        <v>0</v>
      </c>
      <c r="CL49" s="46">
        <v>0</v>
      </c>
      <c r="CM49" s="46">
        <v>0</v>
      </c>
      <c r="CN49" s="46">
        <v>0</v>
      </c>
      <c r="CO49" s="46">
        <v>0</v>
      </c>
      <c r="CP49" s="46">
        <v>0</v>
      </c>
      <c r="CQ49" s="46">
        <v>0</v>
      </c>
      <c r="CR49" s="46">
        <v>0</v>
      </c>
      <c r="CS49" s="46">
        <v>0</v>
      </c>
      <c r="CT49" s="46">
        <v>0</v>
      </c>
      <c r="CU49" s="46">
        <v>0</v>
      </c>
      <c r="CV49" s="46">
        <v>0</v>
      </c>
      <c r="CW49" s="46">
        <v>0</v>
      </c>
      <c r="CX49" s="46">
        <v>0</v>
      </c>
      <c r="CY49" s="46">
        <v>0</v>
      </c>
      <c r="CZ49" s="46">
        <v>0</v>
      </c>
      <c r="DA49" s="46">
        <v>0</v>
      </c>
      <c r="DB49" s="46">
        <v>-4031977</v>
      </c>
      <c r="DC49" s="46">
        <v>-19049270</v>
      </c>
      <c r="DD49" s="46">
        <v>0</v>
      </c>
      <c r="DE49" s="46">
        <v>0</v>
      </c>
      <c r="DF49" s="46">
        <v>0</v>
      </c>
      <c r="DG49" s="46">
        <v>0</v>
      </c>
      <c r="DH49" s="46">
        <v>0</v>
      </c>
      <c r="DI49" s="46">
        <v>0</v>
      </c>
      <c r="DJ49" s="46">
        <v>0</v>
      </c>
      <c r="DK49" s="46">
        <v>0</v>
      </c>
      <c r="DL49" s="46">
        <v>0</v>
      </c>
      <c r="DM49" s="46">
        <v>0</v>
      </c>
      <c r="DN49" s="46">
        <v>0</v>
      </c>
      <c r="DO49" s="46">
        <v>0</v>
      </c>
      <c r="DP49" s="46">
        <v>0</v>
      </c>
      <c r="DQ49" s="46">
        <v>0</v>
      </c>
      <c r="DR49" s="46">
        <v>0</v>
      </c>
      <c r="DS49" s="46">
        <v>0</v>
      </c>
      <c r="DT49" s="46">
        <v>-26454586</v>
      </c>
      <c r="DU49" s="46">
        <v>-118378494</v>
      </c>
      <c r="DV49" s="46">
        <v>0</v>
      </c>
      <c r="DW49" s="46">
        <v>0</v>
      </c>
      <c r="DX49" s="46">
        <v>0</v>
      </c>
      <c r="DY49" s="46">
        <v>0</v>
      </c>
      <c r="DZ49" s="46">
        <v>0</v>
      </c>
      <c r="EA49" s="46">
        <v>0</v>
      </c>
      <c r="EB49" s="46">
        <v>0</v>
      </c>
      <c r="EC49" s="46">
        <v>0</v>
      </c>
      <c r="ED49" s="46">
        <v>0</v>
      </c>
      <c r="EE49" s="46">
        <v>0</v>
      </c>
      <c r="EF49" s="46">
        <v>0</v>
      </c>
      <c r="EG49" s="46">
        <v>0</v>
      </c>
      <c r="EH49" s="46">
        <v>0</v>
      </c>
      <c r="EI49" s="46">
        <v>0</v>
      </c>
      <c r="EJ49" s="46">
        <v>0</v>
      </c>
      <c r="EK49" s="46">
        <v>0</v>
      </c>
      <c r="EL49" s="46">
        <v>0</v>
      </c>
      <c r="EM49" s="46">
        <v>0</v>
      </c>
      <c r="EN49" s="46">
        <v>0</v>
      </c>
      <c r="EO49" s="46">
        <v>0</v>
      </c>
      <c r="EP49" s="46">
        <v>0</v>
      </c>
      <c r="EQ49" s="46">
        <v>0</v>
      </c>
      <c r="ER49" s="46">
        <v>0</v>
      </c>
      <c r="ES49" s="46">
        <v>0</v>
      </c>
      <c r="ET49" s="46">
        <v>0</v>
      </c>
      <c r="EU49" s="46">
        <v>0</v>
      </c>
      <c r="EV49" s="46">
        <v>0</v>
      </c>
      <c r="EW49" s="46">
        <v>0</v>
      </c>
      <c r="EX49" s="46">
        <v>0</v>
      </c>
      <c r="EY49" s="46">
        <v>0</v>
      </c>
      <c r="EZ49" s="46">
        <v>0</v>
      </c>
      <c r="FA49" s="46">
        <v>0</v>
      </c>
      <c r="FB49" s="46">
        <v>0</v>
      </c>
      <c r="FC49" s="46">
        <v>0</v>
      </c>
      <c r="FD49" s="46">
        <v>0</v>
      </c>
      <c r="FE49" s="46">
        <v>0</v>
      </c>
      <c r="FF49" s="46">
        <v>0</v>
      </c>
      <c r="FG49" s="46">
        <v>0</v>
      </c>
      <c r="FH49" s="46">
        <v>0</v>
      </c>
      <c r="FI49" s="46">
        <v>0</v>
      </c>
      <c r="FJ49" s="46">
        <v>0</v>
      </c>
      <c r="FK49" s="46">
        <v>0</v>
      </c>
      <c r="FL49" s="46">
        <v>0</v>
      </c>
      <c r="FM49" s="46">
        <v>1532847</v>
      </c>
      <c r="FN49" s="46">
        <v>85531927</v>
      </c>
      <c r="FO49" s="46">
        <v>59152823</v>
      </c>
      <c r="FP49" s="46">
        <v>0</v>
      </c>
      <c r="FQ49" s="46">
        <v>0</v>
      </c>
      <c r="FR49" s="46">
        <v>0</v>
      </c>
      <c r="FS49" s="46">
        <v>0</v>
      </c>
      <c r="FT49" s="46">
        <v>0</v>
      </c>
      <c r="FU49" s="46">
        <v>0</v>
      </c>
      <c r="FV49" s="46">
        <v>0</v>
      </c>
      <c r="FW49" s="46">
        <v>0</v>
      </c>
      <c r="FX49" s="46">
        <v>0</v>
      </c>
      <c r="FY49" s="46">
        <v>0</v>
      </c>
      <c r="FZ49" s="46">
        <v>0</v>
      </c>
      <c r="GA49" s="46">
        <v>0</v>
      </c>
      <c r="GB49" s="46">
        <v>0</v>
      </c>
      <c r="GC49" s="46">
        <v>0</v>
      </c>
      <c r="GD49" s="46">
        <v>0</v>
      </c>
      <c r="GE49" s="46">
        <v>0</v>
      </c>
      <c r="GF49" s="46">
        <v>0</v>
      </c>
      <c r="GG49" s="46">
        <v>0</v>
      </c>
      <c r="GH49" s="46">
        <v>0</v>
      </c>
      <c r="GI49" s="46">
        <v>0</v>
      </c>
      <c r="GJ49" s="46">
        <v>0</v>
      </c>
      <c r="GK49" s="46">
        <v>0</v>
      </c>
      <c r="GL49" s="46">
        <v>0</v>
      </c>
      <c r="GM49" s="46">
        <v>0</v>
      </c>
      <c r="GN49" s="46">
        <v>-8667</v>
      </c>
      <c r="GO49" s="46">
        <v>-4939506</v>
      </c>
      <c r="GP49" s="46">
        <v>-3917432</v>
      </c>
      <c r="GQ49" s="46">
        <v>0</v>
      </c>
      <c r="GR49" s="46">
        <v>0</v>
      </c>
      <c r="GS49" s="46">
        <v>0</v>
      </c>
      <c r="GT49" s="46">
        <v>0</v>
      </c>
      <c r="GU49" s="46">
        <v>0</v>
      </c>
      <c r="GV49" s="46">
        <v>0</v>
      </c>
      <c r="GW49" s="46">
        <v>0</v>
      </c>
      <c r="GX49" s="46">
        <v>0</v>
      </c>
      <c r="GY49" s="46">
        <v>0</v>
      </c>
      <c r="GZ49" s="46">
        <v>0</v>
      </c>
      <c r="HA49" s="46">
        <v>0</v>
      </c>
      <c r="HB49" s="46">
        <v>0</v>
      </c>
      <c r="HC49" s="46">
        <v>0</v>
      </c>
      <c r="HD49" s="46">
        <v>0</v>
      </c>
      <c r="HE49" s="46">
        <v>0</v>
      </c>
      <c r="HF49" s="46">
        <v>-797331</v>
      </c>
      <c r="HG49" s="46">
        <v>-37678374</v>
      </c>
      <c r="HH49" s="46">
        <v>-25291459</v>
      </c>
      <c r="HI49" s="46">
        <v>0</v>
      </c>
      <c r="HJ49" s="46">
        <v>0</v>
      </c>
      <c r="HK49" s="46">
        <v>0</v>
      </c>
      <c r="HL49" s="46">
        <v>0</v>
      </c>
      <c r="HM49" s="46">
        <v>0</v>
      </c>
      <c r="HN49" s="46">
        <v>0</v>
      </c>
      <c r="HO49" s="46">
        <v>0</v>
      </c>
      <c r="HP49" s="46">
        <v>0</v>
      </c>
      <c r="HQ49" s="46">
        <v>0</v>
      </c>
      <c r="HR49" s="46">
        <v>168294220</v>
      </c>
      <c r="HS49" s="46">
        <v>0</v>
      </c>
      <c r="HT49" s="46">
        <v>0</v>
      </c>
      <c r="HU49" s="46">
        <v>0</v>
      </c>
      <c r="HV49" s="46">
        <v>0</v>
      </c>
      <c r="HW49" s="46">
        <v>0</v>
      </c>
      <c r="HX49" s="46">
        <v>0</v>
      </c>
      <c r="HY49" s="46">
        <v>0</v>
      </c>
      <c r="HZ49" s="46">
        <v>0</v>
      </c>
      <c r="IA49" s="46">
        <v>0</v>
      </c>
      <c r="IB49" s="46">
        <v>0</v>
      </c>
      <c r="IC49" s="46">
        <v>0</v>
      </c>
      <c r="ID49" s="46">
        <v>0</v>
      </c>
      <c r="IE49" s="46">
        <v>0</v>
      </c>
      <c r="IF49" s="46">
        <v>0</v>
      </c>
      <c r="IG49" s="46">
        <v>0</v>
      </c>
      <c r="IH49" s="46">
        <v>0</v>
      </c>
      <c r="II49" s="46">
        <v>0</v>
      </c>
      <c r="IJ49" s="46">
        <v>0</v>
      </c>
      <c r="IK49" s="46">
        <v>0</v>
      </c>
      <c r="IL49" s="46">
        <v>0</v>
      </c>
      <c r="IM49" s="46">
        <v>0</v>
      </c>
      <c r="IN49" s="46">
        <v>0</v>
      </c>
      <c r="IO49" s="46">
        <v>0</v>
      </c>
      <c r="IP49" s="46">
        <v>831920</v>
      </c>
      <c r="IQ49" s="46">
        <v>551886</v>
      </c>
      <c r="IR49" s="46">
        <v>4534921</v>
      </c>
      <c r="IS49" s="46">
        <v>1333770</v>
      </c>
      <c r="IT49" s="46">
        <v>91998</v>
      </c>
      <c r="IU49" s="46">
        <v>11767224</v>
      </c>
      <c r="IV49" s="46">
        <v>16118644</v>
      </c>
      <c r="IW49" s="46">
        <v>1785698</v>
      </c>
      <c r="IX49" s="46">
        <v>0</v>
      </c>
      <c r="IY49" s="46">
        <v>0</v>
      </c>
      <c r="IZ49" s="46">
        <v>0</v>
      </c>
      <c r="JA49" s="46">
        <v>0</v>
      </c>
      <c r="JB49" s="46">
        <v>750549</v>
      </c>
      <c r="JC49" s="46">
        <v>0</v>
      </c>
      <c r="JD49" s="46">
        <v>0</v>
      </c>
      <c r="JE49" s="46">
        <v>0</v>
      </c>
      <c r="JF49" s="46">
        <v>0</v>
      </c>
      <c r="JG49" s="46">
        <v>0</v>
      </c>
      <c r="JH49" s="46">
        <v>0</v>
      </c>
      <c r="JI49" s="46">
        <v>103953</v>
      </c>
      <c r="JJ49" s="46">
        <v>0</v>
      </c>
      <c r="JK49" s="46">
        <v>22522771</v>
      </c>
      <c r="JL49" s="46">
        <v>0</v>
      </c>
      <c r="JM49" s="46">
        <v>0</v>
      </c>
      <c r="JN49" s="46">
        <v>0</v>
      </c>
      <c r="JO49" s="46">
        <v>0</v>
      </c>
      <c r="JP49" s="46">
        <v>0</v>
      </c>
      <c r="JQ49" s="46">
        <v>1625404</v>
      </c>
      <c r="JR49" s="46">
        <v>23288037</v>
      </c>
      <c r="JS49" s="46">
        <v>0</v>
      </c>
      <c r="JT49" s="46">
        <v>0</v>
      </c>
      <c r="JU49" s="46">
        <v>0</v>
      </c>
      <c r="JV49" s="46">
        <v>0</v>
      </c>
      <c r="JW49" s="46">
        <v>0</v>
      </c>
      <c r="JX49" s="46">
        <v>0</v>
      </c>
      <c r="JY49" s="46">
        <v>0</v>
      </c>
      <c r="JZ49" s="46">
        <v>0</v>
      </c>
      <c r="KA49" s="46">
        <v>0</v>
      </c>
      <c r="KB49" s="46">
        <v>120668975</v>
      </c>
      <c r="KC49" s="46">
        <v>0</v>
      </c>
      <c r="KD49" s="46">
        <v>0</v>
      </c>
      <c r="KE49" s="46">
        <v>0</v>
      </c>
      <c r="KF49" s="46">
        <v>0</v>
      </c>
      <c r="KG49" s="46">
        <v>0</v>
      </c>
      <c r="KH49" s="46">
        <v>0</v>
      </c>
      <c r="KI49" s="46">
        <v>2891897</v>
      </c>
      <c r="KJ49" s="46">
        <v>1071535</v>
      </c>
      <c r="KK49" s="46">
        <v>228460</v>
      </c>
      <c r="KL49" s="46">
        <v>1732</v>
      </c>
      <c r="KM49" s="46">
        <v>34291</v>
      </c>
      <c r="KN49" s="46">
        <v>0</v>
      </c>
      <c r="KO49" s="46">
        <v>5075</v>
      </c>
      <c r="KP49" s="46">
        <v>0</v>
      </c>
      <c r="KQ49" s="46">
        <v>0</v>
      </c>
      <c r="KR49" s="46">
        <v>145177966</v>
      </c>
      <c r="KS49" s="46">
        <v>53832178</v>
      </c>
      <c r="KT49" s="46">
        <v>0</v>
      </c>
      <c r="KU49" s="46">
        <v>14316191</v>
      </c>
      <c r="KV49" s="46">
        <v>0</v>
      </c>
      <c r="KW49" s="46">
        <v>0</v>
      </c>
      <c r="KX49" s="46">
        <v>0</v>
      </c>
      <c r="KY49" s="46">
        <v>0</v>
      </c>
      <c r="KZ49" s="46">
        <v>0</v>
      </c>
      <c r="LA49" s="46">
        <v>101647334</v>
      </c>
      <c r="LB49" s="46">
        <v>21271072</v>
      </c>
      <c r="LC49" s="46">
        <v>0</v>
      </c>
      <c r="LD49" s="46">
        <v>43672747</v>
      </c>
      <c r="LE49" s="46">
        <v>0</v>
      </c>
      <c r="LF49" s="46">
        <v>0</v>
      </c>
      <c r="LG49" s="46">
        <v>0</v>
      </c>
      <c r="LH49" s="46">
        <v>0</v>
      </c>
      <c r="LI49" s="46">
        <v>0</v>
      </c>
      <c r="LJ49" s="46">
        <v>463718</v>
      </c>
      <c r="LK49" s="46">
        <v>1251956</v>
      </c>
      <c r="LL49" s="46">
        <v>0</v>
      </c>
      <c r="LM49" s="46">
        <v>1139283</v>
      </c>
      <c r="LN49" s="46">
        <v>0</v>
      </c>
      <c r="LO49" s="46">
        <v>0</v>
      </c>
      <c r="LP49" s="46">
        <v>0</v>
      </c>
      <c r="LQ49" s="46">
        <v>0</v>
      </c>
      <c r="LR49" s="46">
        <v>0</v>
      </c>
      <c r="LS49" s="46">
        <v>0</v>
      </c>
      <c r="LT49" s="46">
        <v>0</v>
      </c>
      <c r="LU49" s="46">
        <v>0</v>
      </c>
      <c r="LV49" s="46">
        <v>0</v>
      </c>
      <c r="LW49" s="46">
        <v>0</v>
      </c>
      <c r="LX49" s="46">
        <v>0</v>
      </c>
      <c r="LY49" s="46">
        <v>0</v>
      </c>
      <c r="LZ49" s="46">
        <v>0</v>
      </c>
      <c r="MA49" s="46">
        <v>0</v>
      </c>
      <c r="MB49" s="46">
        <v>12938115</v>
      </c>
      <c r="MC49" s="46">
        <v>48269837</v>
      </c>
      <c r="MD49" s="46">
        <v>0</v>
      </c>
      <c r="ME49" s="46">
        <v>4553890</v>
      </c>
      <c r="MF49" s="46">
        <v>0</v>
      </c>
      <c r="MG49" s="46">
        <v>0</v>
      </c>
      <c r="MH49" s="46">
        <v>0</v>
      </c>
      <c r="MI49" s="46">
        <v>0</v>
      </c>
      <c r="MJ49" s="46">
        <v>0</v>
      </c>
      <c r="MK49" s="46">
        <v>7630017</v>
      </c>
      <c r="ML49" s="46">
        <v>19302983</v>
      </c>
      <c r="MM49" s="46">
        <v>16232544</v>
      </c>
      <c r="MN49" s="46">
        <v>3237628</v>
      </c>
      <c r="MO49" s="46">
        <v>0</v>
      </c>
      <c r="MP49" s="46">
        <v>0</v>
      </c>
      <c r="MQ49" s="46">
        <v>0</v>
      </c>
      <c r="MR49" s="46">
        <v>0</v>
      </c>
      <c r="MS49" s="46">
        <v>0</v>
      </c>
      <c r="MT49" s="46">
        <v>1954563</v>
      </c>
      <c r="MU49" s="46">
        <v>43716904</v>
      </c>
      <c r="MV49" s="46">
        <v>0</v>
      </c>
      <c r="MW49" s="46">
        <v>464835</v>
      </c>
      <c r="MX49" s="46">
        <v>0</v>
      </c>
      <c r="MY49" s="46">
        <v>0</v>
      </c>
      <c r="MZ49" s="46">
        <v>0</v>
      </c>
      <c r="NA49" s="46">
        <v>0</v>
      </c>
      <c r="NB49" s="46">
        <v>0</v>
      </c>
      <c r="NC49" s="46">
        <v>34750355</v>
      </c>
      <c r="ND49" s="46">
        <v>14482770</v>
      </c>
      <c r="NE49" s="46">
        <v>3702253</v>
      </c>
      <c r="NF49" s="46">
        <v>172742</v>
      </c>
      <c r="NG49" s="46">
        <v>0</v>
      </c>
      <c r="NH49" s="46">
        <v>0</v>
      </c>
      <c r="NI49" s="46">
        <v>0</v>
      </c>
      <c r="NJ49" s="46">
        <v>0</v>
      </c>
      <c r="NK49" s="46">
        <v>0</v>
      </c>
      <c r="NL49" s="46">
        <v>-22817106</v>
      </c>
      <c r="NM49" s="46">
        <v>31058830</v>
      </c>
      <c r="NN49" s="46">
        <v>2558098</v>
      </c>
      <c r="NO49" s="46">
        <v>23693005</v>
      </c>
      <c r="NP49" s="46">
        <v>0</v>
      </c>
      <c r="NQ49" s="46">
        <v>0</v>
      </c>
      <c r="NR49" s="46">
        <v>0</v>
      </c>
      <c r="NS49" s="46">
        <v>0</v>
      </c>
      <c r="NT49" s="46">
        <v>0</v>
      </c>
      <c r="NU49" s="46">
        <v>0</v>
      </c>
      <c r="NV49" s="46">
        <v>37745</v>
      </c>
      <c r="NW49" s="46">
        <v>115586975</v>
      </c>
      <c r="NX49" s="46">
        <v>281834</v>
      </c>
      <c r="NY49" s="46">
        <v>0</v>
      </c>
      <c r="NZ49" s="46">
        <v>0</v>
      </c>
      <c r="OA49" s="46">
        <v>0</v>
      </c>
      <c r="OB49" s="46">
        <v>0</v>
      </c>
      <c r="OC49" s="46">
        <v>0</v>
      </c>
      <c r="OD49" s="46">
        <v>3224362</v>
      </c>
      <c r="OE49" s="46">
        <v>5858116</v>
      </c>
      <c r="OF49" s="46">
        <v>-4924896</v>
      </c>
      <c r="OG49" s="46">
        <v>9859018</v>
      </c>
      <c r="OH49" s="46">
        <v>0</v>
      </c>
      <c r="OI49" s="46">
        <v>0</v>
      </c>
      <c r="OJ49" s="46">
        <v>0</v>
      </c>
      <c r="OK49" s="46">
        <v>0</v>
      </c>
      <c r="OL49" s="46">
        <v>0</v>
      </c>
      <c r="OM49" s="46">
        <v>0</v>
      </c>
      <c r="ON49" s="46">
        <v>125240</v>
      </c>
      <c r="OO49" s="46">
        <v>147147</v>
      </c>
      <c r="OP49" s="46">
        <v>0</v>
      </c>
      <c r="OQ49" s="46">
        <v>239583</v>
      </c>
      <c r="OR49" s="46">
        <v>0</v>
      </c>
      <c r="OS49" s="46">
        <v>445501</v>
      </c>
      <c r="OT49" s="46">
        <v>0</v>
      </c>
      <c r="OU49" s="46">
        <v>0</v>
      </c>
      <c r="OV49" s="46">
        <v>0</v>
      </c>
      <c r="OW49" s="46">
        <v>0</v>
      </c>
      <c r="OX49" s="46">
        <v>0</v>
      </c>
      <c r="OY49" s="46">
        <v>0</v>
      </c>
      <c r="OZ49" s="46">
        <v>0</v>
      </c>
      <c r="PA49" s="46">
        <v>0</v>
      </c>
      <c r="PB49" s="46">
        <v>-178039387</v>
      </c>
      <c r="PC49" s="46">
        <v>0</v>
      </c>
      <c r="PD49" s="46">
        <v>0</v>
      </c>
      <c r="PE49" s="46">
        <v>37165477</v>
      </c>
      <c r="PF49" s="46">
        <v>-5293280</v>
      </c>
      <c r="PG49" s="46">
        <v>525000</v>
      </c>
      <c r="PH49" s="46">
        <v>0</v>
      </c>
      <c r="PI49" s="46">
        <v>0</v>
      </c>
      <c r="PJ49" s="46">
        <v>0</v>
      </c>
      <c r="PK49" s="46">
        <v>4493000</v>
      </c>
      <c r="PL49" s="46">
        <v>0</v>
      </c>
      <c r="PM49" s="46">
        <v>0</v>
      </c>
      <c r="PN49" s="46">
        <v>0</v>
      </c>
      <c r="PO49" s="46">
        <v>0</v>
      </c>
      <c r="PP49" s="46">
        <v>0</v>
      </c>
      <c r="PQ49" s="46">
        <v>0</v>
      </c>
      <c r="PR49" s="46">
        <v>0</v>
      </c>
      <c r="PS49" s="46">
        <v>0</v>
      </c>
      <c r="PT49" s="46">
        <v>46073260</v>
      </c>
      <c r="PU49" s="46">
        <v>0</v>
      </c>
      <c r="PV49" s="46">
        <v>0</v>
      </c>
      <c r="PW49" s="46">
        <v>-28311901</v>
      </c>
      <c r="PX49" s="46">
        <v>-6799142</v>
      </c>
      <c r="PY49" s="46">
        <v>-45637683</v>
      </c>
      <c r="PZ49" s="46">
        <v>-2669808</v>
      </c>
      <c r="QA49" s="46">
        <v>0</v>
      </c>
      <c r="QB49" s="46">
        <v>0</v>
      </c>
      <c r="QC49" s="46">
        <v>0</v>
      </c>
      <c r="QD49" s="46">
        <v>0</v>
      </c>
      <c r="QE49" s="46">
        <v>0</v>
      </c>
      <c r="QF49" s="46">
        <v>0</v>
      </c>
      <c r="QG49" s="46">
        <v>142265</v>
      </c>
      <c r="QH49" s="46">
        <v>0</v>
      </c>
      <c r="QI49" s="46">
        <v>0</v>
      </c>
      <c r="QJ49" s="46">
        <v>0</v>
      </c>
      <c r="QK49" s="46">
        <v>10955179</v>
      </c>
      <c r="QL49" s="46">
        <v>0</v>
      </c>
      <c r="QM49" s="46">
        <v>0</v>
      </c>
      <c r="QN49" s="46">
        <v>8379633</v>
      </c>
      <c r="QO49" s="46">
        <v>0</v>
      </c>
      <c r="QP49" s="46">
        <v>0</v>
      </c>
      <c r="QQ49" s="46">
        <v>0</v>
      </c>
      <c r="QR49" s="46">
        <v>1131580</v>
      </c>
      <c r="QS49" s="46">
        <v>0</v>
      </c>
      <c r="QT49" s="46">
        <v>124633</v>
      </c>
      <c r="QU49" s="46">
        <v>0</v>
      </c>
      <c r="QV49" s="46">
        <v>0</v>
      </c>
      <c r="QW49" s="46">
        <v>0</v>
      </c>
      <c r="QX49" s="46">
        <v>0</v>
      </c>
      <c r="QY49" s="46">
        <v>0</v>
      </c>
      <c r="QZ49" s="46">
        <v>0</v>
      </c>
      <c r="RA49" s="46">
        <v>0</v>
      </c>
      <c r="RB49" s="46">
        <v>0</v>
      </c>
      <c r="RC49" s="46">
        <v>0</v>
      </c>
      <c r="RD49" s="46">
        <v>0</v>
      </c>
      <c r="RE49" s="46">
        <v>0</v>
      </c>
      <c r="RF49" s="46">
        <v>0</v>
      </c>
      <c r="RG49" s="46">
        <v>0</v>
      </c>
      <c r="RH49" s="46">
        <v>0</v>
      </c>
      <c r="RI49" s="46">
        <v>0</v>
      </c>
      <c r="RJ49" s="46">
        <v>0</v>
      </c>
      <c r="RK49" s="46">
        <v>0</v>
      </c>
      <c r="RL49" s="46">
        <v>0</v>
      </c>
      <c r="RM49" s="46">
        <v>0</v>
      </c>
      <c r="RN49" s="46">
        <v>0</v>
      </c>
      <c r="RO49" s="46">
        <v>-88246178</v>
      </c>
      <c r="RP49" s="46">
        <v>0</v>
      </c>
      <c r="RQ49" s="46">
        <v>0</v>
      </c>
      <c r="RR49" s="46">
        <v>0</v>
      </c>
      <c r="RS49" s="46">
        <v>0</v>
      </c>
      <c r="RT49" s="46">
        <v>0</v>
      </c>
      <c r="RU49" s="46">
        <v>0</v>
      </c>
      <c r="RV49" s="46">
        <v>0</v>
      </c>
      <c r="RW49" s="46">
        <v>0</v>
      </c>
      <c r="RX49" s="46">
        <v>0</v>
      </c>
      <c r="RY49" s="46">
        <v>0</v>
      </c>
      <c r="RZ49" s="46">
        <v>0</v>
      </c>
      <c r="SA49" s="46">
        <v>0</v>
      </c>
      <c r="SB49" s="46">
        <v>0</v>
      </c>
      <c r="SC49" s="46">
        <v>0</v>
      </c>
      <c r="SD49" s="46">
        <v>0</v>
      </c>
      <c r="SE49" s="46">
        <v>0</v>
      </c>
      <c r="SF49" s="46">
        <v>0</v>
      </c>
      <c r="SG49" s="46">
        <v>0</v>
      </c>
      <c r="SH49" s="46">
        <v>0</v>
      </c>
      <c r="SI49" s="46">
        <v>137751</v>
      </c>
      <c r="SJ49" s="46">
        <v>0</v>
      </c>
      <c r="SK49" s="46">
        <v>0</v>
      </c>
      <c r="SL49" s="46">
        <v>0</v>
      </c>
      <c r="SM49" s="46">
        <v>0</v>
      </c>
      <c r="SN49" s="46">
        <v>0</v>
      </c>
      <c r="SO49" s="46">
        <v>0</v>
      </c>
      <c r="SP49" s="46">
        <v>0</v>
      </c>
      <c r="SQ49" s="46">
        <v>3224362</v>
      </c>
      <c r="SR49" s="46">
        <v>5858116</v>
      </c>
      <c r="SS49" s="46">
        <v>-4924896</v>
      </c>
      <c r="ST49" s="46">
        <v>9859018</v>
      </c>
      <c r="SU49" s="46">
        <v>0</v>
      </c>
      <c r="SV49" s="46">
        <v>0</v>
      </c>
      <c r="SW49" s="46">
        <v>178039387</v>
      </c>
      <c r="SX49" s="46">
        <v>0</v>
      </c>
      <c r="SY49" s="46">
        <v>0</v>
      </c>
      <c r="SZ49" s="46">
        <v>771715</v>
      </c>
      <c r="TA49" s="46">
        <v>5336469</v>
      </c>
      <c r="TB49" s="46">
        <v>1256912</v>
      </c>
      <c r="TC49" s="46">
        <v>0</v>
      </c>
      <c r="TD49" s="46">
        <v>5800683</v>
      </c>
      <c r="TE49" s="46">
        <v>94324</v>
      </c>
      <c r="TF49" s="46">
        <v>0</v>
      </c>
      <c r="TG49" s="46">
        <v>76296</v>
      </c>
      <c r="TH49" s="46">
        <v>0</v>
      </c>
      <c r="TI49" s="46">
        <v>680201</v>
      </c>
      <c r="TJ49" s="46">
        <v>0</v>
      </c>
      <c r="TK49" s="46">
        <v>0</v>
      </c>
      <c r="TL49" s="46">
        <v>1693030</v>
      </c>
      <c r="TM49" s="46">
        <v>0</v>
      </c>
      <c r="TN49" s="46">
        <v>0</v>
      </c>
      <c r="TO49" s="46">
        <v>0</v>
      </c>
      <c r="TP49" s="46">
        <v>0</v>
      </c>
      <c r="TQ49" s="46">
        <v>0</v>
      </c>
      <c r="TR49" s="46">
        <v>0</v>
      </c>
      <c r="TS49" s="46">
        <v>0</v>
      </c>
      <c r="TT49" s="46">
        <v>0</v>
      </c>
      <c r="TU49" s="46">
        <v>18077</v>
      </c>
      <c r="TV49" s="46">
        <v>0</v>
      </c>
      <c r="TW49" s="46">
        <v>0</v>
      </c>
      <c r="TX49" s="46">
        <v>0</v>
      </c>
      <c r="TY49" s="46">
        <v>0</v>
      </c>
      <c r="TZ49" s="46">
        <v>0</v>
      </c>
      <c r="UA49" s="46">
        <v>0</v>
      </c>
      <c r="UB49" s="46">
        <v>0</v>
      </c>
      <c r="UC49" s="46">
        <v>0</v>
      </c>
      <c r="UD49" s="46">
        <v>0</v>
      </c>
      <c r="UE49" s="46">
        <v>213326335</v>
      </c>
      <c r="UF49" s="46">
        <v>166591153</v>
      </c>
      <c r="UG49" s="46">
        <v>2854956</v>
      </c>
      <c r="UH49" s="46">
        <v>0</v>
      </c>
      <c r="UI49" s="46">
        <v>65761842</v>
      </c>
      <c r="UJ49" s="46">
        <v>46403172</v>
      </c>
      <c r="UK49" s="46">
        <v>46136301</v>
      </c>
      <c r="UL49" s="46">
        <v>53108120</v>
      </c>
      <c r="UM49" s="46">
        <v>34492827</v>
      </c>
      <c r="UN49" s="46">
        <v>115906554</v>
      </c>
      <c r="UO49" s="46" t="s">
        <v>106</v>
      </c>
      <c r="UP49" s="46" t="s">
        <v>106</v>
      </c>
      <c r="UQ49" s="46"/>
      <c r="UR49" s="46"/>
      <c r="US49" s="8" t="s">
        <v>811</v>
      </c>
      <c r="UT49" s="47">
        <v>5122452087</v>
      </c>
      <c r="UU49" s="8" t="s">
        <v>1310</v>
      </c>
      <c r="UV49" s="8" t="s">
        <v>812</v>
      </c>
      <c r="UW49" s="47">
        <v>5122452776</v>
      </c>
      <c r="UX49" s="8" t="s">
        <v>813</v>
      </c>
      <c r="UY49" s="51" cm="1">
        <f t="array" ref="UY49">IFERROR(_xlfn.IFS(Input[[#This Row],[Type]]="HRI",SUMIFS('FTSE | FTFE'!$P$8:$P$77,'FTSE | FTFE'!$H$8:$H$77,A49),Input[[#This Row],[Type]]="UNIV",SUMIFS('FTSE | FTFE'!$P$104:$P$139,'FTSE | FTFE'!$H$104:$H$139,A49),OR(Input[[#This Row],[Type]]="TSTC",Input[[#This Row],[Type]]="LSC"),SUMIFS('FTSE | FTFE'!$O$88:$O$96,'FTSE | FTFE'!$H$88:$H$96,A49),Input[[#This Row],[Type]]="AHM",SUMIFS(Hidden!$H$42:$H$45,Hidden!$G$42:$G$45,A49)),"N/A")</f>
        <v>35201</v>
      </c>
      <c r="UZ49" s="51" cm="1">
        <f t="array" ref="UZ49">IFERROR(_xlfn.IFS(Input[[#This Row],[Type]]="HRI",SUMIFS('FTSE | FTFE'!$Q$8:$Q$77,'FTSE | FTFE'!$H$8:$H$77,A49),Input[[#This Row],[Type]]="UNIV",SUMIFS('FTSE | FTFE'!$Q$104:$Q$139,'FTSE | FTFE'!$H$104:$H$139,A49),OR(Input[[#This Row],[Type]]="TSTC",Input[[#This Row],[Type]]="LSC"),SUMIFS('FTSE | FTFE'!$P$88:$P$96,'FTSE | FTFE'!$H$88:$H$96,A49)),"N/A")</f>
        <v>493</v>
      </c>
      <c r="VA4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253816775</v>
      </c>
      <c r="VB4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38741061</v>
      </c>
      <c r="VC49" s="46">
        <f>SUM(Input[[#This Row],[Fed G&amp;C E&amp;G]],Input[[#This Row],[Fed G&amp;C Desg]],Input[[#This Row],[Fed G&amp;C R Exp]],Input[[#This Row],[Fed G&amp;C Loan]],Input[[#This Row],[Fed G&amp;C Annuity]],Input[[#This Row],[Fed G&amp;C Unexp]],Input[[#This Row],[Fed G&amp;C R of Ind]],Input[[#This Row],[Fed G&amp;C Inv in P]])</f>
        <v>168294220</v>
      </c>
      <c r="VD4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84776384</v>
      </c>
      <c r="VE4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172700832</v>
      </c>
      <c r="VF4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43640896</v>
      </c>
      <c r="VG49" s="46">
        <f>SUM(Input[[#This Row],[Oth Inc E&amp;G]],Input[[#This Row],[Oth Exp Desg]],Input[[#This Row],[Oth Exp R Exp]],Input[[#This Row],[Oth Exp Loan]],Input[[#This Row],[Oth Exp Annuity]],Input[[#This Row],[Oth Exp Unexp]],Input[[#This Row],[Oth Exp R of Ind]],Input[[#This Row],[Oth Exp Inv in P]])</f>
        <v>3702221</v>
      </c>
      <c r="VH49" s="46">
        <f>SUM(Input[[#This Row],[Instr E&amp;G]],Input[[#This Row],[Instr Desg]],Input[[#This Row],[Instr R Exp]],Input[[#This Row],[Instr Loan]],Input[[#This Row],[Instr Annuity]],Input[[#This Row],[Instr Unexp]],Input[[#This Row],[Instr R of Ind]],Input[[#This Row],[Instr Inv in P]])</f>
        <v>213326335</v>
      </c>
      <c r="VI49" s="46">
        <f>SUM(Input[[#This Row],[Res E&amp;G]],Input[[#This Row],[Res Desg]],Input[[#This Row],[Res R Exp]],Input[[#This Row],[Res Loan]],Input[[#This Row],[Res Annuity]],Input[[#This Row],[Res Unexp]],Input[[#This Row],[Res R of Ind]],Input[[#This Row],[Res Inv in P]])</f>
        <v>166591153</v>
      </c>
      <c r="VJ49" s="46">
        <f>SUM(Input[[#This Row],[Acad Sup E&amp;G]],Input[[#This Row],[Acad Sup Desg]],Input[[#This Row],[Acad Sup R Exp]],Input[[#This Row],[Acad Sup Loan]],Input[[#This Row],[Acad Sup Annuity]],Input[[#This Row],[Acad Sup Unexp]],Input[[#This Row],[Acad Sup R of Ind]],Input[[#This Row],[Acad Sup Inv in P]])</f>
        <v>65761842</v>
      </c>
      <c r="VK49" s="46">
        <f>SUM(Input[[#This Row],[Stu Svc E&amp;G]],Input[[#This Row],[Stu Svc Desg]],Input[[#This Row],[Stu Svc R Exp]],Input[[#This Row],[Stu Svc Loan]],Input[[#This Row],[Stu Svc Annuity]],Input[[#This Row],[Stu Svc Unexp]],Input[[#This Row],[Stu Svc R of Ind]],Input[[#This Row],[Stu Svc Inv in P]])</f>
        <v>30170628</v>
      </c>
      <c r="VL49" s="46">
        <f>SUM(Input[[#This Row],[Inst. Spt E&amp;G]],Input[[#This Row],[Inst. Spt Desg]],Input[[#This Row],[Inst. Spt R Exp]],Input[[#This Row],[Inst. Spt Loan]],Input[[#This Row],[Inst. Spt Annuity]],Input[[#This Row],[Inst. Spt Unexp]],Input[[#This Row],[Inst. Spt R of Ind]],Input[[#This Row],[Inst. Spt Inv in P]])</f>
        <v>46136302</v>
      </c>
      <c r="VM49" s="46">
        <f>SUM(Input[[#This Row],[M&amp;O Plnt E&amp;G]],Input[[#This Row],[M&amp;O Plnt Desg]],Input[[#This Row],[M&amp;O Plnt R Exp]],Input[[#This Row],[M&amp;O Plnt Loan]],Input[[#This Row],[M&amp;O Plnt Annuity]],Input[[#This Row],[M&amp;O Plnt Unexp]],Input[[#This Row],[M&amp;O Plnt R of Ind]],Input[[#This Row],[M&amp;O Plnt Inv in P]])</f>
        <v>49405867</v>
      </c>
      <c r="VN49" s="46">
        <f>SUM(Input[[#This Row],[Schl &amp; Fell E&amp;G]],Input[[#This Row],[Schl &amp; Fell Desg]],Input[[#This Row],[Schl &amp; Fell R Exp]],Input[[#This Row],[Schl &amp; Fell Loan]],Input[[#This Row],[Schl &amp; Fell Annuity]],Input[[#This Row],[Schl &amp; Fell Unexp]],Input[[#This Row],[Schl &amp; Fell R of Ind]],Input[[#This Row],[Schl &amp; Fell Inv in P]])</f>
        <v>31934729</v>
      </c>
      <c r="VO49" s="46">
        <f>SUM(Input[[#This Row],[Cap Out fund E&amp;G]],Input[[#This Row],[Cap Out fund Desg]],Input[[#This Row],[Cap Out fund R Exp]],Input[[#This Row],[Cap Out fund Loan]],Input[[#This Row],[Cap Out fund Annuity]],Input[[#This Row],[Cap Out fund Unexp]],Input[[#This Row],[Cap Out fund R of Ind]],Input[[#This Row],[Cap Out fund Inv in P]])</f>
        <v>18941496</v>
      </c>
      <c r="VP49" s="46">
        <f>SUM(Input[[#This Row],[Oth Exp E&amp;G]],Input[[#This Row],[Oth Exp Desg]],Input[[#This Row],[Oth Exp R Exp]],Input[[#This Row],[Oth Exp Loan]],Input[[#This Row],[Oth Exp Annuity]],Input[[#This Row],[Oth Exp Unexp]],Input[[#This Row],[Oth Exp R of Ind]],Input[[#This Row],[Oth Exp Inv in P]],Input[[#This Row],[Oth Exp Inv in P]])</f>
        <v>810324</v>
      </c>
    </row>
    <row r="50" spans="1:588" ht="30" customHeight="1" x14ac:dyDescent="0.3">
      <c r="A50" s="15" t="s">
        <v>22</v>
      </c>
      <c r="B50" s="36" t="s">
        <v>114</v>
      </c>
      <c r="C50" s="36" t="s">
        <v>110</v>
      </c>
      <c r="D50" s="36">
        <v>809</v>
      </c>
      <c r="E50" s="36" t="s">
        <v>132</v>
      </c>
      <c r="F50" s="95" cm="1">
        <f t="array" ref="F50">IFERROR(_xlfn.IFS(Input[[#This Row],[Type]]="HRI",SUMIFS('FTSE | FTFE'!$I$8:$I$77,'FTSE | FTFE'!$H$8:$H$77,A50),Input[[#This Row],[Type]]="UNIV",SUMIFS('FTSE | FTFE'!$I$104:$I$139,'FTSE | FTFE'!$H$104:$H$139,A50),OR(Input[[#This Row],[Type]]="TSTC",Input[[#This Row],[Type]]="LSC"),SUMIFS('FTSE | FTFE'!$I$88:$I$96,'FTSE | FTFE'!$H$88:$H$96,A50)),"N/A")</f>
        <v>3625</v>
      </c>
      <c r="G50" s="46">
        <v>25605093</v>
      </c>
      <c r="H50" s="46">
        <v>0</v>
      </c>
      <c r="I50" s="46">
        <v>0</v>
      </c>
      <c r="J50" s="46">
        <v>0</v>
      </c>
      <c r="K50" s="46">
        <v>0</v>
      </c>
      <c r="L50" s="46">
        <v>0</v>
      </c>
      <c r="M50" s="46">
        <v>0</v>
      </c>
      <c r="N50" s="46">
        <v>0</v>
      </c>
      <c r="O50" s="46">
        <v>0</v>
      </c>
      <c r="P50" s="46">
        <v>0</v>
      </c>
      <c r="Q50" s="46">
        <v>0</v>
      </c>
      <c r="R50" s="46">
        <v>0</v>
      </c>
      <c r="S50" s="46">
        <v>2892696</v>
      </c>
      <c r="T50" s="46">
        <v>0</v>
      </c>
      <c r="U50" s="46">
        <v>0</v>
      </c>
      <c r="V50" s="46">
        <v>0</v>
      </c>
      <c r="W50" s="46">
        <v>0</v>
      </c>
      <c r="X50" s="46">
        <v>0</v>
      </c>
      <c r="Y50" s="46">
        <v>2703797</v>
      </c>
      <c r="Z50" s="46">
        <v>0</v>
      </c>
      <c r="AA50" s="46">
        <v>0</v>
      </c>
      <c r="AB50" s="46">
        <v>0</v>
      </c>
      <c r="AC50" s="46">
        <v>0</v>
      </c>
      <c r="AD50" s="46">
        <v>0</v>
      </c>
      <c r="AE50" s="46">
        <v>0</v>
      </c>
      <c r="AF50" s="46">
        <v>0</v>
      </c>
      <c r="AG50" s="46">
        <v>0</v>
      </c>
      <c r="AH50" s="46">
        <v>0</v>
      </c>
      <c r="AI50" s="46">
        <v>0</v>
      </c>
      <c r="AJ50" s="46">
        <v>0</v>
      </c>
      <c r="AK50" s="46">
        <v>0</v>
      </c>
      <c r="AL50" s="46">
        <v>0</v>
      </c>
      <c r="AM50" s="46">
        <v>0</v>
      </c>
      <c r="AN50" s="46">
        <v>0</v>
      </c>
      <c r="AO50" s="46">
        <v>0</v>
      </c>
      <c r="AP50" s="46">
        <v>0</v>
      </c>
      <c r="AQ50" s="46">
        <v>0</v>
      </c>
      <c r="AR50" s="46">
        <v>0</v>
      </c>
      <c r="AS50" s="46">
        <v>0</v>
      </c>
      <c r="AT50" s="46">
        <v>0</v>
      </c>
      <c r="AU50" s="46">
        <v>0</v>
      </c>
      <c r="AV50" s="46">
        <v>0</v>
      </c>
      <c r="AW50" s="46">
        <v>0</v>
      </c>
      <c r="AX50" s="46">
        <v>0</v>
      </c>
      <c r="AY50" s="46">
        <v>0</v>
      </c>
      <c r="AZ50" s="46">
        <v>0</v>
      </c>
      <c r="BA50" s="46">
        <v>0</v>
      </c>
      <c r="BB50" s="46">
        <v>0</v>
      </c>
      <c r="BC50" s="46">
        <v>0</v>
      </c>
      <c r="BD50" s="46">
        <v>0</v>
      </c>
      <c r="BE50" s="46">
        <v>0</v>
      </c>
      <c r="BF50" s="46">
        <v>0</v>
      </c>
      <c r="BG50" s="46">
        <v>0</v>
      </c>
      <c r="BH50" s="46">
        <v>0</v>
      </c>
      <c r="BI50" s="46">
        <v>0</v>
      </c>
      <c r="BJ50" s="46">
        <v>0</v>
      </c>
      <c r="BK50" s="46">
        <v>0</v>
      </c>
      <c r="BL50" s="46">
        <v>0</v>
      </c>
      <c r="BM50" s="46">
        <v>0</v>
      </c>
      <c r="BN50" s="46">
        <v>0</v>
      </c>
      <c r="BO50" s="46">
        <v>0</v>
      </c>
      <c r="BP50" s="46">
        <v>0</v>
      </c>
      <c r="BQ50" s="46">
        <v>0</v>
      </c>
      <c r="BR50" s="46">
        <v>0</v>
      </c>
      <c r="BS50" s="46">
        <v>0</v>
      </c>
      <c r="BT50" s="46">
        <v>0</v>
      </c>
      <c r="BU50" s="46">
        <v>0</v>
      </c>
      <c r="BV50" s="46">
        <v>0</v>
      </c>
      <c r="BW50" s="46">
        <v>0</v>
      </c>
      <c r="BX50" s="46">
        <v>0</v>
      </c>
      <c r="BY50" s="46">
        <v>0</v>
      </c>
      <c r="BZ50" s="46">
        <v>0</v>
      </c>
      <c r="CA50" s="46">
        <v>2102671</v>
      </c>
      <c r="CB50" s="46">
        <v>7356758</v>
      </c>
      <c r="CC50" s="46">
        <v>0</v>
      </c>
      <c r="CD50" s="46">
        <v>0</v>
      </c>
      <c r="CE50" s="46">
        <v>0</v>
      </c>
      <c r="CF50" s="46">
        <v>0</v>
      </c>
      <c r="CG50" s="46">
        <v>0</v>
      </c>
      <c r="CH50" s="46">
        <v>0</v>
      </c>
      <c r="CI50" s="46">
        <v>0</v>
      </c>
      <c r="CJ50" s="46">
        <v>-11648</v>
      </c>
      <c r="CK50" s="46">
        <v>-148460</v>
      </c>
      <c r="CL50" s="46">
        <v>0</v>
      </c>
      <c r="CM50" s="46">
        <v>0</v>
      </c>
      <c r="CN50" s="46">
        <v>0</v>
      </c>
      <c r="CO50" s="46">
        <v>0</v>
      </c>
      <c r="CP50" s="46">
        <v>0</v>
      </c>
      <c r="CQ50" s="46">
        <v>0</v>
      </c>
      <c r="CR50" s="46">
        <v>0</v>
      </c>
      <c r="CS50" s="46">
        <v>0</v>
      </c>
      <c r="CT50" s="46">
        <v>0</v>
      </c>
      <c r="CU50" s="46">
        <v>0</v>
      </c>
      <c r="CV50" s="46">
        <v>0</v>
      </c>
      <c r="CW50" s="46">
        <v>0</v>
      </c>
      <c r="CX50" s="46">
        <v>0</v>
      </c>
      <c r="CY50" s="46">
        <v>0</v>
      </c>
      <c r="CZ50" s="46">
        <v>0</v>
      </c>
      <c r="DA50" s="46">
        <v>0</v>
      </c>
      <c r="DB50" s="46">
        <v>-192135</v>
      </c>
      <c r="DC50" s="46">
        <v>-347548</v>
      </c>
      <c r="DD50" s="46">
        <v>0</v>
      </c>
      <c r="DE50" s="46">
        <v>0</v>
      </c>
      <c r="DF50" s="46">
        <v>0</v>
      </c>
      <c r="DG50" s="46">
        <v>0</v>
      </c>
      <c r="DH50" s="46">
        <v>0</v>
      </c>
      <c r="DI50" s="46">
        <v>0</v>
      </c>
      <c r="DJ50" s="46">
        <v>0</v>
      </c>
      <c r="DK50" s="46">
        <v>0</v>
      </c>
      <c r="DL50" s="46">
        <v>0</v>
      </c>
      <c r="DM50" s="46">
        <v>0</v>
      </c>
      <c r="DN50" s="46">
        <v>0</v>
      </c>
      <c r="DO50" s="46">
        <v>0</v>
      </c>
      <c r="DP50" s="46">
        <v>0</v>
      </c>
      <c r="DQ50" s="46">
        <v>0</v>
      </c>
      <c r="DR50" s="46">
        <v>0</v>
      </c>
      <c r="DS50" s="46">
        <v>0</v>
      </c>
      <c r="DT50" s="46">
        <v>0</v>
      </c>
      <c r="DU50" s="46">
        <v>-4747264</v>
      </c>
      <c r="DV50" s="46">
        <v>0</v>
      </c>
      <c r="DW50" s="46">
        <v>0</v>
      </c>
      <c r="DX50" s="46">
        <v>0</v>
      </c>
      <c r="DY50" s="46">
        <v>0</v>
      </c>
      <c r="DZ50" s="46">
        <v>0</v>
      </c>
      <c r="EA50" s="46">
        <v>0</v>
      </c>
      <c r="EB50" s="46">
        <v>0</v>
      </c>
      <c r="EC50" s="46">
        <v>0</v>
      </c>
      <c r="ED50" s="46">
        <v>0</v>
      </c>
      <c r="EE50" s="46">
        <v>0</v>
      </c>
      <c r="EF50" s="46">
        <v>0</v>
      </c>
      <c r="EG50" s="46">
        <v>0</v>
      </c>
      <c r="EH50" s="46">
        <v>0</v>
      </c>
      <c r="EI50" s="46">
        <v>0</v>
      </c>
      <c r="EJ50" s="46">
        <v>0</v>
      </c>
      <c r="EK50" s="46">
        <v>0</v>
      </c>
      <c r="EL50" s="46">
        <v>0</v>
      </c>
      <c r="EM50" s="46">
        <v>0</v>
      </c>
      <c r="EN50" s="46">
        <v>0</v>
      </c>
      <c r="EO50" s="46">
        <v>0</v>
      </c>
      <c r="EP50" s="46">
        <v>0</v>
      </c>
      <c r="EQ50" s="46">
        <v>0</v>
      </c>
      <c r="ER50" s="46">
        <v>0</v>
      </c>
      <c r="ES50" s="46">
        <v>0</v>
      </c>
      <c r="ET50" s="46">
        <v>0</v>
      </c>
      <c r="EU50" s="46">
        <v>0</v>
      </c>
      <c r="EV50" s="46">
        <v>0</v>
      </c>
      <c r="EW50" s="46">
        <v>0</v>
      </c>
      <c r="EX50" s="46">
        <v>0</v>
      </c>
      <c r="EY50" s="46">
        <v>0</v>
      </c>
      <c r="EZ50" s="46">
        <v>0</v>
      </c>
      <c r="FA50" s="46">
        <v>0</v>
      </c>
      <c r="FB50" s="46">
        <v>0</v>
      </c>
      <c r="FC50" s="46">
        <v>0</v>
      </c>
      <c r="FD50" s="46">
        <v>0</v>
      </c>
      <c r="FE50" s="46">
        <v>0</v>
      </c>
      <c r="FF50" s="46">
        <v>0</v>
      </c>
      <c r="FG50" s="46">
        <v>0</v>
      </c>
      <c r="FH50" s="46">
        <v>0</v>
      </c>
      <c r="FI50" s="46">
        <v>0</v>
      </c>
      <c r="FJ50" s="46">
        <v>0</v>
      </c>
      <c r="FK50" s="46">
        <v>0</v>
      </c>
      <c r="FL50" s="46">
        <v>0</v>
      </c>
      <c r="FM50" s="46">
        <v>16555</v>
      </c>
      <c r="FN50" s="46">
        <v>4887683</v>
      </c>
      <c r="FO50" s="46">
        <v>431358</v>
      </c>
      <c r="FP50" s="46">
        <v>0</v>
      </c>
      <c r="FQ50" s="46">
        <v>0</v>
      </c>
      <c r="FR50" s="46">
        <v>0</v>
      </c>
      <c r="FS50" s="46">
        <v>0</v>
      </c>
      <c r="FT50" s="46">
        <v>0</v>
      </c>
      <c r="FU50" s="46">
        <v>0</v>
      </c>
      <c r="FV50" s="46">
        <v>-64</v>
      </c>
      <c r="FW50" s="46">
        <v>-59062</v>
      </c>
      <c r="FX50" s="46">
        <v>-4285</v>
      </c>
      <c r="FY50" s="46">
        <v>0</v>
      </c>
      <c r="FZ50" s="46">
        <v>0</v>
      </c>
      <c r="GA50" s="46">
        <v>0</v>
      </c>
      <c r="GB50" s="46">
        <v>0</v>
      </c>
      <c r="GC50" s="46">
        <v>0</v>
      </c>
      <c r="GD50" s="46">
        <v>0</v>
      </c>
      <c r="GE50" s="46">
        <v>0</v>
      </c>
      <c r="GF50" s="46">
        <v>0</v>
      </c>
      <c r="GG50" s="46">
        <v>0</v>
      </c>
      <c r="GH50" s="46">
        <v>0</v>
      </c>
      <c r="GI50" s="46">
        <v>0</v>
      </c>
      <c r="GJ50" s="46">
        <v>0</v>
      </c>
      <c r="GK50" s="46">
        <v>0</v>
      </c>
      <c r="GL50" s="46">
        <v>0</v>
      </c>
      <c r="GM50" s="46">
        <v>0</v>
      </c>
      <c r="GN50" s="46">
        <v>-43123</v>
      </c>
      <c r="GO50" s="46">
        <v>-370593</v>
      </c>
      <c r="GP50" s="46">
        <v>-2557</v>
      </c>
      <c r="GQ50" s="46">
        <v>0</v>
      </c>
      <c r="GR50" s="46">
        <v>0</v>
      </c>
      <c r="GS50" s="46">
        <v>0</v>
      </c>
      <c r="GT50" s="46">
        <v>0</v>
      </c>
      <c r="GU50" s="46">
        <v>0</v>
      </c>
      <c r="GV50" s="46">
        <v>0</v>
      </c>
      <c r="GW50" s="46">
        <v>0</v>
      </c>
      <c r="GX50" s="46">
        <v>0</v>
      </c>
      <c r="GY50" s="46">
        <v>0</v>
      </c>
      <c r="GZ50" s="46">
        <v>0</v>
      </c>
      <c r="HA50" s="46">
        <v>0</v>
      </c>
      <c r="HB50" s="46">
        <v>0</v>
      </c>
      <c r="HC50" s="46">
        <v>0</v>
      </c>
      <c r="HD50" s="46">
        <v>0</v>
      </c>
      <c r="HE50" s="46">
        <v>0</v>
      </c>
      <c r="HF50" s="46">
        <v>0</v>
      </c>
      <c r="HG50" s="46">
        <v>0</v>
      </c>
      <c r="HH50" s="46">
        <v>-2667648</v>
      </c>
      <c r="HI50" s="46">
        <v>0</v>
      </c>
      <c r="HJ50" s="46">
        <v>0</v>
      </c>
      <c r="HK50" s="46">
        <v>0</v>
      </c>
      <c r="HL50" s="46">
        <v>0</v>
      </c>
      <c r="HM50" s="46">
        <v>0</v>
      </c>
      <c r="HN50" s="46">
        <v>0</v>
      </c>
      <c r="HO50" s="46">
        <v>0</v>
      </c>
      <c r="HP50" s="46">
        <v>0</v>
      </c>
      <c r="HQ50" s="46">
        <v>0</v>
      </c>
      <c r="HR50" s="46">
        <v>19500294</v>
      </c>
      <c r="HS50" s="46">
        <v>0</v>
      </c>
      <c r="HT50" s="46">
        <v>0</v>
      </c>
      <c r="HU50" s="46">
        <v>0</v>
      </c>
      <c r="HV50" s="46">
        <v>0</v>
      </c>
      <c r="HW50" s="46">
        <v>0</v>
      </c>
      <c r="HX50" s="46">
        <v>0</v>
      </c>
      <c r="HY50" s="46">
        <v>0</v>
      </c>
      <c r="HZ50" s="46">
        <v>0</v>
      </c>
      <c r="IA50" s="46">
        <v>0</v>
      </c>
      <c r="IB50" s="46">
        <v>0</v>
      </c>
      <c r="IC50" s="46">
        <v>0</v>
      </c>
      <c r="ID50" s="46">
        <v>0</v>
      </c>
      <c r="IE50" s="46">
        <v>0</v>
      </c>
      <c r="IF50" s="46">
        <v>0</v>
      </c>
      <c r="IG50" s="46">
        <v>0</v>
      </c>
      <c r="IH50" s="46">
        <v>0</v>
      </c>
      <c r="II50" s="46">
        <v>0</v>
      </c>
      <c r="IJ50" s="46">
        <v>0</v>
      </c>
      <c r="IK50" s="46">
        <v>0</v>
      </c>
      <c r="IL50" s="46">
        <v>0</v>
      </c>
      <c r="IM50" s="46">
        <v>0</v>
      </c>
      <c r="IN50" s="46">
        <v>0</v>
      </c>
      <c r="IO50" s="46">
        <v>0</v>
      </c>
      <c r="IP50" s="46">
        <v>32390</v>
      </c>
      <c r="IQ50" s="46">
        <v>361625</v>
      </c>
      <c r="IR50" s="46">
        <v>315</v>
      </c>
      <c r="IS50" s="46">
        <v>1906889</v>
      </c>
      <c r="IT50" s="46">
        <v>0</v>
      </c>
      <c r="IU50" s="46">
        <v>-396609</v>
      </c>
      <c r="IV50" s="46">
        <v>0</v>
      </c>
      <c r="IW50" s="46">
        <v>0</v>
      </c>
      <c r="IX50" s="46">
        <v>0</v>
      </c>
      <c r="IY50" s="46">
        <v>0</v>
      </c>
      <c r="IZ50" s="46">
        <v>0</v>
      </c>
      <c r="JA50" s="46">
        <v>0</v>
      </c>
      <c r="JB50" s="46">
        <v>1009179</v>
      </c>
      <c r="JC50" s="46">
        <v>0</v>
      </c>
      <c r="JD50" s="46">
        <v>0</v>
      </c>
      <c r="JE50" s="46">
        <v>0</v>
      </c>
      <c r="JF50" s="46">
        <v>0</v>
      </c>
      <c r="JG50" s="46">
        <v>0</v>
      </c>
      <c r="JH50" s="46">
        <v>0</v>
      </c>
      <c r="JI50" s="46">
        <v>1021731</v>
      </c>
      <c r="JJ50" s="46">
        <v>1411</v>
      </c>
      <c r="JK50" s="46">
        <v>1362155</v>
      </c>
      <c r="JL50" s="46">
        <v>0</v>
      </c>
      <c r="JM50" s="46">
        <v>0</v>
      </c>
      <c r="JN50" s="46">
        <v>0</v>
      </c>
      <c r="JO50" s="46">
        <v>0</v>
      </c>
      <c r="JP50" s="46">
        <v>0</v>
      </c>
      <c r="JQ50" s="46">
        <v>0</v>
      </c>
      <c r="JR50" s="46">
        <v>424433</v>
      </c>
      <c r="JS50" s="46">
        <v>147442</v>
      </c>
      <c r="JT50" s="46">
        <v>292268</v>
      </c>
      <c r="JU50" s="46">
        <v>0</v>
      </c>
      <c r="JV50" s="46">
        <v>20124</v>
      </c>
      <c r="JW50" s="46">
        <v>0</v>
      </c>
      <c r="JX50" s="46">
        <v>0</v>
      </c>
      <c r="JY50" s="46">
        <v>0</v>
      </c>
      <c r="JZ50" s="46">
        <v>7111</v>
      </c>
      <c r="KA50" s="46">
        <v>98281</v>
      </c>
      <c r="KB50" s="46">
        <v>5384038</v>
      </c>
      <c r="KC50" s="46">
        <v>0</v>
      </c>
      <c r="KD50" s="46">
        <v>0</v>
      </c>
      <c r="KE50" s="46">
        <v>0</v>
      </c>
      <c r="KF50" s="46">
        <v>0</v>
      </c>
      <c r="KG50" s="46">
        <v>0</v>
      </c>
      <c r="KH50" s="46">
        <v>0</v>
      </c>
      <c r="KI50" s="46">
        <v>174212</v>
      </c>
      <c r="KJ50" s="46">
        <v>867377</v>
      </c>
      <c r="KK50" s="46">
        <v>163265</v>
      </c>
      <c r="KL50" s="46">
        <v>145318</v>
      </c>
      <c r="KM50" s="46">
        <v>0</v>
      </c>
      <c r="KN50" s="46">
        <v>0</v>
      </c>
      <c r="KO50" s="46">
        <v>0</v>
      </c>
      <c r="KP50" s="46">
        <v>0</v>
      </c>
      <c r="KQ50" s="46">
        <v>0</v>
      </c>
      <c r="KR50" s="46">
        <v>11318690</v>
      </c>
      <c r="KS50" s="46">
        <v>1847488</v>
      </c>
      <c r="KT50" s="46">
        <v>0</v>
      </c>
      <c r="KU50" s="46">
        <v>141307</v>
      </c>
      <c r="KV50" s="46">
        <v>0</v>
      </c>
      <c r="KW50" s="46">
        <v>0</v>
      </c>
      <c r="KX50" s="46">
        <v>0</v>
      </c>
      <c r="KY50" s="46">
        <v>0</v>
      </c>
      <c r="KZ50" s="46">
        <v>0</v>
      </c>
      <c r="LA50" s="46">
        <v>274088</v>
      </c>
      <c r="LB50" s="46">
        <v>805066</v>
      </c>
      <c r="LC50" s="46">
        <v>1206</v>
      </c>
      <c r="LD50" s="46">
        <v>6079560</v>
      </c>
      <c r="LE50" s="46">
        <v>0</v>
      </c>
      <c r="LF50" s="46">
        <v>0</v>
      </c>
      <c r="LG50" s="46">
        <v>0</v>
      </c>
      <c r="LH50" s="46">
        <v>0</v>
      </c>
      <c r="LI50" s="46">
        <v>0</v>
      </c>
      <c r="LJ50" s="46">
        <v>547044</v>
      </c>
      <c r="LK50" s="46">
        <v>136017</v>
      </c>
      <c r="LL50" s="46">
        <v>14294</v>
      </c>
      <c r="LM50" s="46">
        <v>2112098</v>
      </c>
      <c r="LN50" s="46">
        <v>0</v>
      </c>
      <c r="LO50" s="46">
        <v>0</v>
      </c>
      <c r="LP50" s="46">
        <v>0</v>
      </c>
      <c r="LQ50" s="46">
        <v>0</v>
      </c>
      <c r="LR50" s="46">
        <v>0</v>
      </c>
      <c r="LS50" s="46">
        <v>0</v>
      </c>
      <c r="LT50" s="46">
        <v>0</v>
      </c>
      <c r="LU50" s="46">
        <v>0</v>
      </c>
      <c r="LV50" s="46">
        <v>0</v>
      </c>
      <c r="LW50" s="46">
        <v>0</v>
      </c>
      <c r="LX50" s="46">
        <v>0</v>
      </c>
      <c r="LY50" s="46">
        <v>0</v>
      </c>
      <c r="LZ50" s="46">
        <v>0</v>
      </c>
      <c r="MA50" s="46">
        <v>0</v>
      </c>
      <c r="MB50" s="46">
        <v>3316785</v>
      </c>
      <c r="MC50" s="46">
        <v>2020405</v>
      </c>
      <c r="MD50" s="46">
        <v>0</v>
      </c>
      <c r="ME50" s="46">
        <v>3386930</v>
      </c>
      <c r="MF50" s="46">
        <v>0</v>
      </c>
      <c r="MG50" s="46">
        <v>0</v>
      </c>
      <c r="MH50" s="46">
        <v>293175</v>
      </c>
      <c r="MI50" s="46">
        <v>0</v>
      </c>
      <c r="MJ50" s="46">
        <v>0</v>
      </c>
      <c r="MK50" s="46">
        <v>2271121</v>
      </c>
      <c r="ML50" s="46">
        <v>1795178</v>
      </c>
      <c r="MM50" s="46">
        <v>3562</v>
      </c>
      <c r="MN50" s="46">
        <v>306724</v>
      </c>
      <c r="MO50" s="46">
        <v>0</v>
      </c>
      <c r="MP50" s="46">
        <v>0</v>
      </c>
      <c r="MQ50" s="46">
        <v>0</v>
      </c>
      <c r="MR50" s="46">
        <v>0</v>
      </c>
      <c r="MS50" s="46">
        <v>0</v>
      </c>
      <c r="MT50" s="46">
        <v>3862060</v>
      </c>
      <c r="MU50" s="46">
        <v>3248516</v>
      </c>
      <c r="MV50" s="46">
        <v>0</v>
      </c>
      <c r="MW50" s="46">
        <v>230944</v>
      </c>
      <c r="MX50" s="46">
        <v>0</v>
      </c>
      <c r="MY50" s="46">
        <v>0</v>
      </c>
      <c r="MZ50" s="46">
        <v>406118</v>
      </c>
      <c r="NA50" s="46">
        <v>0</v>
      </c>
      <c r="NB50" s="46">
        <v>0</v>
      </c>
      <c r="NC50" s="46">
        <v>3985787</v>
      </c>
      <c r="ND50" s="46">
        <v>4069679</v>
      </c>
      <c r="NE50" s="46">
        <v>114</v>
      </c>
      <c r="NF50" s="46">
        <v>0</v>
      </c>
      <c r="NG50" s="46">
        <v>0</v>
      </c>
      <c r="NH50" s="46">
        <v>0</v>
      </c>
      <c r="NI50" s="46">
        <v>1243640</v>
      </c>
      <c r="NJ50" s="46">
        <v>0</v>
      </c>
      <c r="NK50" s="46">
        <v>0</v>
      </c>
      <c r="NL50" s="46">
        <v>0</v>
      </c>
      <c r="NM50" s="46">
        <v>144857</v>
      </c>
      <c r="NN50" s="46">
        <v>269</v>
      </c>
      <c r="NO50" s="46">
        <v>1382227</v>
      </c>
      <c r="NP50" s="46">
        <v>0</v>
      </c>
      <c r="NQ50" s="46">
        <v>0</v>
      </c>
      <c r="NR50" s="46">
        <v>0</v>
      </c>
      <c r="NS50" s="46">
        <v>0</v>
      </c>
      <c r="NT50" s="46">
        <v>0</v>
      </c>
      <c r="NU50" s="46">
        <v>221837</v>
      </c>
      <c r="NV50" s="46">
        <v>3103363</v>
      </c>
      <c r="NW50" s="46">
        <v>4359182</v>
      </c>
      <c r="NX50" s="46">
        <v>81851</v>
      </c>
      <c r="NY50" s="46">
        <v>0</v>
      </c>
      <c r="NZ50" s="46">
        <v>0</v>
      </c>
      <c r="OA50" s="46">
        <v>0</v>
      </c>
      <c r="OB50" s="46">
        <v>0</v>
      </c>
      <c r="OC50" s="46">
        <v>0</v>
      </c>
      <c r="OD50" s="46">
        <v>314873</v>
      </c>
      <c r="OE50" s="46">
        <v>499050</v>
      </c>
      <c r="OF50" s="46">
        <v>21476</v>
      </c>
      <c r="OG50" s="46">
        <v>1225214</v>
      </c>
      <c r="OH50" s="46">
        <v>0</v>
      </c>
      <c r="OI50" s="46">
        <v>0</v>
      </c>
      <c r="OJ50" s="46">
        <v>0</v>
      </c>
      <c r="OK50" s="46">
        <v>0</v>
      </c>
      <c r="OL50" s="46">
        <v>0</v>
      </c>
      <c r="OM50" s="46">
        <v>11998</v>
      </c>
      <c r="ON50" s="46">
        <v>0</v>
      </c>
      <c r="OO50" s="46">
        <v>0</v>
      </c>
      <c r="OP50" s="46">
        <v>15000</v>
      </c>
      <c r="OQ50" s="46">
        <v>0</v>
      </c>
      <c r="OR50" s="46">
        <v>0</v>
      </c>
      <c r="OS50" s="46">
        <v>6867</v>
      </c>
      <c r="OT50" s="46">
        <v>0</v>
      </c>
      <c r="OU50" s="46">
        <v>0</v>
      </c>
      <c r="OV50" s="46">
        <v>0</v>
      </c>
      <c r="OW50" s="46">
        <v>0</v>
      </c>
      <c r="OX50" s="46">
        <v>0</v>
      </c>
      <c r="OY50" s="46">
        <v>0</v>
      </c>
      <c r="OZ50" s="46">
        <v>0</v>
      </c>
      <c r="PA50" s="46">
        <v>0</v>
      </c>
      <c r="PB50" s="46">
        <v>-5482830</v>
      </c>
      <c r="PC50" s="46">
        <v>0</v>
      </c>
      <c r="PD50" s="46">
        <v>0</v>
      </c>
      <c r="PE50" s="46">
        <v>-5668102</v>
      </c>
      <c r="PF50" s="46">
        <v>-1257432</v>
      </c>
      <c r="PG50" s="46">
        <v>0</v>
      </c>
      <c r="PH50" s="46">
        <v>385715</v>
      </c>
      <c r="PI50" s="46">
        <v>0</v>
      </c>
      <c r="PJ50" s="46">
        <v>0</v>
      </c>
      <c r="PK50" s="46">
        <v>6064623</v>
      </c>
      <c r="PL50" s="46">
        <v>0</v>
      </c>
      <c r="PM50" s="46">
        <v>0</v>
      </c>
      <c r="PN50" s="46">
        <v>0</v>
      </c>
      <c r="PO50" s="46">
        <v>0</v>
      </c>
      <c r="PP50" s="46">
        <v>0</v>
      </c>
      <c r="PQ50" s="46">
        <v>0</v>
      </c>
      <c r="PR50" s="46">
        <v>0</v>
      </c>
      <c r="PS50" s="46">
        <v>0</v>
      </c>
      <c r="PT50" s="46">
        <v>0</v>
      </c>
      <c r="PU50" s="46">
        <v>0</v>
      </c>
      <c r="PV50" s="46">
        <v>0</v>
      </c>
      <c r="PW50" s="46">
        <v>0</v>
      </c>
      <c r="PX50" s="46">
        <v>0</v>
      </c>
      <c r="PY50" s="46">
        <v>0</v>
      </c>
      <c r="PZ50" s="46">
        <v>0</v>
      </c>
      <c r="QA50" s="46">
        <v>0</v>
      </c>
      <c r="QB50" s="46">
        <v>0</v>
      </c>
      <c r="QC50" s="46">
        <v>0</v>
      </c>
      <c r="QD50" s="46">
        <v>0</v>
      </c>
      <c r="QE50" s="46">
        <v>0</v>
      </c>
      <c r="QF50" s="46">
        <v>0</v>
      </c>
      <c r="QG50" s="46">
        <v>0</v>
      </c>
      <c r="QH50" s="46">
        <v>0</v>
      </c>
      <c r="QI50" s="46">
        <v>0</v>
      </c>
      <c r="QJ50" s="46">
        <v>0</v>
      </c>
      <c r="QK50" s="46">
        <v>1404251</v>
      </c>
      <c r="QL50" s="46">
        <v>0</v>
      </c>
      <c r="QM50" s="46">
        <v>0</v>
      </c>
      <c r="QN50" s="46">
        <v>0</v>
      </c>
      <c r="QO50" s="46">
        <v>0</v>
      </c>
      <c r="QP50" s="46">
        <v>0</v>
      </c>
      <c r="QQ50" s="46">
        <v>0</v>
      </c>
      <c r="QR50" s="46">
        <v>0</v>
      </c>
      <c r="QS50" s="46">
        <v>0</v>
      </c>
      <c r="QT50" s="46">
        <v>202444</v>
      </c>
      <c r="QU50" s="46">
        <v>0</v>
      </c>
      <c r="QV50" s="46">
        <v>0</v>
      </c>
      <c r="QW50" s="46">
        <v>0</v>
      </c>
      <c r="QX50" s="46">
        <v>0</v>
      </c>
      <c r="QY50" s="46">
        <v>0</v>
      </c>
      <c r="QZ50" s="46">
        <v>0</v>
      </c>
      <c r="RA50" s="46">
        <v>0</v>
      </c>
      <c r="RB50" s="46">
        <v>0</v>
      </c>
      <c r="RC50" s="46">
        <v>0</v>
      </c>
      <c r="RD50" s="46">
        <v>0</v>
      </c>
      <c r="RE50" s="46">
        <v>0</v>
      </c>
      <c r="RF50" s="46">
        <v>0</v>
      </c>
      <c r="RG50" s="46">
        <v>0</v>
      </c>
      <c r="RH50" s="46">
        <v>0</v>
      </c>
      <c r="RI50" s="46">
        <v>0</v>
      </c>
      <c r="RJ50" s="46">
        <v>0</v>
      </c>
      <c r="RK50" s="46">
        <v>0</v>
      </c>
      <c r="RL50" s="46">
        <v>0</v>
      </c>
      <c r="RM50" s="46">
        <v>0</v>
      </c>
      <c r="RN50" s="46">
        <v>0</v>
      </c>
      <c r="RO50" s="46">
        <v>-6141793</v>
      </c>
      <c r="RP50" s="46">
        <v>0</v>
      </c>
      <c r="RQ50" s="46">
        <v>0</v>
      </c>
      <c r="RR50" s="46">
        <v>0</v>
      </c>
      <c r="RS50" s="46">
        <v>0</v>
      </c>
      <c r="RT50" s="46">
        <v>0</v>
      </c>
      <c r="RU50" s="46">
        <v>0</v>
      </c>
      <c r="RV50" s="46">
        <v>0</v>
      </c>
      <c r="RW50" s="46">
        <v>0</v>
      </c>
      <c r="RX50" s="46">
        <v>0</v>
      </c>
      <c r="RY50" s="46">
        <v>0</v>
      </c>
      <c r="RZ50" s="46">
        <v>0</v>
      </c>
      <c r="SA50" s="46">
        <v>0</v>
      </c>
      <c r="SB50" s="46">
        <v>0</v>
      </c>
      <c r="SC50" s="46">
        <v>0</v>
      </c>
      <c r="SD50" s="46">
        <v>0</v>
      </c>
      <c r="SE50" s="46">
        <v>0</v>
      </c>
      <c r="SF50" s="46">
        <v>0</v>
      </c>
      <c r="SG50" s="46">
        <v>0</v>
      </c>
      <c r="SH50" s="46">
        <v>0</v>
      </c>
      <c r="SI50" s="46">
        <v>0</v>
      </c>
      <c r="SJ50" s="46">
        <v>0</v>
      </c>
      <c r="SK50" s="46">
        <v>0</v>
      </c>
      <c r="SL50" s="46">
        <v>0</v>
      </c>
      <c r="SM50" s="46">
        <v>0</v>
      </c>
      <c r="SN50" s="46">
        <v>0</v>
      </c>
      <c r="SO50" s="46">
        <v>0</v>
      </c>
      <c r="SP50" s="46">
        <v>0</v>
      </c>
      <c r="SQ50" s="46">
        <v>314873</v>
      </c>
      <c r="SR50" s="46">
        <v>499050</v>
      </c>
      <c r="SS50" s="46">
        <v>21476</v>
      </c>
      <c r="ST50" s="46">
        <v>1225214</v>
      </c>
      <c r="SU50" s="46">
        <v>0</v>
      </c>
      <c r="SV50" s="46">
        <v>0</v>
      </c>
      <c r="SW50" s="46">
        <v>5482830</v>
      </c>
      <c r="SX50" s="46">
        <v>0</v>
      </c>
      <c r="SY50" s="46">
        <v>0</v>
      </c>
      <c r="SZ50" s="46">
        <v>0</v>
      </c>
      <c r="TA50" s="46">
        <v>346409</v>
      </c>
      <c r="TB50" s="46">
        <v>225677</v>
      </c>
      <c r="TC50" s="46">
        <v>0</v>
      </c>
      <c r="TD50" s="46">
        <v>855856</v>
      </c>
      <c r="TE50" s="46">
        <v>296322</v>
      </c>
      <c r="TF50" s="46">
        <v>0</v>
      </c>
      <c r="TG50" s="46">
        <v>314873</v>
      </c>
      <c r="TH50" s="46">
        <v>0</v>
      </c>
      <c r="TI50" s="46">
        <v>21476</v>
      </c>
      <c r="TJ50" s="46">
        <v>0</v>
      </c>
      <c r="TK50" s="46">
        <v>0</v>
      </c>
      <c r="TL50" s="46">
        <v>336855</v>
      </c>
      <c r="TM50" s="46">
        <v>0</v>
      </c>
      <c r="TN50" s="46">
        <v>0</v>
      </c>
      <c r="TO50" s="46">
        <v>0</v>
      </c>
      <c r="TP50" s="46">
        <v>0</v>
      </c>
      <c r="TQ50" s="46">
        <v>0</v>
      </c>
      <c r="TR50" s="46">
        <v>0</v>
      </c>
      <c r="TS50" s="46">
        <v>0</v>
      </c>
      <c r="TT50" s="46">
        <v>0</v>
      </c>
      <c r="TU50" s="46">
        <v>0</v>
      </c>
      <c r="TV50" s="46">
        <v>0</v>
      </c>
      <c r="TW50" s="46">
        <v>0</v>
      </c>
      <c r="TX50" s="46">
        <v>0</v>
      </c>
      <c r="TY50" s="46">
        <v>0</v>
      </c>
      <c r="TZ50" s="46">
        <v>0</v>
      </c>
      <c r="UA50" s="46">
        <v>0</v>
      </c>
      <c r="UB50" s="46">
        <v>0</v>
      </c>
      <c r="UC50" s="46">
        <v>0</v>
      </c>
      <c r="UD50" s="46">
        <v>0</v>
      </c>
      <c r="UE50" s="46">
        <v>13307485</v>
      </c>
      <c r="UF50" s="46">
        <v>7159920</v>
      </c>
      <c r="UG50" s="46">
        <v>2809453</v>
      </c>
      <c r="UH50" s="46">
        <v>0</v>
      </c>
      <c r="UI50" s="46">
        <v>9017295</v>
      </c>
      <c r="UJ50" s="46">
        <v>4376585</v>
      </c>
      <c r="UK50" s="46">
        <v>7747638</v>
      </c>
      <c r="UL50" s="46">
        <v>9299220</v>
      </c>
      <c r="UM50" s="46">
        <v>1527353</v>
      </c>
      <c r="UN50" s="46">
        <v>7766233</v>
      </c>
      <c r="UO5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2060613</v>
      </c>
      <c r="UP50" s="46">
        <f>SUM(Input[[#This Row],[Oth Exp E&amp;G]],Input[[#This Row],[Oth Exp Desg]],Input[[#This Row],[Oth Exp Aux]],Input[[#This Row],[Oth Exp R Exp]],Input[[#This Row],[Oth Exp Loan]],Input[[#This Row],[Oth Exp Annuity]],Input[[#This Row],[Oth Exp Unexp]],Input[[#This Row],[Oth Exp R of Ind]],Input[[#This Row],[Oth Exp Inv in P]])</f>
        <v>33865</v>
      </c>
      <c r="UQ50" s="46"/>
      <c r="UR50" s="46"/>
      <c r="US50" s="8" t="s">
        <v>767</v>
      </c>
      <c r="UT50" s="47">
        <v>4328378078</v>
      </c>
      <c r="UU50" s="8" t="s">
        <v>973</v>
      </c>
      <c r="UV50" s="8" t="s">
        <v>768</v>
      </c>
      <c r="UW50" s="47">
        <v>4328378009</v>
      </c>
      <c r="UX50" s="8" t="s">
        <v>965</v>
      </c>
      <c r="UY50" s="51" cm="1">
        <f t="array" ref="UY50">IFERROR(_xlfn.IFS(Input[[#This Row],[Type]]="HRI",SUMIFS('FTSE | FTFE'!$P$8:$P$77,'FTSE | FTFE'!$H$8:$H$77,A50),Input[[#This Row],[Type]]="UNIV",SUMIFS('FTSE | FTFE'!$P$104:$P$139,'FTSE | FTFE'!$H$104:$H$139,A50),OR(Input[[#This Row],[Type]]="TSTC",Input[[#This Row],[Type]]="LSC"),SUMIFS('FTSE | FTFE'!$O$88:$O$96,'FTSE | FTFE'!$H$88:$H$96,A50),Input[[#This Row],[Type]]="AHM",SUMIFS(Hidden!$H$42:$H$45,Hidden!$G$42:$G$45,A50)),"N/A")</f>
        <v>1560</v>
      </c>
      <c r="UZ50" s="51" cm="1">
        <f t="array" ref="UZ50">IFERROR(_xlfn.IFS(Input[[#This Row],[Type]]="HRI",SUMIFS('FTSE | FTFE'!$Q$8:$Q$77,'FTSE | FTFE'!$H$8:$H$77,A50),Input[[#This Row],[Type]]="UNIV",SUMIFS('FTSE | FTFE'!$Q$104:$Q$139,'FTSE | FTFE'!$H$104:$H$139,A50),OR(Input[[#This Row],[Type]]="TSTC",Input[[#This Row],[Type]]="LSC"),SUMIFS('FTSE | FTFE'!$P$88:$P$96,'FTSE | FTFE'!$H$88:$H$96,A50)),"N/A")</f>
        <v>74</v>
      </c>
      <c r="VA5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28497789</v>
      </c>
      <c r="VB5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2703797</v>
      </c>
      <c r="VC50" s="46">
        <f>SUM(Input[[#This Row],[Fed G&amp;C E&amp;G]],Input[[#This Row],[Fed G&amp;C Desg]],Input[[#This Row],[Fed G&amp;C R Exp]],Input[[#This Row],[Fed G&amp;C Loan]],Input[[#This Row],[Fed G&amp;C Annuity]],Input[[#This Row],[Fed G&amp;C Unexp]],Input[[#This Row],[Fed G&amp;C R of Ind]],Input[[#This Row],[Fed G&amp;C Inv in P]])</f>
        <v>19500294</v>
      </c>
      <c r="VD5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7221092</v>
      </c>
      <c r="VE5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4012374</v>
      </c>
      <c r="VF5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4431396</v>
      </c>
      <c r="VG50" s="46">
        <f>SUM(Input[[#This Row],[Oth Inc E&amp;G]],Input[[#This Row],[Oth Exp Desg]],Input[[#This Row],[Oth Exp R Exp]],Input[[#This Row],[Oth Exp Loan]],Input[[#This Row],[Oth Exp Annuity]],Input[[#This Row],[Oth Exp Unexp]],Input[[#This Row],[Oth Exp R of Ind]],Input[[#This Row],[Oth Exp Inv in P]])</f>
        <v>196079</v>
      </c>
      <c r="VH50" s="46">
        <f>SUM(Input[[#This Row],[Instr E&amp;G]],Input[[#This Row],[Instr Desg]],Input[[#This Row],[Instr R Exp]],Input[[#This Row],[Instr Loan]],Input[[#This Row],[Instr Annuity]],Input[[#This Row],[Instr Unexp]],Input[[#This Row],[Instr R of Ind]],Input[[#This Row],[Instr Inv in P]])</f>
        <v>13307485</v>
      </c>
      <c r="VI50" s="46">
        <f>SUM(Input[[#This Row],[Res E&amp;G]],Input[[#This Row],[Res Desg]],Input[[#This Row],[Res R Exp]],Input[[#This Row],[Res Loan]],Input[[#This Row],[Res Annuity]],Input[[#This Row],[Res Unexp]],Input[[#This Row],[Res R of Ind]],Input[[#This Row],[Res Inv in P]])</f>
        <v>7158714</v>
      </c>
      <c r="VJ50" s="46">
        <f>SUM(Input[[#This Row],[Acad Sup E&amp;G]],Input[[#This Row],[Acad Sup Desg]],Input[[#This Row],[Acad Sup R Exp]],Input[[#This Row],[Acad Sup Loan]],Input[[#This Row],[Acad Sup Annuity]],Input[[#This Row],[Acad Sup Unexp]],Input[[#This Row],[Acad Sup R of Ind]],Input[[#This Row],[Acad Sup Inv in P]])</f>
        <v>9017295</v>
      </c>
      <c r="VK50" s="46">
        <f>SUM(Input[[#This Row],[Stu Svc E&amp;G]],Input[[#This Row],[Stu Svc Desg]],Input[[#This Row],[Stu Svc R Exp]],Input[[#This Row],[Stu Svc Loan]],Input[[#This Row],[Stu Svc Annuity]],Input[[#This Row],[Stu Svc Unexp]],Input[[#This Row],[Stu Svc R of Ind]],Input[[#This Row],[Stu Svc Inv in P]])</f>
        <v>4373023</v>
      </c>
      <c r="VL50" s="46">
        <f>SUM(Input[[#This Row],[Inst. Spt E&amp;G]],Input[[#This Row],[Inst. Spt Desg]],Input[[#This Row],[Inst. Spt R Exp]],Input[[#This Row],[Inst. Spt Loan]],Input[[#This Row],[Inst. Spt Annuity]],Input[[#This Row],[Inst. Spt Unexp]],Input[[#This Row],[Inst. Spt R of Ind]],Input[[#This Row],[Inst. Spt Inv in P]])</f>
        <v>7747638</v>
      </c>
      <c r="VM50" s="46">
        <f>SUM(Input[[#This Row],[M&amp;O Plnt E&amp;G]],Input[[#This Row],[M&amp;O Plnt Desg]],Input[[#This Row],[M&amp;O Plnt R Exp]],Input[[#This Row],[M&amp;O Plnt Loan]],Input[[#This Row],[M&amp;O Plnt Annuity]],Input[[#This Row],[M&amp;O Plnt Unexp]],Input[[#This Row],[M&amp;O Plnt R of Ind]],Input[[#This Row],[M&amp;O Plnt Inv in P]])</f>
        <v>9299106</v>
      </c>
      <c r="VN50" s="46">
        <f>SUM(Input[[#This Row],[Schl &amp; Fell E&amp;G]],Input[[#This Row],[Schl &amp; Fell Desg]],Input[[#This Row],[Schl &amp; Fell R Exp]],Input[[#This Row],[Schl &amp; Fell Loan]],Input[[#This Row],[Schl &amp; Fell Annuity]],Input[[#This Row],[Schl &amp; Fell Unexp]],Input[[#This Row],[Schl &amp; Fell R of Ind]],Input[[#This Row],[Schl &amp; Fell Inv in P]])</f>
        <v>1527084</v>
      </c>
      <c r="VO50" s="46">
        <f>SUM(Input[[#This Row],[Cap Out fund E&amp;G]],Input[[#This Row],[Cap Out fund Desg]],Input[[#This Row],[Cap Out fund R Exp]],Input[[#This Row],[Cap Out fund Loan]],Input[[#This Row],[Cap Out fund Annuity]],Input[[#This Row],[Cap Out fund Unexp]],Input[[#This Row],[Cap Out fund R of Ind]],Input[[#This Row],[Cap Out fund Inv in P]])</f>
        <v>2039137</v>
      </c>
      <c r="VP50" s="46">
        <f>SUM(Input[[#This Row],[Oth Exp E&amp;G]],Input[[#This Row],[Oth Exp Desg]],Input[[#This Row],[Oth Exp R Exp]],Input[[#This Row],[Oth Exp Loan]],Input[[#This Row],[Oth Exp Annuity]],Input[[#This Row],[Oth Exp Unexp]],Input[[#This Row],[Oth Exp R of Ind]],Input[[#This Row],[Oth Exp Inv in P]],Input[[#This Row],[Oth Exp Inv in P]])</f>
        <v>33865</v>
      </c>
    </row>
    <row r="51" spans="1:588" ht="30" customHeight="1" x14ac:dyDescent="0.3">
      <c r="A51" s="15" t="s">
        <v>28</v>
      </c>
      <c r="B51" s="36" t="s">
        <v>118</v>
      </c>
      <c r="C51" s="36" t="s">
        <v>117</v>
      </c>
      <c r="D51" s="36">
        <v>901</v>
      </c>
      <c r="E51" s="36" t="s">
        <v>132</v>
      </c>
      <c r="F51" s="95" cm="1">
        <f t="array" ref="F51">IFERROR(_xlfn.IFS(Input[[#This Row],[Type]]="HRI",SUMIFS('FTSE | FTFE'!$I$8:$I$77,'FTSE | FTFE'!$H$8:$H$77,A51),Input[[#This Row],[Type]]="UNIV",SUMIFS('FTSE | FTFE'!$I$104:$I$139,'FTSE | FTFE'!$H$104:$H$139,A51),OR(Input[[#This Row],[Type]]="TSTC",Input[[#This Row],[Type]]="LSC"),SUMIFS('FTSE | FTFE'!$I$88:$I$96,'FTSE | FTFE'!$H$88:$H$96,A51)),"N/A")</f>
        <v>30</v>
      </c>
      <c r="G51" s="46">
        <v>227712477</v>
      </c>
      <c r="H51" s="46">
        <v>0</v>
      </c>
      <c r="I51" s="46">
        <v>0</v>
      </c>
      <c r="J51" s="46">
        <v>0</v>
      </c>
      <c r="K51" s="46">
        <v>0</v>
      </c>
      <c r="L51" s="46">
        <v>0</v>
      </c>
      <c r="M51" s="46">
        <v>0</v>
      </c>
      <c r="N51" s="46">
        <v>0</v>
      </c>
      <c r="O51" s="46">
        <v>0</v>
      </c>
      <c r="P51" s="46">
        <v>9565546</v>
      </c>
      <c r="Q51" s="46">
        <v>2090743</v>
      </c>
      <c r="R51" s="46">
        <v>0</v>
      </c>
      <c r="S51" s="46">
        <v>43096433</v>
      </c>
      <c r="T51" s="46">
        <v>0</v>
      </c>
      <c r="U51" s="46">
        <v>0</v>
      </c>
      <c r="V51" s="46">
        <v>0</v>
      </c>
      <c r="W51" s="46">
        <v>0</v>
      </c>
      <c r="X51" s="46">
        <v>0</v>
      </c>
      <c r="Y51" s="46">
        <v>0</v>
      </c>
      <c r="Z51" s="46">
        <v>0</v>
      </c>
      <c r="AA51" s="46">
        <v>0</v>
      </c>
      <c r="AB51" s="46">
        <v>0</v>
      </c>
      <c r="AC51" s="46">
        <v>0</v>
      </c>
      <c r="AD51" s="46">
        <v>0</v>
      </c>
      <c r="AE51" s="46">
        <v>0</v>
      </c>
      <c r="AF51" s="46">
        <v>0</v>
      </c>
      <c r="AG51" s="46">
        <v>0</v>
      </c>
      <c r="AH51" s="46">
        <v>0</v>
      </c>
      <c r="AI51" s="46">
        <v>0</v>
      </c>
      <c r="AJ51" s="46">
        <v>0</v>
      </c>
      <c r="AK51" s="46">
        <v>0</v>
      </c>
      <c r="AL51" s="46">
        <v>0</v>
      </c>
      <c r="AM51" s="46">
        <v>0</v>
      </c>
      <c r="AN51" s="46">
        <v>0</v>
      </c>
      <c r="AO51" s="46">
        <v>0</v>
      </c>
      <c r="AP51" s="46">
        <v>0</v>
      </c>
      <c r="AQ51" s="46">
        <v>-7615846</v>
      </c>
      <c r="AR51" s="46">
        <v>0</v>
      </c>
      <c r="AS51" s="46">
        <v>0</v>
      </c>
      <c r="AT51" s="46">
        <v>0</v>
      </c>
      <c r="AU51" s="46">
        <v>0</v>
      </c>
      <c r="AV51" s="46">
        <v>0</v>
      </c>
      <c r="AW51" s="46">
        <v>0</v>
      </c>
      <c r="AX51" s="46">
        <v>0</v>
      </c>
      <c r="AY51" s="46">
        <v>0</v>
      </c>
      <c r="AZ51" s="46">
        <v>0</v>
      </c>
      <c r="BA51" s="46">
        <v>0</v>
      </c>
      <c r="BB51" s="46">
        <v>0</v>
      </c>
      <c r="BC51" s="46">
        <v>0</v>
      </c>
      <c r="BD51" s="46">
        <v>0</v>
      </c>
      <c r="BE51" s="46">
        <v>0</v>
      </c>
      <c r="BF51" s="46">
        <v>0</v>
      </c>
      <c r="BG51" s="46">
        <v>0</v>
      </c>
      <c r="BH51" s="46">
        <v>0</v>
      </c>
      <c r="BI51" s="46">
        <v>0</v>
      </c>
      <c r="BJ51" s="46">
        <v>0</v>
      </c>
      <c r="BK51" s="46">
        <v>0</v>
      </c>
      <c r="BL51" s="46">
        <v>0</v>
      </c>
      <c r="BM51" s="46">
        <v>0</v>
      </c>
      <c r="BN51" s="46">
        <v>0</v>
      </c>
      <c r="BO51" s="46">
        <v>0</v>
      </c>
      <c r="BP51" s="46">
        <v>0</v>
      </c>
      <c r="BQ51" s="46">
        <v>0</v>
      </c>
      <c r="BR51" s="46">
        <v>0</v>
      </c>
      <c r="BS51" s="46">
        <v>0</v>
      </c>
      <c r="BT51" s="46">
        <v>0</v>
      </c>
      <c r="BU51" s="46">
        <v>0</v>
      </c>
      <c r="BV51" s="46">
        <v>0</v>
      </c>
      <c r="BW51" s="46">
        <v>0</v>
      </c>
      <c r="BX51" s="46">
        <v>0</v>
      </c>
      <c r="BY51" s="46">
        <v>0</v>
      </c>
      <c r="BZ51" s="46">
        <v>0</v>
      </c>
      <c r="CA51" s="46">
        <v>5931623</v>
      </c>
      <c r="CB51" s="46">
        <v>23464911</v>
      </c>
      <c r="CC51" s="46">
        <v>0</v>
      </c>
      <c r="CD51" s="46">
        <v>0</v>
      </c>
      <c r="CE51" s="46">
        <v>0</v>
      </c>
      <c r="CF51" s="46">
        <v>0</v>
      </c>
      <c r="CG51" s="46">
        <v>0</v>
      </c>
      <c r="CH51" s="46">
        <v>0</v>
      </c>
      <c r="CI51" s="46">
        <v>0</v>
      </c>
      <c r="CJ51" s="46">
        <v>0</v>
      </c>
      <c r="CK51" s="46">
        <v>0</v>
      </c>
      <c r="CL51" s="46">
        <v>0</v>
      </c>
      <c r="CM51" s="46">
        <v>0</v>
      </c>
      <c r="CN51" s="46">
        <v>0</v>
      </c>
      <c r="CO51" s="46">
        <v>0</v>
      </c>
      <c r="CP51" s="46">
        <v>0</v>
      </c>
      <c r="CQ51" s="46">
        <v>0</v>
      </c>
      <c r="CR51" s="46">
        <v>0</v>
      </c>
      <c r="CS51" s="46">
        <v>0</v>
      </c>
      <c r="CT51" s="46">
        <v>0</v>
      </c>
      <c r="CU51" s="46">
        <v>0</v>
      </c>
      <c r="CV51" s="46">
        <v>0</v>
      </c>
      <c r="CW51" s="46">
        <v>0</v>
      </c>
      <c r="CX51" s="46">
        <v>0</v>
      </c>
      <c r="CY51" s="46">
        <v>0</v>
      </c>
      <c r="CZ51" s="46">
        <v>0</v>
      </c>
      <c r="DA51" s="46">
        <v>0</v>
      </c>
      <c r="DB51" s="46">
        <v>-201110</v>
      </c>
      <c r="DC51" s="46">
        <v>0</v>
      </c>
      <c r="DD51" s="46">
        <v>0</v>
      </c>
      <c r="DE51" s="46">
        <v>0</v>
      </c>
      <c r="DF51" s="46">
        <v>0</v>
      </c>
      <c r="DG51" s="46">
        <v>0</v>
      </c>
      <c r="DH51" s="46">
        <v>0</v>
      </c>
      <c r="DI51" s="46">
        <v>0</v>
      </c>
      <c r="DJ51" s="46">
        <v>0</v>
      </c>
      <c r="DK51" s="46">
        <v>0</v>
      </c>
      <c r="DL51" s="46">
        <v>0</v>
      </c>
      <c r="DM51" s="46">
        <v>0</v>
      </c>
      <c r="DN51" s="46">
        <v>0</v>
      </c>
      <c r="DO51" s="46">
        <v>0</v>
      </c>
      <c r="DP51" s="46">
        <v>0</v>
      </c>
      <c r="DQ51" s="46">
        <v>0</v>
      </c>
      <c r="DR51" s="46">
        <v>0</v>
      </c>
      <c r="DS51" s="46">
        <v>0</v>
      </c>
      <c r="DT51" s="46">
        <v>-263532</v>
      </c>
      <c r="DU51" s="46">
        <v>-1463422</v>
      </c>
      <c r="DV51" s="46">
        <v>0</v>
      </c>
      <c r="DW51" s="46">
        <v>0</v>
      </c>
      <c r="DX51" s="46">
        <v>0</v>
      </c>
      <c r="DY51" s="46">
        <v>0</v>
      </c>
      <c r="DZ51" s="46">
        <v>0</v>
      </c>
      <c r="EA51" s="46">
        <v>0</v>
      </c>
      <c r="EB51" s="46">
        <v>0</v>
      </c>
      <c r="EC51" s="46">
        <v>0</v>
      </c>
      <c r="ED51" s="46">
        <v>0</v>
      </c>
      <c r="EE51" s="46">
        <v>0</v>
      </c>
      <c r="EF51" s="46">
        <v>0</v>
      </c>
      <c r="EG51" s="46">
        <v>0</v>
      </c>
      <c r="EH51" s="46">
        <v>0</v>
      </c>
      <c r="EI51" s="46">
        <v>0</v>
      </c>
      <c r="EJ51" s="46">
        <v>0</v>
      </c>
      <c r="EK51" s="46">
        <v>0</v>
      </c>
      <c r="EL51" s="46">
        <v>0</v>
      </c>
      <c r="EM51" s="46">
        <v>0</v>
      </c>
      <c r="EN51" s="46">
        <v>0</v>
      </c>
      <c r="EO51" s="46">
        <v>0</v>
      </c>
      <c r="EP51" s="46">
        <v>0</v>
      </c>
      <c r="EQ51" s="46">
        <v>0</v>
      </c>
      <c r="ER51" s="46">
        <v>0</v>
      </c>
      <c r="ES51" s="46">
        <v>0</v>
      </c>
      <c r="ET51" s="46">
        <v>0</v>
      </c>
      <c r="EU51" s="46">
        <v>0</v>
      </c>
      <c r="EV51" s="46">
        <v>0</v>
      </c>
      <c r="EW51" s="46">
        <v>0</v>
      </c>
      <c r="EX51" s="46">
        <v>0</v>
      </c>
      <c r="EY51" s="46">
        <v>0</v>
      </c>
      <c r="EZ51" s="46">
        <v>0</v>
      </c>
      <c r="FA51" s="46">
        <v>0</v>
      </c>
      <c r="FB51" s="46">
        <v>0</v>
      </c>
      <c r="FC51" s="46">
        <v>0</v>
      </c>
      <c r="FD51" s="46">
        <v>0</v>
      </c>
      <c r="FE51" s="46">
        <v>0</v>
      </c>
      <c r="FF51" s="46">
        <v>0</v>
      </c>
      <c r="FG51" s="46">
        <v>0</v>
      </c>
      <c r="FH51" s="46">
        <v>0</v>
      </c>
      <c r="FI51" s="46">
        <v>0</v>
      </c>
      <c r="FJ51" s="46">
        <v>0</v>
      </c>
      <c r="FK51" s="46">
        <v>0</v>
      </c>
      <c r="FL51" s="46">
        <v>0</v>
      </c>
      <c r="FM51" s="46">
        <v>43315</v>
      </c>
      <c r="FN51" s="46">
        <v>2829960</v>
      </c>
      <c r="FO51" s="46">
        <v>2050453</v>
      </c>
      <c r="FP51" s="46">
        <v>0</v>
      </c>
      <c r="FQ51" s="46">
        <v>0</v>
      </c>
      <c r="FR51" s="46">
        <v>0</v>
      </c>
      <c r="FS51" s="46">
        <v>0</v>
      </c>
      <c r="FT51" s="46">
        <v>0</v>
      </c>
      <c r="FU51" s="46">
        <v>0</v>
      </c>
      <c r="FV51" s="46">
        <v>0</v>
      </c>
      <c r="FW51" s="46">
        <v>0</v>
      </c>
      <c r="FX51" s="46">
        <v>0</v>
      </c>
      <c r="FY51" s="46">
        <v>0</v>
      </c>
      <c r="FZ51" s="46">
        <v>0</v>
      </c>
      <c r="GA51" s="46">
        <v>0</v>
      </c>
      <c r="GB51" s="46">
        <v>0</v>
      </c>
      <c r="GC51" s="46">
        <v>0</v>
      </c>
      <c r="GD51" s="46">
        <v>0</v>
      </c>
      <c r="GE51" s="46">
        <v>0</v>
      </c>
      <c r="GF51" s="46">
        <v>0</v>
      </c>
      <c r="GG51" s="46">
        <v>0</v>
      </c>
      <c r="GH51" s="46">
        <v>0</v>
      </c>
      <c r="GI51" s="46">
        <v>0</v>
      </c>
      <c r="GJ51" s="46">
        <v>0</v>
      </c>
      <c r="GK51" s="46">
        <v>0</v>
      </c>
      <c r="GL51" s="46">
        <v>0</v>
      </c>
      <c r="GM51" s="46">
        <v>0</v>
      </c>
      <c r="GN51" s="46">
        <v>0</v>
      </c>
      <c r="GO51" s="46">
        <v>0</v>
      </c>
      <c r="GP51" s="46">
        <v>0</v>
      </c>
      <c r="GQ51" s="46">
        <v>0</v>
      </c>
      <c r="GR51" s="46">
        <v>0</v>
      </c>
      <c r="GS51" s="46">
        <v>0</v>
      </c>
      <c r="GT51" s="46">
        <v>0</v>
      </c>
      <c r="GU51" s="46">
        <v>0</v>
      </c>
      <c r="GV51" s="46">
        <v>0</v>
      </c>
      <c r="GW51" s="46">
        <v>0</v>
      </c>
      <c r="GX51" s="46">
        <v>0</v>
      </c>
      <c r="GY51" s="46">
        <v>0</v>
      </c>
      <c r="GZ51" s="46">
        <v>0</v>
      </c>
      <c r="HA51" s="46">
        <v>0</v>
      </c>
      <c r="HB51" s="46">
        <v>0</v>
      </c>
      <c r="HC51" s="46">
        <v>0</v>
      </c>
      <c r="HD51" s="46">
        <v>0</v>
      </c>
      <c r="HE51" s="46">
        <v>0</v>
      </c>
      <c r="HF51" s="46">
        <v>-3393</v>
      </c>
      <c r="HG51" s="46">
        <v>-180872</v>
      </c>
      <c r="HH51" s="46">
        <v>-1001643</v>
      </c>
      <c r="HI51" s="46">
        <v>0</v>
      </c>
      <c r="HJ51" s="46">
        <v>0</v>
      </c>
      <c r="HK51" s="46">
        <v>0</v>
      </c>
      <c r="HL51" s="46">
        <v>0</v>
      </c>
      <c r="HM51" s="46">
        <v>0</v>
      </c>
      <c r="HN51" s="46">
        <v>0</v>
      </c>
      <c r="HO51" s="46">
        <v>0</v>
      </c>
      <c r="HP51" s="46">
        <v>119035091</v>
      </c>
      <c r="HQ51" s="46">
        <v>0</v>
      </c>
      <c r="HR51" s="46">
        <v>270159917</v>
      </c>
      <c r="HS51" s="46">
        <v>0</v>
      </c>
      <c r="HT51" s="46">
        <v>0</v>
      </c>
      <c r="HU51" s="46">
        <v>0</v>
      </c>
      <c r="HV51" s="46">
        <v>0</v>
      </c>
      <c r="HW51" s="46">
        <v>0</v>
      </c>
      <c r="HX51" s="46">
        <v>0</v>
      </c>
      <c r="HY51" s="46">
        <v>1107200414</v>
      </c>
      <c r="HZ51" s="46">
        <v>0</v>
      </c>
      <c r="IA51" s="46">
        <v>0</v>
      </c>
      <c r="IB51" s="46">
        <v>0</v>
      </c>
      <c r="IC51" s="46">
        <v>0</v>
      </c>
      <c r="ID51" s="46">
        <v>0</v>
      </c>
      <c r="IE51" s="46">
        <v>0</v>
      </c>
      <c r="IF51" s="46">
        <v>0</v>
      </c>
      <c r="IG51" s="46">
        <v>0</v>
      </c>
      <c r="IH51" s="46">
        <v>2996481969</v>
      </c>
      <c r="II51" s="46">
        <v>0</v>
      </c>
      <c r="IJ51" s="46">
        <v>0</v>
      </c>
      <c r="IK51" s="46">
        <v>0</v>
      </c>
      <c r="IL51" s="46">
        <v>0</v>
      </c>
      <c r="IM51" s="46">
        <v>0</v>
      </c>
      <c r="IN51" s="46">
        <v>0</v>
      </c>
      <c r="IO51" s="46">
        <v>0</v>
      </c>
      <c r="IP51" s="46">
        <v>1266142</v>
      </c>
      <c r="IQ51" s="46">
        <v>122689302</v>
      </c>
      <c r="IR51" s="46">
        <v>8660221</v>
      </c>
      <c r="IS51" s="46">
        <v>117992821</v>
      </c>
      <c r="IT51" s="46">
        <v>75356</v>
      </c>
      <c r="IU51" s="46">
        <v>2566318</v>
      </c>
      <c r="IV51" s="46">
        <v>0</v>
      </c>
      <c r="IW51" s="46">
        <v>0</v>
      </c>
      <c r="IX51" s="46">
        <v>0</v>
      </c>
      <c r="IY51" s="46">
        <v>0</v>
      </c>
      <c r="IZ51" s="46">
        <v>162658845</v>
      </c>
      <c r="JA51" s="46">
        <v>0</v>
      </c>
      <c r="JB51" s="46">
        <v>1901</v>
      </c>
      <c r="JC51" s="46">
        <v>0</v>
      </c>
      <c r="JD51" s="46">
        <v>0</v>
      </c>
      <c r="JE51" s="46">
        <v>0</v>
      </c>
      <c r="JF51" s="46">
        <v>0</v>
      </c>
      <c r="JG51" s="46">
        <v>0</v>
      </c>
      <c r="JH51" s="46">
        <v>0</v>
      </c>
      <c r="JI51" s="46">
        <v>342137967</v>
      </c>
      <c r="JJ51" s="46">
        <v>0</v>
      </c>
      <c r="JK51" s="46">
        <v>365802939</v>
      </c>
      <c r="JL51" s="46">
        <v>0</v>
      </c>
      <c r="JM51" s="46">
        <v>0</v>
      </c>
      <c r="JN51" s="46">
        <v>0</v>
      </c>
      <c r="JO51" s="46">
        <v>0</v>
      </c>
      <c r="JP51" s="46">
        <v>0</v>
      </c>
      <c r="JQ51" s="46">
        <v>0</v>
      </c>
      <c r="JR51" s="46">
        <v>21906188</v>
      </c>
      <c r="JS51" s="46">
        <v>0</v>
      </c>
      <c r="JT51" s="46">
        <v>-1113998</v>
      </c>
      <c r="JU51" s="46">
        <v>0</v>
      </c>
      <c r="JV51" s="46">
        <v>0</v>
      </c>
      <c r="JW51" s="46">
        <v>0</v>
      </c>
      <c r="JX51" s="46">
        <v>0</v>
      </c>
      <c r="JY51" s="46">
        <v>0</v>
      </c>
      <c r="JZ51" s="46">
        <v>0</v>
      </c>
      <c r="KA51" s="46">
        <v>0</v>
      </c>
      <c r="KB51" s="46">
        <v>39495737</v>
      </c>
      <c r="KC51" s="46">
        <v>0</v>
      </c>
      <c r="KD51" s="46">
        <v>0</v>
      </c>
      <c r="KE51" s="46">
        <v>0</v>
      </c>
      <c r="KF51" s="46">
        <v>0</v>
      </c>
      <c r="KG51" s="46">
        <v>0</v>
      </c>
      <c r="KH51" s="46">
        <v>0</v>
      </c>
      <c r="KI51" s="46">
        <v>247007</v>
      </c>
      <c r="KJ51" s="46">
        <v>527246863</v>
      </c>
      <c r="KK51" s="46">
        <v>0</v>
      </c>
      <c r="KL51" s="46">
        <v>0</v>
      </c>
      <c r="KM51" s="46">
        <v>13121</v>
      </c>
      <c r="KN51" s="46">
        <v>0</v>
      </c>
      <c r="KO51" s="46">
        <v>0</v>
      </c>
      <c r="KP51" s="46">
        <v>0</v>
      </c>
      <c r="KQ51" s="46">
        <v>294961</v>
      </c>
      <c r="KR51" s="46">
        <v>87679827</v>
      </c>
      <c r="KS51" s="46">
        <v>1551885822</v>
      </c>
      <c r="KT51" s="46">
        <v>0</v>
      </c>
      <c r="KU51" s="46">
        <v>10227194</v>
      </c>
      <c r="KV51" s="46">
        <v>0</v>
      </c>
      <c r="KW51" s="46">
        <v>0</v>
      </c>
      <c r="KX51" s="46">
        <v>0</v>
      </c>
      <c r="KY51" s="46">
        <v>0</v>
      </c>
      <c r="KZ51" s="46">
        <v>0</v>
      </c>
      <c r="LA51" s="46">
        <v>65539929</v>
      </c>
      <c r="LB51" s="46">
        <v>94549216</v>
      </c>
      <c r="LC51" s="46">
        <v>0</v>
      </c>
      <c r="LD51" s="46">
        <v>480743555</v>
      </c>
      <c r="LE51" s="46">
        <v>0</v>
      </c>
      <c r="LF51" s="46">
        <v>0</v>
      </c>
      <c r="LG51" s="46">
        <v>0</v>
      </c>
      <c r="LH51" s="46">
        <v>0</v>
      </c>
      <c r="LI51" s="46">
        <v>0</v>
      </c>
      <c r="LJ51" s="46">
        <v>15887</v>
      </c>
      <c r="LK51" s="46">
        <v>21166901</v>
      </c>
      <c r="LL51" s="46">
        <v>0</v>
      </c>
      <c r="LM51" s="46">
        <v>672476</v>
      </c>
      <c r="LN51" s="46">
        <v>0</v>
      </c>
      <c r="LO51" s="46">
        <v>0</v>
      </c>
      <c r="LP51" s="46">
        <v>0</v>
      </c>
      <c r="LQ51" s="46">
        <v>0</v>
      </c>
      <c r="LR51" s="46">
        <v>0</v>
      </c>
      <c r="LS51" s="46">
        <v>0</v>
      </c>
      <c r="LT51" s="46">
        <v>2983983953</v>
      </c>
      <c r="LU51" s="46">
        <v>0</v>
      </c>
      <c r="LV51" s="46">
        <v>133414</v>
      </c>
      <c r="LW51" s="46">
        <v>0</v>
      </c>
      <c r="LX51" s="46">
        <v>0</v>
      </c>
      <c r="LY51" s="46">
        <v>0</v>
      </c>
      <c r="LZ51" s="46">
        <v>0</v>
      </c>
      <c r="MA51" s="46">
        <v>0</v>
      </c>
      <c r="MB51" s="46">
        <v>45469411</v>
      </c>
      <c r="MC51" s="46">
        <v>73646092</v>
      </c>
      <c r="MD51" s="46">
        <v>0</v>
      </c>
      <c r="ME51" s="46">
        <v>3116287</v>
      </c>
      <c r="MF51" s="46">
        <v>0</v>
      </c>
      <c r="MG51" s="46">
        <v>0</v>
      </c>
      <c r="MH51" s="46">
        <v>0</v>
      </c>
      <c r="MI51" s="46">
        <v>0</v>
      </c>
      <c r="MJ51" s="46">
        <v>0</v>
      </c>
      <c r="MK51" s="46">
        <v>722429</v>
      </c>
      <c r="ML51" s="46">
        <v>1755874</v>
      </c>
      <c r="MM51" s="46">
        <v>0</v>
      </c>
      <c r="MN51" s="46">
        <v>78758</v>
      </c>
      <c r="MO51" s="46">
        <v>-255209</v>
      </c>
      <c r="MP51" s="46">
        <v>0</v>
      </c>
      <c r="MQ51" s="46">
        <v>0</v>
      </c>
      <c r="MR51" s="46">
        <v>0</v>
      </c>
      <c r="MS51" s="46">
        <v>0</v>
      </c>
      <c r="MT51" s="46">
        <v>32650140</v>
      </c>
      <c r="MU51" s="46">
        <v>82168367</v>
      </c>
      <c r="MV51" s="46">
        <v>0</v>
      </c>
      <c r="MW51" s="46">
        <v>26776888</v>
      </c>
      <c r="MX51" s="46">
        <v>0</v>
      </c>
      <c r="MY51" s="46">
        <v>0</v>
      </c>
      <c r="MZ51" s="46">
        <v>0</v>
      </c>
      <c r="NA51" s="46">
        <v>0</v>
      </c>
      <c r="NB51" s="46">
        <v>0</v>
      </c>
      <c r="NC51" s="46">
        <v>21838855</v>
      </c>
      <c r="ND51" s="46">
        <v>45482153</v>
      </c>
      <c r="NE51" s="46">
        <v>0</v>
      </c>
      <c r="NF51" s="46">
        <v>1637599</v>
      </c>
      <c r="NG51" s="46">
        <v>0</v>
      </c>
      <c r="NH51" s="46">
        <v>0</v>
      </c>
      <c r="NI51" s="46">
        <v>26304100</v>
      </c>
      <c r="NJ51" s="46">
        <v>0</v>
      </c>
      <c r="NK51" s="46">
        <v>0</v>
      </c>
      <c r="NL51" s="46">
        <v>0</v>
      </c>
      <c r="NM51" s="46">
        <v>1916373</v>
      </c>
      <c r="NN51" s="46">
        <v>0</v>
      </c>
      <c r="NO51" s="46">
        <v>5944382</v>
      </c>
      <c r="NP51" s="46">
        <v>0</v>
      </c>
      <c r="NQ51" s="46">
        <v>0</v>
      </c>
      <c r="NR51" s="46">
        <v>0</v>
      </c>
      <c r="NS51" s="46">
        <v>0</v>
      </c>
      <c r="NT51" s="46">
        <v>0</v>
      </c>
      <c r="NU51" s="46">
        <v>0</v>
      </c>
      <c r="NV51" s="46">
        <v>0</v>
      </c>
      <c r="NW51" s="46">
        <v>43158479</v>
      </c>
      <c r="NX51" s="46">
        <v>0</v>
      </c>
      <c r="NY51" s="46">
        <v>0</v>
      </c>
      <c r="NZ51" s="46">
        <v>0</v>
      </c>
      <c r="OA51" s="46">
        <v>0</v>
      </c>
      <c r="OB51" s="46">
        <v>0</v>
      </c>
      <c r="OC51" s="46">
        <v>0</v>
      </c>
      <c r="OD51" s="46">
        <v>415439</v>
      </c>
      <c r="OE51" s="46">
        <v>6356905</v>
      </c>
      <c r="OF51" s="46">
        <v>0</v>
      </c>
      <c r="OG51" s="46">
        <v>13706590</v>
      </c>
      <c r="OH51" s="46">
        <v>0</v>
      </c>
      <c r="OI51" s="46">
        <v>0</v>
      </c>
      <c r="OJ51" s="46">
        <v>0</v>
      </c>
      <c r="OK51" s="46">
        <v>0</v>
      </c>
      <c r="OL51" s="46">
        <v>0</v>
      </c>
      <c r="OM51" s="46">
        <v>0</v>
      </c>
      <c r="ON51" s="46">
        <v>-900000</v>
      </c>
      <c r="OO51" s="46">
        <v>0</v>
      </c>
      <c r="OP51" s="46">
        <v>0</v>
      </c>
      <c r="OQ51" s="46">
        <v>0</v>
      </c>
      <c r="OR51" s="46">
        <v>0</v>
      </c>
      <c r="OS51" s="46">
        <v>0</v>
      </c>
      <c r="OT51" s="46">
        <v>0</v>
      </c>
      <c r="OU51" s="46">
        <v>1450354</v>
      </c>
      <c r="OV51" s="46">
        <v>0</v>
      </c>
      <c r="OW51" s="46">
        <v>0</v>
      </c>
      <c r="OX51" s="46">
        <v>0</v>
      </c>
      <c r="OY51" s="46">
        <v>0</v>
      </c>
      <c r="OZ51" s="46">
        <v>0</v>
      </c>
      <c r="PA51" s="46">
        <v>0</v>
      </c>
      <c r="PB51" s="46">
        <v>-226321225</v>
      </c>
      <c r="PC51" s="46">
        <v>0</v>
      </c>
      <c r="PD51" s="46">
        <v>0</v>
      </c>
      <c r="PE51" s="46">
        <v>18613749</v>
      </c>
      <c r="PF51" s="46">
        <v>-262130409</v>
      </c>
      <c r="PG51" s="46">
        <v>5376821</v>
      </c>
      <c r="PH51" s="46">
        <v>-21705129</v>
      </c>
      <c r="PI51" s="46">
        <v>0</v>
      </c>
      <c r="PJ51" s="46">
        <v>10805583</v>
      </c>
      <c r="PK51" s="46">
        <v>225474174</v>
      </c>
      <c r="PL51" s="46">
        <v>0</v>
      </c>
      <c r="PM51" s="46">
        <v>34066966</v>
      </c>
      <c r="PN51" s="46">
        <v>0</v>
      </c>
      <c r="PO51" s="46">
        <v>0</v>
      </c>
      <c r="PP51" s="46">
        <v>0</v>
      </c>
      <c r="PQ51" s="46">
        <v>0</v>
      </c>
      <c r="PR51" s="46">
        <v>0</v>
      </c>
      <c r="PS51" s="46">
        <v>0</v>
      </c>
      <c r="PT51" s="46">
        <v>441505967</v>
      </c>
      <c r="PU51" s="46">
        <v>0</v>
      </c>
      <c r="PV51" s="46">
        <v>0</v>
      </c>
      <c r="PW51" s="46">
        <v>-16671554</v>
      </c>
      <c r="PX51" s="46">
        <v>-130474496</v>
      </c>
      <c r="PY51" s="46">
        <v>-8666152</v>
      </c>
      <c r="PZ51" s="46">
        <v>0</v>
      </c>
      <c r="QA51" s="46">
        <v>0</v>
      </c>
      <c r="QB51" s="46">
        <v>0</v>
      </c>
      <c r="QC51" s="46">
        <v>0</v>
      </c>
      <c r="QD51" s="46">
        <v>0</v>
      </c>
      <c r="QE51" s="46">
        <v>0</v>
      </c>
      <c r="QF51" s="46">
        <v>0</v>
      </c>
      <c r="QG51" s="46">
        <v>126641654</v>
      </c>
      <c r="QH51" s="46">
        <v>1052315</v>
      </c>
      <c r="QI51" s="46">
        <v>-36267839</v>
      </c>
      <c r="QJ51" s="46">
        <v>79322</v>
      </c>
      <c r="QK51" s="46">
        <v>106608025</v>
      </c>
      <c r="QL51" s="46">
        <v>0</v>
      </c>
      <c r="QM51" s="46">
        <v>0</v>
      </c>
      <c r="QN51" s="46">
        <v>0</v>
      </c>
      <c r="QO51" s="46">
        <v>0</v>
      </c>
      <c r="QP51" s="46">
        <v>0</v>
      </c>
      <c r="QQ51" s="46">
        <v>0</v>
      </c>
      <c r="QR51" s="46">
        <v>203440</v>
      </c>
      <c r="QS51" s="46">
        <v>0</v>
      </c>
      <c r="QT51" s="46">
        <v>17039678</v>
      </c>
      <c r="QU51" s="46">
        <v>0</v>
      </c>
      <c r="QV51" s="46">
        <v>0</v>
      </c>
      <c r="QW51" s="46">
        <v>0</v>
      </c>
      <c r="QX51" s="46">
        <v>0</v>
      </c>
      <c r="QY51" s="46">
        <v>0</v>
      </c>
      <c r="QZ51" s="46">
        <v>0</v>
      </c>
      <c r="RA51" s="46">
        <v>0</v>
      </c>
      <c r="RB51" s="46">
        <v>0</v>
      </c>
      <c r="RC51" s="46">
        <v>0</v>
      </c>
      <c r="RD51" s="46">
        <v>0</v>
      </c>
      <c r="RE51" s="46">
        <v>0</v>
      </c>
      <c r="RF51" s="46">
        <v>0</v>
      </c>
      <c r="RG51" s="46">
        <v>0</v>
      </c>
      <c r="RH51" s="46">
        <v>0</v>
      </c>
      <c r="RI51" s="46">
        <v>0</v>
      </c>
      <c r="RJ51" s="46">
        <v>0</v>
      </c>
      <c r="RK51" s="46">
        <v>0</v>
      </c>
      <c r="RL51" s="46">
        <v>0</v>
      </c>
      <c r="RM51" s="46">
        <v>0</v>
      </c>
      <c r="RN51" s="46">
        <v>0</v>
      </c>
      <c r="RO51" s="46">
        <v>-284725929</v>
      </c>
      <c r="RP51" s="46">
        <v>0</v>
      </c>
      <c r="RQ51" s="46">
        <v>0</v>
      </c>
      <c r="RR51" s="46">
        <v>0</v>
      </c>
      <c r="RS51" s="46">
        <v>0</v>
      </c>
      <c r="RT51" s="46">
        <v>0</v>
      </c>
      <c r="RU51" s="46">
        <v>0</v>
      </c>
      <c r="RV51" s="46">
        <v>0</v>
      </c>
      <c r="RW51" s="46">
        <v>0</v>
      </c>
      <c r="RX51" s="46">
        <v>0</v>
      </c>
      <c r="RY51" s="46">
        <v>0</v>
      </c>
      <c r="RZ51" s="46">
        <v>0</v>
      </c>
      <c r="SA51" s="46">
        <v>0</v>
      </c>
      <c r="SB51" s="46">
        <v>0</v>
      </c>
      <c r="SC51" s="46">
        <v>0</v>
      </c>
      <c r="SD51" s="46">
        <v>0</v>
      </c>
      <c r="SE51" s="46">
        <v>0</v>
      </c>
      <c r="SF51" s="46">
        <v>0</v>
      </c>
      <c r="SG51" s="46">
        <v>0</v>
      </c>
      <c r="SH51" s="46">
        <v>0</v>
      </c>
      <c r="SI51" s="46">
        <v>0</v>
      </c>
      <c r="SJ51" s="46">
        <v>0</v>
      </c>
      <c r="SK51" s="46">
        <v>0</v>
      </c>
      <c r="SL51" s="46">
        <v>0</v>
      </c>
      <c r="SM51" s="46">
        <v>0</v>
      </c>
      <c r="SN51" s="46">
        <v>0</v>
      </c>
      <c r="SO51" s="46">
        <v>0</v>
      </c>
      <c r="SP51" s="46">
        <v>0</v>
      </c>
      <c r="SQ51" s="46">
        <v>0</v>
      </c>
      <c r="SR51" s="46">
        <v>0</v>
      </c>
      <c r="SS51" s="46">
        <v>0</v>
      </c>
      <c r="ST51" s="46">
        <v>0</v>
      </c>
      <c r="SU51" s="46">
        <v>0</v>
      </c>
      <c r="SV51" s="46">
        <v>0</v>
      </c>
      <c r="SW51" s="46">
        <v>0</v>
      </c>
      <c r="SX51" s="46">
        <v>0</v>
      </c>
      <c r="SY51" s="46">
        <v>246800159</v>
      </c>
      <c r="SZ51" s="46">
        <v>1276129</v>
      </c>
      <c r="TA51" s="46">
        <v>15892623</v>
      </c>
      <c r="TB51" s="46">
        <v>85262</v>
      </c>
      <c r="TC51" s="46">
        <v>1717144</v>
      </c>
      <c r="TD51" s="46">
        <v>60151</v>
      </c>
      <c r="TE51" s="46">
        <v>0</v>
      </c>
      <c r="TF51" s="46">
        <v>524677</v>
      </c>
      <c r="TG51" s="46">
        <v>922948</v>
      </c>
      <c r="TH51" s="46">
        <v>0</v>
      </c>
      <c r="TI51" s="46">
        <v>0</v>
      </c>
      <c r="TJ51" s="46">
        <v>0</v>
      </c>
      <c r="TK51" s="46">
        <v>0</v>
      </c>
      <c r="TL51" s="46">
        <v>4620672</v>
      </c>
      <c r="TM51" s="46">
        <v>0</v>
      </c>
      <c r="TN51" s="46">
        <v>0</v>
      </c>
      <c r="TO51" s="46">
        <v>0</v>
      </c>
      <c r="TP51" s="46">
        <v>0</v>
      </c>
      <c r="TQ51" s="46">
        <v>0</v>
      </c>
      <c r="TR51" s="46">
        <v>0</v>
      </c>
      <c r="TS51" s="46">
        <v>0</v>
      </c>
      <c r="TT51" s="46">
        <v>0</v>
      </c>
      <c r="TU51" s="46">
        <v>788554</v>
      </c>
      <c r="TV51" s="46">
        <v>0</v>
      </c>
      <c r="TW51" s="46">
        <v>0</v>
      </c>
      <c r="TX51" s="46">
        <v>0</v>
      </c>
      <c r="TY51" s="46">
        <v>0</v>
      </c>
      <c r="TZ51" s="46">
        <v>0</v>
      </c>
      <c r="UA51" s="46">
        <v>0</v>
      </c>
      <c r="UB51" s="46">
        <v>0</v>
      </c>
      <c r="UC51" s="46">
        <v>8935039588</v>
      </c>
      <c r="UD51" s="46">
        <v>5938557619</v>
      </c>
      <c r="UE51" s="46">
        <v>1649792843</v>
      </c>
      <c r="UF51" s="46">
        <v>640832700</v>
      </c>
      <c r="UG51" s="46">
        <v>21855264</v>
      </c>
      <c r="UH51" s="46">
        <v>2984117367</v>
      </c>
      <c r="UI51" s="46">
        <v>122231790</v>
      </c>
      <c r="UJ51" s="46">
        <v>2301852</v>
      </c>
      <c r="UK51" s="46">
        <v>141595395</v>
      </c>
      <c r="UL51" s="46">
        <v>95262707</v>
      </c>
      <c r="UM51" s="46">
        <v>7860755</v>
      </c>
      <c r="UN51" s="46">
        <v>43158479</v>
      </c>
      <c r="UO51"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20478934</v>
      </c>
      <c r="UP51" s="46">
        <f>SUM(Input[[#This Row],[Oth Exp E&amp;G]],Input[[#This Row],[Oth Exp Desg]],Input[[#This Row],[Oth Exp Aux]],Input[[#This Row],[Oth Exp R Exp]],Input[[#This Row],[Oth Exp Loan]],Input[[#This Row],[Oth Exp Annuity]],Input[[#This Row],[Oth Exp Unexp]],Input[[#This Row],[Oth Exp R of Ind]],Input[[#This Row],[Oth Exp Inv in P]])</f>
        <v>550354</v>
      </c>
      <c r="UQ51" s="46"/>
      <c r="UR51" s="46"/>
      <c r="US51" s="8" t="s">
        <v>856</v>
      </c>
      <c r="UT51" s="47" t="s">
        <v>1310</v>
      </c>
      <c r="UU51" s="8" t="s">
        <v>1309</v>
      </c>
      <c r="UV51" s="8" t="s">
        <v>857</v>
      </c>
      <c r="UW51" s="47" t="s">
        <v>1310</v>
      </c>
      <c r="UX51" s="8" t="str">
        <f>LOWER("John.Schmidt@UTSouthwestern.edu")</f>
        <v>john.schmidt@utsouthwestern.edu</v>
      </c>
      <c r="UY51" s="51" cm="1">
        <f t="array" ref="UY51">IFERROR(_xlfn.IFS(Input[[#This Row],[Type]]="HRI",SUMIFS('FTSE | FTFE'!$P$8:$P$77,'FTSE | FTFE'!$H$8:$H$77,A51),Input[[#This Row],[Type]]="UNIV",SUMIFS('FTSE | FTFE'!$P$104:$P$139,'FTSE | FTFE'!$H$104:$H$139,A51),OR(Input[[#This Row],[Type]]="TSTC",Input[[#This Row],[Type]]="LSC"),SUMIFS('FTSE | FTFE'!$O$88:$O$96,'FTSE | FTFE'!$H$88:$H$96,A51),Input[[#This Row],[Type]]="AHM",SUMIFS(Hidden!$H$42:$H$45,Hidden!$G$42:$G$45,A51)),"N/A")</f>
        <v>2551</v>
      </c>
      <c r="UZ51" s="51" cm="1">
        <f t="array" ref="UZ51">IFERROR(_xlfn.IFS(Input[[#This Row],[Type]]="HRI",SUMIFS('FTSE | FTFE'!$Q$8:$Q$77,'FTSE | FTFE'!$H$8:$H$77,A51),Input[[#This Row],[Type]]="UNIV",SUMIFS('FTSE | FTFE'!$Q$104:$Q$139,'FTSE | FTFE'!$H$104:$H$139,A51),OR(Input[[#This Row],[Type]]="TSTC",Input[[#This Row],[Type]]="LSC"),SUMIFS('FTSE | FTFE'!$P$88:$P$96,'FTSE | FTFE'!$H$88:$H$96,A51)),"N/A")</f>
        <v>761.67</v>
      </c>
      <c r="VA5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282465199</v>
      </c>
      <c r="VB5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1" s="46">
        <f>SUM(Input[[#This Row],[Fed G&amp;C E&amp;G]],Input[[#This Row],[Fed G&amp;C Desg]],Input[[#This Row],[Fed G&amp;C R Exp]],Input[[#This Row],[Fed G&amp;C Loan]],Input[[#This Row],[Fed G&amp;C Annuity]],Input[[#This Row],[Fed G&amp;C Unexp]],Input[[#This Row],[Fed G&amp;C R of Ind]],Input[[#This Row],[Fed G&amp;C Inv in P]])</f>
        <v>389195008</v>
      </c>
      <c r="VD5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1663785733</v>
      </c>
      <c r="VE5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27468470</v>
      </c>
      <c r="VF5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2689010</v>
      </c>
      <c r="VG51" s="46">
        <f>SUM(Input[[#This Row],[Oth Inc E&amp;G]],Input[[#This Row],[Oth Exp Desg]],Input[[#This Row],[Oth Exp R Exp]],Input[[#This Row],[Oth Exp Loan]],Input[[#This Row],[Oth Exp Annuity]],Input[[#This Row],[Oth Exp Unexp]],Input[[#This Row],[Oth Exp R of Ind]],Input[[#This Row],[Oth Exp Inv in P]])</f>
        <v>797361</v>
      </c>
      <c r="VH51" s="46">
        <f>SUM(Input[[#This Row],[Instr E&amp;G]],Input[[#This Row],[Instr Desg]],Input[[#This Row],[Instr R Exp]],Input[[#This Row],[Instr Loan]],Input[[#This Row],[Instr Annuity]],Input[[#This Row],[Instr Unexp]],Input[[#This Row],[Instr R of Ind]],Input[[#This Row],[Instr Inv in P]])</f>
        <v>1649792843</v>
      </c>
      <c r="VI51" s="46">
        <f>SUM(Input[[#This Row],[Res E&amp;G]],Input[[#This Row],[Res Desg]],Input[[#This Row],[Res R Exp]],Input[[#This Row],[Res Loan]],Input[[#This Row],[Res Annuity]],Input[[#This Row],[Res Unexp]],Input[[#This Row],[Res R of Ind]],Input[[#This Row],[Res Inv in P]])</f>
        <v>640832700</v>
      </c>
      <c r="VJ51" s="46">
        <f>SUM(Input[[#This Row],[Acad Sup E&amp;G]],Input[[#This Row],[Acad Sup Desg]],Input[[#This Row],[Acad Sup R Exp]],Input[[#This Row],[Acad Sup Loan]],Input[[#This Row],[Acad Sup Annuity]],Input[[#This Row],[Acad Sup Unexp]],Input[[#This Row],[Acad Sup R of Ind]],Input[[#This Row],[Acad Sup Inv in P]])</f>
        <v>122231790</v>
      </c>
      <c r="VK51" s="46">
        <f>SUM(Input[[#This Row],[Stu Svc E&amp;G]],Input[[#This Row],[Stu Svc Desg]],Input[[#This Row],[Stu Svc R Exp]],Input[[#This Row],[Stu Svc Loan]],Input[[#This Row],[Stu Svc Annuity]],Input[[#This Row],[Stu Svc Unexp]],Input[[#This Row],[Stu Svc R of Ind]],Input[[#This Row],[Stu Svc Inv in P]])</f>
        <v>2301852</v>
      </c>
      <c r="VL51" s="46">
        <f>SUM(Input[[#This Row],[Inst. Spt E&amp;G]],Input[[#This Row],[Inst. Spt Desg]],Input[[#This Row],[Inst. Spt R Exp]],Input[[#This Row],[Inst. Spt Loan]],Input[[#This Row],[Inst. Spt Annuity]],Input[[#This Row],[Inst. Spt Unexp]],Input[[#This Row],[Inst. Spt R of Ind]],Input[[#This Row],[Inst. Spt Inv in P]])</f>
        <v>141595395</v>
      </c>
      <c r="VM51" s="46">
        <f>SUM(Input[[#This Row],[M&amp;O Plnt E&amp;G]],Input[[#This Row],[M&amp;O Plnt Desg]],Input[[#This Row],[M&amp;O Plnt R Exp]],Input[[#This Row],[M&amp;O Plnt Loan]],Input[[#This Row],[M&amp;O Plnt Annuity]],Input[[#This Row],[M&amp;O Plnt Unexp]],Input[[#This Row],[M&amp;O Plnt R of Ind]],Input[[#This Row],[M&amp;O Plnt Inv in P]])</f>
        <v>95262707</v>
      </c>
      <c r="VN51" s="46">
        <f>SUM(Input[[#This Row],[Schl &amp; Fell E&amp;G]],Input[[#This Row],[Schl &amp; Fell Desg]],Input[[#This Row],[Schl &amp; Fell R Exp]],Input[[#This Row],[Schl &amp; Fell Loan]],Input[[#This Row],[Schl &amp; Fell Annuity]],Input[[#This Row],[Schl &amp; Fell Unexp]],Input[[#This Row],[Schl &amp; Fell R of Ind]],Input[[#This Row],[Schl &amp; Fell Inv in P]])</f>
        <v>7860755</v>
      </c>
      <c r="VO51" s="46">
        <f>SUM(Input[[#This Row],[Cap Out fund E&amp;G]],Input[[#This Row],[Cap Out fund Desg]],Input[[#This Row],[Cap Out fund R Exp]],Input[[#This Row],[Cap Out fund Loan]],Input[[#This Row],[Cap Out fund Annuity]],Input[[#This Row],[Cap Out fund Unexp]],Input[[#This Row],[Cap Out fund R of Ind]],Input[[#This Row],[Cap Out fund Inv in P]])</f>
        <v>20478934</v>
      </c>
      <c r="VP51" s="46">
        <f>SUM(Input[[#This Row],[Oth Exp E&amp;G]],Input[[#This Row],[Oth Exp Desg]],Input[[#This Row],[Oth Exp R Exp]],Input[[#This Row],[Oth Exp Loan]],Input[[#This Row],[Oth Exp Annuity]],Input[[#This Row],[Oth Exp Unexp]],Input[[#This Row],[Oth Exp R of Ind]],Input[[#This Row],[Oth Exp Inv in P]],Input[[#This Row],[Oth Exp Inv in P]])</f>
        <v>2000708</v>
      </c>
    </row>
    <row r="52" spans="1:588" ht="30" customHeight="1" x14ac:dyDescent="0.3">
      <c r="A52" s="15" t="s">
        <v>30</v>
      </c>
      <c r="B52" s="36" t="s">
        <v>118</v>
      </c>
      <c r="C52" s="36" t="s">
        <v>117</v>
      </c>
      <c r="D52" s="36">
        <v>902</v>
      </c>
      <c r="E52" s="36" t="s">
        <v>132</v>
      </c>
      <c r="F52" s="95" cm="1">
        <f t="array" ref="F52">IFERROR(_xlfn.IFS(Input[[#This Row],[Type]]="HRI",SUMIFS('FTSE | FTFE'!$I$8:$I$77,'FTSE | FTFE'!$H$8:$H$77,A52),Input[[#This Row],[Type]]="UNIV",SUMIFS('FTSE | FTFE'!$I$104:$I$139,'FTSE | FTFE'!$H$104:$H$139,A52),OR(Input[[#This Row],[Type]]="TSTC",Input[[#This Row],[Type]]="LSC"),SUMIFS('FTSE | FTFE'!$I$88:$I$96,'FTSE | FTFE'!$H$88:$H$96,A52)),"N/A")</f>
        <v>104952</v>
      </c>
      <c r="G52" s="46">
        <v>418922868</v>
      </c>
      <c r="H52" s="46">
        <v>0</v>
      </c>
      <c r="I52" s="46">
        <v>0</v>
      </c>
      <c r="J52" s="46">
        <v>0</v>
      </c>
      <c r="K52" s="46">
        <v>0</v>
      </c>
      <c r="L52" s="46">
        <v>0</v>
      </c>
      <c r="M52" s="46">
        <v>0</v>
      </c>
      <c r="N52" s="46">
        <v>0</v>
      </c>
      <c r="O52" s="46">
        <v>0</v>
      </c>
      <c r="P52" s="46">
        <v>153090</v>
      </c>
      <c r="Q52" s="46">
        <v>0</v>
      </c>
      <c r="R52" s="46">
        <v>0</v>
      </c>
      <c r="S52" s="46">
        <v>24124657</v>
      </c>
      <c r="T52" s="46">
        <v>0</v>
      </c>
      <c r="U52" s="46">
        <v>0</v>
      </c>
      <c r="V52" s="46">
        <v>0</v>
      </c>
      <c r="W52" s="46">
        <v>0</v>
      </c>
      <c r="X52" s="46">
        <v>0</v>
      </c>
      <c r="Y52" s="46">
        <v>0</v>
      </c>
      <c r="Z52" s="46">
        <v>0</v>
      </c>
      <c r="AA52" s="46">
        <v>0</v>
      </c>
      <c r="AB52" s="46">
        <v>0</v>
      </c>
      <c r="AC52" s="46">
        <v>0</v>
      </c>
      <c r="AD52" s="46">
        <v>0</v>
      </c>
      <c r="AE52" s="46">
        <v>0</v>
      </c>
      <c r="AF52" s="46">
        <v>0</v>
      </c>
      <c r="AG52" s="46">
        <v>0</v>
      </c>
      <c r="AH52" s="46">
        <v>0</v>
      </c>
      <c r="AI52" s="46">
        <v>0</v>
      </c>
      <c r="AJ52" s="46">
        <v>0</v>
      </c>
      <c r="AK52" s="46">
        <v>0</v>
      </c>
      <c r="AL52" s="46">
        <v>0</v>
      </c>
      <c r="AM52" s="46">
        <v>0</v>
      </c>
      <c r="AN52" s="46">
        <v>0</v>
      </c>
      <c r="AO52" s="46">
        <v>0</v>
      </c>
      <c r="AP52" s="46">
        <v>0</v>
      </c>
      <c r="AQ52" s="46">
        <v>-1503677</v>
      </c>
      <c r="AR52" s="46">
        <v>-3142</v>
      </c>
      <c r="AS52" s="46">
        <v>0</v>
      </c>
      <c r="AT52" s="46">
        <v>0</v>
      </c>
      <c r="AU52" s="46">
        <v>0</v>
      </c>
      <c r="AV52" s="46">
        <v>0</v>
      </c>
      <c r="AW52" s="46">
        <v>0</v>
      </c>
      <c r="AX52" s="46">
        <v>0</v>
      </c>
      <c r="AY52" s="46">
        <v>0</v>
      </c>
      <c r="AZ52" s="46">
        <v>0</v>
      </c>
      <c r="BA52" s="46">
        <v>0</v>
      </c>
      <c r="BB52" s="46">
        <v>0</v>
      </c>
      <c r="BC52" s="46">
        <v>0</v>
      </c>
      <c r="BD52" s="46">
        <v>0</v>
      </c>
      <c r="BE52" s="46">
        <v>0</v>
      </c>
      <c r="BF52" s="46">
        <v>0</v>
      </c>
      <c r="BG52" s="46">
        <v>0</v>
      </c>
      <c r="BH52" s="46">
        <v>0</v>
      </c>
      <c r="BI52" s="46">
        <v>0</v>
      </c>
      <c r="BJ52" s="46">
        <v>0</v>
      </c>
      <c r="BK52" s="46">
        <v>0</v>
      </c>
      <c r="BL52" s="46">
        <v>0</v>
      </c>
      <c r="BM52" s="46">
        <v>0</v>
      </c>
      <c r="BN52" s="46">
        <v>0</v>
      </c>
      <c r="BO52" s="46">
        <v>0</v>
      </c>
      <c r="BP52" s="46">
        <v>0</v>
      </c>
      <c r="BQ52" s="46">
        <v>0</v>
      </c>
      <c r="BR52" s="46">
        <v>0</v>
      </c>
      <c r="BS52" s="46">
        <v>0</v>
      </c>
      <c r="BT52" s="46">
        <v>0</v>
      </c>
      <c r="BU52" s="46">
        <v>0</v>
      </c>
      <c r="BV52" s="46">
        <v>0</v>
      </c>
      <c r="BW52" s="46">
        <v>0</v>
      </c>
      <c r="BX52" s="46">
        <v>0</v>
      </c>
      <c r="BY52" s="46">
        <v>0</v>
      </c>
      <c r="BZ52" s="46">
        <v>0</v>
      </c>
      <c r="CA52" s="46">
        <v>14350005</v>
      </c>
      <c r="CB52" s="46">
        <v>30867502</v>
      </c>
      <c r="CC52" s="46">
        <v>0</v>
      </c>
      <c r="CD52" s="46">
        <v>0</v>
      </c>
      <c r="CE52" s="46">
        <v>0</v>
      </c>
      <c r="CF52" s="46">
        <v>0</v>
      </c>
      <c r="CG52" s="46">
        <v>0</v>
      </c>
      <c r="CH52" s="46">
        <v>0</v>
      </c>
      <c r="CI52" s="46">
        <v>0</v>
      </c>
      <c r="CJ52" s="46">
        <v>0</v>
      </c>
      <c r="CK52" s="46">
        <v>0</v>
      </c>
      <c r="CL52" s="46">
        <v>0</v>
      </c>
      <c r="CM52" s="46">
        <v>0</v>
      </c>
      <c r="CN52" s="46">
        <v>0</v>
      </c>
      <c r="CO52" s="46">
        <v>0</v>
      </c>
      <c r="CP52" s="46">
        <v>0</v>
      </c>
      <c r="CQ52" s="46">
        <v>0</v>
      </c>
      <c r="CR52" s="46">
        <v>0</v>
      </c>
      <c r="CS52" s="46">
        <v>0</v>
      </c>
      <c r="CT52" s="46">
        <v>0</v>
      </c>
      <c r="CU52" s="46">
        <v>0</v>
      </c>
      <c r="CV52" s="46">
        <v>0</v>
      </c>
      <c r="CW52" s="46">
        <v>0</v>
      </c>
      <c r="CX52" s="46">
        <v>0</v>
      </c>
      <c r="CY52" s="46">
        <v>0</v>
      </c>
      <c r="CZ52" s="46">
        <v>0</v>
      </c>
      <c r="DA52" s="46">
        <v>0</v>
      </c>
      <c r="DB52" s="46">
        <v>-256925</v>
      </c>
      <c r="DC52" s="46">
        <v>-703746</v>
      </c>
      <c r="DD52" s="46">
        <v>0</v>
      </c>
      <c r="DE52" s="46">
        <v>0</v>
      </c>
      <c r="DF52" s="46">
        <v>0</v>
      </c>
      <c r="DG52" s="46">
        <v>0</v>
      </c>
      <c r="DH52" s="46">
        <v>0</v>
      </c>
      <c r="DI52" s="46">
        <v>0</v>
      </c>
      <c r="DJ52" s="46">
        <v>0</v>
      </c>
      <c r="DK52" s="46">
        <v>0</v>
      </c>
      <c r="DL52" s="46">
        <v>0</v>
      </c>
      <c r="DM52" s="46">
        <v>0</v>
      </c>
      <c r="DN52" s="46">
        <v>0</v>
      </c>
      <c r="DO52" s="46">
        <v>0</v>
      </c>
      <c r="DP52" s="46">
        <v>0</v>
      </c>
      <c r="DQ52" s="46">
        <v>0</v>
      </c>
      <c r="DR52" s="46">
        <v>0</v>
      </c>
      <c r="DS52" s="46">
        <v>0</v>
      </c>
      <c r="DT52" s="46">
        <v>-4393882</v>
      </c>
      <c r="DU52" s="46">
        <v>-3318719</v>
      </c>
      <c r="DV52" s="46">
        <v>0</v>
      </c>
      <c r="DW52" s="46">
        <v>0</v>
      </c>
      <c r="DX52" s="46">
        <v>0</v>
      </c>
      <c r="DY52" s="46">
        <v>0</v>
      </c>
      <c r="DZ52" s="46">
        <v>0</v>
      </c>
      <c r="EA52" s="46">
        <v>0</v>
      </c>
      <c r="EB52" s="46">
        <v>0</v>
      </c>
      <c r="EC52" s="46">
        <v>0</v>
      </c>
      <c r="ED52" s="46">
        <v>0</v>
      </c>
      <c r="EE52" s="46">
        <v>0</v>
      </c>
      <c r="EF52" s="46">
        <v>0</v>
      </c>
      <c r="EG52" s="46">
        <v>0</v>
      </c>
      <c r="EH52" s="46">
        <v>0</v>
      </c>
      <c r="EI52" s="46">
        <v>0</v>
      </c>
      <c r="EJ52" s="46">
        <v>0</v>
      </c>
      <c r="EK52" s="46">
        <v>0</v>
      </c>
      <c r="EL52" s="46">
        <v>0</v>
      </c>
      <c r="EM52" s="46">
        <v>0</v>
      </c>
      <c r="EN52" s="46">
        <v>0</v>
      </c>
      <c r="EO52" s="46">
        <v>0</v>
      </c>
      <c r="EP52" s="46">
        <v>0</v>
      </c>
      <c r="EQ52" s="46">
        <v>0</v>
      </c>
      <c r="ER52" s="46">
        <v>0</v>
      </c>
      <c r="ES52" s="46">
        <v>0</v>
      </c>
      <c r="ET52" s="46">
        <v>0</v>
      </c>
      <c r="EU52" s="46">
        <v>0</v>
      </c>
      <c r="EV52" s="46">
        <v>0</v>
      </c>
      <c r="EW52" s="46">
        <v>0</v>
      </c>
      <c r="EX52" s="46">
        <v>0</v>
      </c>
      <c r="EY52" s="46">
        <v>0</v>
      </c>
      <c r="EZ52" s="46">
        <v>0</v>
      </c>
      <c r="FA52" s="46">
        <v>0</v>
      </c>
      <c r="FB52" s="46">
        <v>0</v>
      </c>
      <c r="FC52" s="46">
        <v>0</v>
      </c>
      <c r="FD52" s="46">
        <v>0</v>
      </c>
      <c r="FE52" s="46">
        <v>0</v>
      </c>
      <c r="FF52" s="46">
        <v>0</v>
      </c>
      <c r="FG52" s="46">
        <v>0</v>
      </c>
      <c r="FH52" s="46">
        <v>0</v>
      </c>
      <c r="FI52" s="46">
        <v>0</v>
      </c>
      <c r="FJ52" s="46">
        <v>0</v>
      </c>
      <c r="FK52" s="46">
        <v>0</v>
      </c>
      <c r="FL52" s="46">
        <v>0</v>
      </c>
      <c r="FM52" s="46">
        <v>3540582</v>
      </c>
      <c r="FN52" s="46">
        <v>11431511</v>
      </c>
      <c r="FO52" s="46">
        <v>923957</v>
      </c>
      <c r="FP52" s="46">
        <v>0</v>
      </c>
      <c r="FQ52" s="46">
        <v>0</v>
      </c>
      <c r="FR52" s="46">
        <v>0</v>
      </c>
      <c r="FS52" s="46">
        <v>0</v>
      </c>
      <c r="FT52" s="46">
        <v>0</v>
      </c>
      <c r="FU52" s="46">
        <v>0</v>
      </c>
      <c r="FV52" s="46">
        <v>0</v>
      </c>
      <c r="FW52" s="46">
        <v>0</v>
      </c>
      <c r="FX52" s="46">
        <v>0</v>
      </c>
      <c r="FY52" s="46">
        <v>0</v>
      </c>
      <c r="FZ52" s="46">
        <v>0</v>
      </c>
      <c r="GA52" s="46">
        <v>0</v>
      </c>
      <c r="GB52" s="46">
        <v>0</v>
      </c>
      <c r="GC52" s="46">
        <v>0</v>
      </c>
      <c r="GD52" s="46">
        <v>0</v>
      </c>
      <c r="GE52" s="46">
        <v>0</v>
      </c>
      <c r="GF52" s="46">
        <v>0</v>
      </c>
      <c r="GG52" s="46">
        <v>0</v>
      </c>
      <c r="GH52" s="46">
        <v>0</v>
      </c>
      <c r="GI52" s="46">
        <v>0</v>
      </c>
      <c r="GJ52" s="46">
        <v>0</v>
      </c>
      <c r="GK52" s="46">
        <v>0</v>
      </c>
      <c r="GL52" s="46">
        <v>0</v>
      </c>
      <c r="GM52" s="46">
        <v>0</v>
      </c>
      <c r="GN52" s="46">
        <v>0</v>
      </c>
      <c r="GO52" s="46">
        <v>0</v>
      </c>
      <c r="GP52" s="46">
        <v>0</v>
      </c>
      <c r="GQ52" s="46">
        <v>0</v>
      </c>
      <c r="GR52" s="46">
        <v>0</v>
      </c>
      <c r="GS52" s="46">
        <v>0</v>
      </c>
      <c r="GT52" s="46">
        <v>0</v>
      </c>
      <c r="GU52" s="46">
        <v>0</v>
      </c>
      <c r="GV52" s="46">
        <v>0</v>
      </c>
      <c r="GW52" s="46">
        <v>0</v>
      </c>
      <c r="GX52" s="46">
        <v>0</v>
      </c>
      <c r="GY52" s="46">
        <v>0</v>
      </c>
      <c r="GZ52" s="46">
        <v>0</v>
      </c>
      <c r="HA52" s="46">
        <v>0</v>
      </c>
      <c r="HB52" s="46">
        <v>0</v>
      </c>
      <c r="HC52" s="46">
        <v>0</v>
      </c>
      <c r="HD52" s="46">
        <v>0</v>
      </c>
      <c r="HE52" s="46">
        <v>0</v>
      </c>
      <c r="HF52" s="46">
        <v>-1111444</v>
      </c>
      <c r="HG52" s="46">
        <v>-1229059</v>
      </c>
      <c r="HH52" s="46">
        <v>-85021</v>
      </c>
      <c r="HI52" s="46">
        <v>0</v>
      </c>
      <c r="HJ52" s="46">
        <v>0</v>
      </c>
      <c r="HK52" s="46">
        <v>0</v>
      </c>
      <c r="HL52" s="46">
        <v>0</v>
      </c>
      <c r="HM52" s="46">
        <v>0</v>
      </c>
      <c r="HN52" s="46">
        <v>0</v>
      </c>
      <c r="HO52" s="46">
        <v>-953939</v>
      </c>
      <c r="HP52" s="46">
        <v>43224638</v>
      </c>
      <c r="HQ52" s="46">
        <v>0</v>
      </c>
      <c r="HR52" s="46">
        <v>185932021</v>
      </c>
      <c r="HS52" s="46">
        <v>0</v>
      </c>
      <c r="HT52" s="46">
        <v>0</v>
      </c>
      <c r="HU52" s="46">
        <v>2076364</v>
      </c>
      <c r="HV52" s="46">
        <v>0</v>
      </c>
      <c r="HW52" s="46">
        <v>0</v>
      </c>
      <c r="HX52" s="46">
        <v>0</v>
      </c>
      <c r="HY52" s="46">
        <v>343767036</v>
      </c>
      <c r="HZ52" s="46">
        <v>0</v>
      </c>
      <c r="IA52" s="46">
        <v>0</v>
      </c>
      <c r="IB52" s="46">
        <v>0</v>
      </c>
      <c r="IC52" s="46">
        <v>0</v>
      </c>
      <c r="ID52" s="46">
        <v>0</v>
      </c>
      <c r="IE52" s="46">
        <v>0</v>
      </c>
      <c r="IF52" s="46">
        <v>0</v>
      </c>
      <c r="IG52" s="46">
        <v>975144188</v>
      </c>
      <c r="IH52" s="46">
        <v>1203580475</v>
      </c>
      <c r="II52" s="46">
        <v>0</v>
      </c>
      <c r="IJ52" s="46">
        <v>0</v>
      </c>
      <c r="IK52" s="46">
        <v>0</v>
      </c>
      <c r="IL52" s="46">
        <v>0</v>
      </c>
      <c r="IM52" s="46">
        <v>0</v>
      </c>
      <c r="IN52" s="46">
        <v>0</v>
      </c>
      <c r="IO52" s="46">
        <v>0</v>
      </c>
      <c r="IP52" s="46">
        <v>3662574</v>
      </c>
      <c r="IQ52" s="46">
        <v>49145369</v>
      </c>
      <c r="IR52" s="46">
        <v>0</v>
      </c>
      <c r="IS52" s="46">
        <v>33918240</v>
      </c>
      <c r="IT52" s="46">
        <v>219695</v>
      </c>
      <c r="IU52" s="46">
        <v>0</v>
      </c>
      <c r="IV52" s="46">
        <v>3598230</v>
      </c>
      <c r="IW52" s="46">
        <v>0</v>
      </c>
      <c r="IX52" s="46">
        <v>0</v>
      </c>
      <c r="IY52" s="46">
        <v>15000</v>
      </c>
      <c r="IZ52" s="46">
        <v>113349</v>
      </c>
      <c r="JA52" s="46">
        <v>0</v>
      </c>
      <c r="JB52" s="46">
        <v>459834</v>
      </c>
      <c r="JC52" s="46">
        <v>0</v>
      </c>
      <c r="JD52" s="46">
        <v>0</v>
      </c>
      <c r="JE52" s="46">
        <v>0</v>
      </c>
      <c r="JF52" s="46">
        <v>0</v>
      </c>
      <c r="JG52" s="46">
        <v>0</v>
      </c>
      <c r="JH52" s="46">
        <v>2291095</v>
      </c>
      <c r="JI52" s="46">
        <v>72892774</v>
      </c>
      <c r="JJ52" s="46">
        <v>367510</v>
      </c>
      <c r="JK52" s="46">
        <v>34965933</v>
      </c>
      <c r="JL52" s="46">
        <v>0</v>
      </c>
      <c r="JM52" s="46">
        <v>0</v>
      </c>
      <c r="JN52" s="46">
        <v>40753188</v>
      </c>
      <c r="JO52" s="46">
        <v>0</v>
      </c>
      <c r="JP52" s="46">
        <v>0</v>
      </c>
      <c r="JQ52" s="46">
        <v>0</v>
      </c>
      <c r="JR52" s="46">
        <v>2244780</v>
      </c>
      <c r="JS52" s="46">
        <v>0</v>
      </c>
      <c r="JT52" s="46">
        <v>12735940</v>
      </c>
      <c r="JU52" s="46">
        <v>0</v>
      </c>
      <c r="JV52" s="46">
        <v>0</v>
      </c>
      <c r="JW52" s="46">
        <v>0</v>
      </c>
      <c r="JX52" s="46">
        <v>0</v>
      </c>
      <c r="JY52" s="46">
        <v>0</v>
      </c>
      <c r="JZ52" s="46">
        <v>0</v>
      </c>
      <c r="KA52" s="46">
        <v>0</v>
      </c>
      <c r="KB52" s="46">
        <v>15097631</v>
      </c>
      <c r="KC52" s="46">
        <v>0</v>
      </c>
      <c r="KD52" s="46">
        <v>0</v>
      </c>
      <c r="KE52" s="46">
        <v>0</v>
      </c>
      <c r="KF52" s="46">
        <v>0</v>
      </c>
      <c r="KG52" s="46">
        <v>0</v>
      </c>
      <c r="KH52" s="46">
        <v>0</v>
      </c>
      <c r="KI52" s="46">
        <v>691182</v>
      </c>
      <c r="KJ52" s="46">
        <v>165824725</v>
      </c>
      <c r="KK52" s="46">
        <v>0</v>
      </c>
      <c r="KL52" s="46">
        <v>1467387</v>
      </c>
      <c r="KM52" s="46">
        <v>432623</v>
      </c>
      <c r="KN52" s="46">
        <v>0</v>
      </c>
      <c r="KO52" s="46">
        <v>1193259</v>
      </c>
      <c r="KP52" s="46">
        <v>-134103</v>
      </c>
      <c r="KQ52" s="46">
        <v>0</v>
      </c>
      <c r="KR52" s="46">
        <v>91624203</v>
      </c>
      <c r="KS52" s="46">
        <v>428903340</v>
      </c>
      <c r="KT52" s="46">
        <v>0</v>
      </c>
      <c r="KU52" s="46">
        <v>25546352</v>
      </c>
      <c r="KV52" s="46">
        <v>0</v>
      </c>
      <c r="KW52" s="46">
        <v>0</v>
      </c>
      <c r="KX52" s="46">
        <v>0</v>
      </c>
      <c r="KY52" s="46">
        <v>0</v>
      </c>
      <c r="KZ52" s="46">
        <v>0</v>
      </c>
      <c r="LA52" s="46">
        <v>968479</v>
      </c>
      <c r="LB52" s="46">
        <v>23667185</v>
      </c>
      <c r="LC52" s="46">
        <v>0</v>
      </c>
      <c r="LD52" s="46">
        <v>146660371</v>
      </c>
      <c r="LE52" s="46">
        <v>0</v>
      </c>
      <c r="LF52" s="46">
        <v>0</v>
      </c>
      <c r="LG52" s="46">
        <v>0</v>
      </c>
      <c r="LH52" s="46">
        <v>0</v>
      </c>
      <c r="LI52" s="46">
        <v>0</v>
      </c>
      <c r="LJ52" s="46">
        <v>5074367</v>
      </c>
      <c r="LK52" s="46">
        <v>2457049</v>
      </c>
      <c r="LL52" s="46">
        <v>0</v>
      </c>
      <c r="LM52" s="46">
        <v>28439606</v>
      </c>
      <c r="LN52" s="46">
        <v>0</v>
      </c>
      <c r="LO52" s="46">
        <v>0</v>
      </c>
      <c r="LP52" s="46">
        <v>0</v>
      </c>
      <c r="LQ52" s="46">
        <v>0</v>
      </c>
      <c r="LR52" s="46">
        <v>0</v>
      </c>
      <c r="LS52" s="46">
        <v>979772324</v>
      </c>
      <c r="LT52" s="46">
        <v>1293555572</v>
      </c>
      <c r="LU52" s="46">
        <v>0</v>
      </c>
      <c r="LV52" s="46">
        <v>54590315</v>
      </c>
      <c r="LW52" s="46">
        <v>0</v>
      </c>
      <c r="LX52" s="46">
        <v>0</v>
      </c>
      <c r="LY52" s="46">
        <v>0</v>
      </c>
      <c r="LZ52" s="46">
        <v>0</v>
      </c>
      <c r="MA52" s="46">
        <v>0</v>
      </c>
      <c r="MB52" s="46">
        <v>41999489</v>
      </c>
      <c r="MC52" s="46">
        <v>36350790</v>
      </c>
      <c r="MD52" s="46">
        <v>0</v>
      </c>
      <c r="ME52" s="46">
        <v>2932738</v>
      </c>
      <c r="MF52" s="46">
        <v>0</v>
      </c>
      <c r="MG52" s="46">
        <v>0</v>
      </c>
      <c r="MH52" s="46">
        <v>0</v>
      </c>
      <c r="MI52" s="46">
        <v>0</v>
      </c>
      <c r="MJ52" s="46">
        <v>0</v>
      </c>
      <c r="MK52" s="46">
        <v>6622142</v>
      </c>
      <c r="ML52" s="46">
        <v>2432537</v>
      </c>
      <c r="MM52" s="46">
        <v>0</v>
      </c>
      <c r="MN52" s="46">
        <v>582961</v>
      </c>
      <c r="MO52" s="46">
        <v>140</v>
      </c>
      <c r="MP52" s="46">
        <v>0</v>
      </c>
      <c r="MQ52" s="46">
        <v>0</v>
      </c>
      <c r="MR52" s="46">
        <v>0</v>
      </c>
      <c r="MS52" s="46">
        <v>0</v>
      </c>
      <c r="MT52" s="46">
        <v>90071039</v>
      </c>
      <c r="MU52" s="46">
        <v>5853145</v>
      </c>
      <c r="MV52" s="46">
        <v>0</v>
      </c>
      <c r="MW52" s="46">
        <v>2269656</v>
      </c>
      <c r="MX52" s="46">
        <v>0</v>
      </c>
      <c r="MY52" s="46">
        <v>0</v>
      </c>
      <c r="MZ52" s="46">
        <v>0</v>
      </c>
      <c r="NA52" s="46">
        <v>0</v>
      </c>
      <c r="NB52" s="46">
        <v>0</v>
      </c>
      <c r="NC52" s="46">
        <v>52056927</v>
      </c>
      <c r="ND52" s="46">
        <v>12151771</v>
      </c>
      <c r="NE52" s="46">
        <v>0</v>
      </c>
      <c r="NF52" s="46">
        <v>4087861</v>
      </c>
      <c r="NG52" s="46">
        <v>0</v>
      </c>
      <c r="NH52" s="46">
        <v>0</v>
      </c>
      <c r="NI52" s="46">
        <v>11836812</v>
      </c>
      <c r="NJ52" s="46">
        <v>0</v>
      </c>
      <c r="NK52" s="46">
        <v>0</v>
      </c>
      <c r="NL52" s="46">
        <v>115354</v>
      </c>
      <c r="NM52" s="46">
        <v>1877267</v>
      </c>
      <c r="NN52" s="46">
        <v>0</v>
      </c>
      <c r="NO52" s="46">
        <v>5028493</v>
      </c>
      <c r="NP52" s="46">
        <v>0</v>
      </c>
      <c r="NQ52" s="46">
        <v>0</v>
      </c>
      <c r="NR52" s="46">
        <v>0</v>
      </c>
      <c r="NS52" s="46">
        <v>0</v>
      </c>
      <c r="NT52" s="46">
        <v>0</v>
      </c>
      <c r="NU52" s="46">
        <v>0</v>
      </c>
      <c r="NV52" s="46">
        <v>0</v>
      </c>
      <c r="NW52" s="46">
        <v>10806214</v>
      </c>
      <c r="NX52" s="46">
        <v>189629</v>
      </c>
      <c r="NY52" s="46">
        <v>0</v>
      </c>
      <c r="NZ52" s="46">
        <v>0</v>
      </c>
      <c r="OA52" s="46">
        <v>0</v>
      </c>
      <c r="OB52" s="46">
        <v>0</v>
      </c>
      <c r="OC52" s="46">
        <v>0</v>
      </c>
      <c r="OD52" s="46">
        <v>132034</v>
      </c>
      <c r="OE52" s="46">
        <v>8259686</v>
      </c>
      <c r="OF52" s="46">
        <v>12413</v>
      </c>
      <c r="OG52" s="46">
        <v>8567661</v>
      </c>
      <c r="OH52" s="46">
        <v>0</v>
      </c>
      <c r="OI52" s="46">
        <v>0</v>
      </c>
      <c r="OJ52" s="46">
        <v>0</v>
      </c>
      <c r="OK52" s="46">
        <v>0</v>
      </c>
      <c r="OL52" s="46">
        <v>0</v>
      </c>
      <c r="OM52" s="46">
        <v>2756727</v>
      </c>
      <c r="ON52" s="46">
        <v>2365407</v>
      </c>
      <c r="OO52" s="46">
        <v>0</v>
      </c>
      <c r="OP52" s="46">
        <v>4423</v>
      </c>
      <c r="OQ52" s="46">
        <v>117481</v>
      </c>
      <c r="OR52" s="46">
        <v>0</v>
      </c>
      <c r="OS52" s="46">
        <v>30694</v>
      </c>
      <c r="OT52" s="46">
        <v>0</v>
      </c>
      <c r="OU52" s="46">
        <v>0</v>
      </c>
      <c r="OV52" s="46">
        <v>0</v>
      </c>
      <c r="OW52" s="46">
        <v>0</v>
      </c>
      <c r="OX52" s="46">
        <v>0</v>
      </c>
      <c r="OY52" s="46">
        <v>0</v>
      </c>
      <c r="OZ52" s="46">
        <v>0</v>
      </c>
      <c r="PA52" s="46">
        <v>0</v>
      </c>
      <c r="PB52" s="46">
        <v>-183742535</v>
      </c>
      <c r="PC52" s="46">
        <v>0</v>
      </c>
      <c r="PD52" s="46">
        <v>0</v>
      </c>
      <c r="PE52" s="46">
        <v>-92052580</v>
      </c>
      <c r="PF52" s="46">
        <v>7160488</v>
      </c>
      <c r="PG52" s="46">
        <v>68370</v>
      </c>
      <c r="PH52" s="46">
        <v>-11694226</v>
      </c>
      <c r="PI52" s="46">
        <v>-54222</v>
      </c>
      <c r="PJ52" s="46">
        <v>13019782</v>
      </c>
      <c r="PK52" s="46">
        <v>66864966</v>
      </c>
      <c r="PL52" s="46">
        <v>0</v>
      </c>
      <c r="PM52" s="46">
        <v>27414646</v>
      </c>
      <c r="PN52" s="46">
        <v>0</v>
      </c>
      <c r="PO52" s="46">
        <v>0</v>
      </c>
      <c r="PP52" s="46">
        <v>0</v>
      </c>
      <c r="PQ52" s="46">
        <v>0</v>
      </c>
      <c r="PR52" s="46">
        <v>0</v>
      </c>
      <c r="PS52" s="46">
        <v>0</v>
      </c>
      <c r="PT52" s="46">
        <v>98403246</v>
      </c>
      <c r="PU52" s="46">
        <v>0</v>
      </c>
      <c r="PV52" s="46">
        <v>0</v>
      </c>
      <c r="PW52" s="46">
        <v>-51267612</v>
      </c>
      <c r="PX52" s="46">
        <v>-85577686</v>
      </c>
      <c r="PY52" s="46">
        <v>-2066342</v>
      </c>
      <c r="PZ52" s="46">
        <v>0</v>
      </c>
      <c r="QA52" s="46">
        <v>0</v>
      </c>
      <c r="QB52" s="46">
        <v>0</v>
      </c>
      <c r="QC52" s="46">
        <v>-8993409</v>
      </c>
      <c r="QD52" s="46">
        <v>0</v>
      </c>
      <c r="QE52" s="46">
        <v>0</v>
      </c>
      <c r="QF52" s="46">
        <v>0</v>
      </c>
      <c r="QG52" s="46">
        <v>66350526</v>
      </c>
      <c r="QH52" s="46">
        <v>0</v>
      </c>
      <c r="QI52" s="46">
        <v>0</v>
      </c>
      <c r="QJ52" s="46">
        <v>0</v>
      </c>
      <c r="QK52" s="46">
        <v>38030264</v>
      </c>
      <c r="QL52" s="46">
        <v>0</v>
      </c>
      <c r="QM52" s="46">
        <v>0</v>
      </c>
      <c r="QN52" s="46">
        <v>0</v>
      </c>
      <c r="QO52" s="46">
        <v>0</v>
      </c>
      <c r="QP52" s="46">
        <v>0</v>
      </c>
      <c r="QQ52" s="46">
        <v>0</v>
      </c>
      <c r="QR52" s="46">
        <v>133118</v>
      </c>
      <c r="QS52" s="46">
        <v>0</v>
      </c>
      <c r="QT52" s="46">
        <v>3855348</v>
      </c>
      <c r="QU52" s="46">
        <v>0</v>
      </c>
      <c r="QV52" s="46">
        <v>0</v>
      </c>
      <c r="QW52" s="46">
        <v>0</v>
      </c>
      <c r="QX52" s="46">
        <v>0</v>
      </c>
      <c r="QY52" s="46">
        <v>0</v>
      </c>
      <c r="QZ52" s="46">
        <v>0</v>
      </c>
      <c r="RA52" s="46">
        <v>0</v>
      </c>
      <c r="RB52" s="46">
        <v>0</v>
      </c>
      <c r="RC52" s="46">
        <v>0</v>
      </c>
      <c r="RD52" s="46">
        <v>0</v>
      </c>
      <c r="RE52" s="46">
        <v>0</v>
      </c>
      <c r="RF52" s="46">
        <v>0</v>
      </c>
      <c r="RG52" s="46">
        <v>0</v>
      </c>
      <c r="RH52" s="46">
        <v>0</v>
      </c>
      <c r="RI52" s="46">
        <v>0</v>
      </c>
      <c r="RJ52" s="46">
        <v>0</v>
      </c>
      <c r="RK52" s="46">
        <v>0</v>
      </c>
      <c r="RL52" s="46">
        <v>0</v>
      </c>
      <c r="RM52" s="46">
        <v>0</v>
      </c>
      <c r="RN52" s="46">
        <v>0</v>
      </c>
      <c r="RO52" s="46">
        <v>-239455749</v>
      </c>
      <c r="RP52" s="46">
        <v>0</v>
      </c>
      <c r="RQ52" s="46">
        <v>0</v>
      </c>
      <c r="RR52" s="46">
        <v>0</v>
      </c>
      <c r="RS52" s="46">
        <v>0</v>
      </c>
      <c r="RT52" s="46">
        <v>0</v>
      </c>
      <c r="RU52" s="46">
        <v>0</v>
      </c>
      <c r="RV52" s="46">
        <v>0</v>
      </c>
      <c r="RW52" s="46">
        <v>0</v>
      </c>
      <c r="RX52" s="46">
        <v>0</v>
      </c>
      <c r="RY52" s="46">
        <v>0</v>
      </c>
      <c r="RZ52" s="46">
        <v>0</v>
      </c>
      <c r="SA52" s="46">
        <v>0</v>
      </c>
      <c r="SB52" s="46">
        <v>0</v>
      </c>
      <c r="SC52" s="46">
        <v>0</v>
      </c>
      <c r="SD52" s="46">
        <v>0</v>
      </c>
      <c r="SE52" s="46">
        <v>0</v>
      </c>
      <c r="SF52" s="46">
        <v>0</v>
      </c>
      <c r="SG52" s="46">
        <v>0</v>
      </c>
      <c r="SH52" s="46">
        <v>0</v>
      </c>
      <c r="SI52" s="46">
        <v>0</v>
      </c>
      <c r="SJ52" s="46">
        <v>0</v>
      </c>
      <c r="SK52" s="46">
        <v>0</v>
      </c>
      <c r="SL52" s="46">
        <v>0</v>
      </c>
      <c r="SM52" s="46">
        <v>0</v>
      </c>
      <c r="SN52" s="46">
        <v>0</v>
      </c>
      <c r="SO52" s="46">
        <v>0</v>
      </c>
      <c r="SP52" s="46">
        <v>0</v>
      </c>
      <c r="SQ52" s="46">
        <v>0</v>
      </c>
      <c r="SR52" s="46">
        <v>0</v>
      </c>
      <c r="SS52" s="46">
        <v>0</v>
      </c>
      <c r="ST52" s="46">
        <v>0</v>
      </c>
      <c r="SU52" s="46">
        <v>0</v>
      </c>
      <c r="SV52" s="46">
        <v>0</v>
      </c>
      <c r="SW52" s="46">
        <v>0</v>
      </c>
      <c r="SX52" s="46">
        <v>0</v>
      </c>
      <c r="SY52" s="46">
        <v>200714328</v>
      </c>
      <c r="SZ52" s="46">
        <v>1435675</v>
      </c>
      <c r="TA52" s="46">
        <v>6752721</v>
      </c>
      <c r="TB52" s="46">
        <v>904951</v>
      </c>
      <c r="TC52" s="46">
        <v>3228102</v>
      </c>
      <c r="TD52" s="46">
        <v>1308446</v>
      </c>
      <c r="TE52" s="46">
        <v>0</v>
      </c>
      <c r="TF52" s="46">
        <v>2932659</v>
      </c>
      <c r="TG52" s="46">
        <v>358369</v>
      </c>
      <c r="TH52" s="46">
        <v>38458</v>
      </c>
      <c r="TI52" s="46">
        <v>12413</v>
      </c>
      <c r="TJ52" s="46">
        <v>0</v>
      </c>
      <c r="TK52" s="46">
        <v>120636</v>
      </c>
      <c r="TL52" s="46">
        <v>2528585</v>
      </c>
      <c r="TM52" s="46">
        <v>0</v>
      </c>
      <c r="TN52" s="46">
        <v>0</v>
      </c>
      <c r="TO52" s="46">
        <v>0</v>
      </c>
      <c r="TP52" s="46">
        <v>0</v>
      </c>
      <c r="TQ52" s="46">
        <v>0</v>
      </c>
      <c r="TR52" s="46">
        <v>0</v>
      </c>
      <c r="TS52" s="46">
        <v>0</v>
      </c>
      <c r="TT52" s="46">
        <v>0</v>
      </c>
      <c r="TU52" s="46">
        <v>204441</v>
      </c>
      <c r="TV52" s="46">
        <v>62963.71</v>
      </c>
      <c r="TW52" s="46">
        <v>0</v>
      </c>
      <c r="TX52" s="46">
        <v>0</v>
      </c>
      <c r="TY52" s="46">
        <v>0</v>
      </c>
      <c r="TZ52" s="46">
        <v>0</v>
      </c>
      <c r="UA52" s="46">
        <v>0</v>
      </c>
      <c r="UB52" s="46">
        <v>0</v>
      </c>
      <c r="UC52" s="46">
        <v>7838639283</v>
      </c>
      <c r="UD52" s="46">
        <v>5659914622</v>
      </c>
      <c r="UE52" s="46">
        <v>546073895</v>
      </c>
      <c r="UF52" s="46">
        <v>171296035</v>
      </c>
      <c r="UG52" s="46">
        <v>35971022</v>
      </c>
      <c r="UH52" s="46">
        <v>2327918211</v>
      </c>
      <c r="UI52" s="46">
        <v>81283017</v>
      </c>
      <c r="UJ52" s="46">
        <v>9637780</v>
      </c>
      <c r="UK52" s="46">
        <v>98193840</v>
      </c>
      <c r="UL52" s="46">
        <v>80133371</v>
      </c>
      <c r="UM52" s="46">
        <v>7021114</v>
      </c>
      <c r="UN52" s="46">
        <v>10995843</v>
      </c>
      <c r="UO52"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16971794</v>
      </c>
      <c r="UP52" s="46">
        <f>SUM(Input[[#This Row],[Oth Exp E&amp;G]],Input[[#This Row],[Oth Exp Desg]],Input[[#This Row],[Oth Exp Aux]],Input[[#This Row],[Oth Exp R Exp]],Input[[#This Row],[Oth Exp Loan]],Input[[#This Row],[Oth Exp Annuity]],Input[[#This Row],[Oth Exp Unexp]],Input[[#This Row],[Oth Exp R of Ind]],Input[[#This Row],[Oth Exp Inv in P]])</f>
        <v>5274732</v>
      </c>
      <c r="UQ52" s="46"/>
      <c r="UR52" s="46"/>
      <c r="US52" s="8" t="s">
        <v>851</v>
      </c>
      <c r="UT52" s="47">
        <v>4097727525</v>
      </c>
      <c r="UU52" s="8" t="s">
        <v>86</v>
      </c>
      <c r="UV52" s="8" t="s">
        <v>852</v>
      </c>
      <c r="UW52" s="47">
        <v>4097476305</v>
      </c>
      <c r="UX52" s="8" t="s">
        <v>853</v>
      </c>
      <c r="UY52" s="51" cm="1">
        <f t="array" ref="UY52">IFERROR(_xlfn.IFS(Input[[#This Row],[Type]]="HRI",SUMIFS('FTSE | FTFE'!$P$8:$P$77,'FTSE | FTFE'!$H$8:$H$77,A52),Input[[#This Row],[Type]]="UNIV",SUMIFS('FTSE | FTFE'!$P$104:$P$139,'FTSE | FTFE'!$H$104:$H$139,A52),OR(Input[[#This Row],[Type]]="TSTC",Input[[#This Row],[Type]]="LSC"),SUMIFS('FTSE | FTFE'!$O$88:$O$96,'FTSE | FTFE'!$H$88:$H$96,A52),Input[[#This Row],[Type]]="AHM",SUMIFS(Hidden!$H$42:$H$45,Hidden!$G$42:$G$45,A52)),"N/A")</f>
        <v>3678</v>
      </c>
      <c r="UZ52" s="51" cm="1">
        <f t="array" ref="UZ52">IFERROR(_xlfn.IFS(Input[[#This Row],[Type]]="HRI",SUMIFS('FTSE | FTFE'!$Q$8:$Q$77,'FTSE | FTFE'!$H$8:$H$77,A52),Input[[#This Row],[Type]]="UNIV",SUMIFS('FTSE | FTFE'!$Q$104:$Q$139,'FTSE | FTFE'!$H$104:$H$139,A52),OR(Input[[#This Row],[Type]]="TSTC",Input[[#This Row],[Type]]="LSC"),SUMIFS('FTSE | FTFE'!$P$88:$P$96,'FTSE | FTFE'!$H$88:$H$96,A52)),"N/A")</f>
        <v>230.3</v>
      </c>
      <c r="VA5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443200615</v>
      </c>
      <c r="VB5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2" s="46">
        <f>SUM(Input[[#This Row],[Fed G&amp;C E&amp;G]],Input[[#This Row],[Fed G&amp;C Desg]],Input[[#This Row],[Fed G&amp;C R Exp]],Input[[#This Row],[Fed G&amp;C Loan]],Input[[#This Row],[Fed G&amp;C Annuity]],Input[[#This Row],[Fed G&amp;C Unexp]],Input[[#This Row],[Fed G&amp;C R of Ind]],Input[[#This Row],[Fed G&amp;C Inv in P]])</f>
        <v>230279084</v>
      </c>
      <c r="VD5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426491074</v>
      </c>
      <c r="VE5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36544235</v>
      </c>
      <c r="VF5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12631590</v>
      </c>
      <c r="VG52" s="46">
        <f>SUM(Input[[#This Row],[Oth Inc E&amp;G]],Input[[#This Row],[Oth Exp Desg]],Input[[#This Row],[Oth Exp R Exp]],Input[[#This Row],[Oth Exp Loan]],Input[[#This Row],[Oth Exp Annuity]],Input[[#This Row],[Oth Exp Unexp]],Input[[#This Row],[Oth Exp R of Ind]],Input[[#This Row],[Oth Exp Inv in P]])</f>
        <v>3209187</v>
      </c>
      <c r="VH52" s="46">
        <f>SUM(Input[[#This Row],[Instr E&amp;G]],Input[[#This Row],[Instr Desg]],Input[[#This Row],[Instr R Exp]],Input[[#This Row],[Instr Loan]],Input[[#This Row],[Instr Annuity]],Input[[#This Row],[Instr Unexp]],Input[[#This Row],[Instr R of Ind]],Input[[#This Row],[Instr Inv in P]])</f>
        <v>546073895</v>
      </c>
      <c r="VI52" s="46">
        <f>SUM(Input[[#This Row],[Res E&amp;G]],Input[[#This Row],[Res Desg]],Input[[#This Row],[Res R Exp]],Input[[#This Row],[Res Loan]],Input[[#This Row],[Res Annuity]],Input[[#This Row],[Res Unexp]],Input[[#This Row],[Res R of Ind]],Input[[#This Row],[Res Inv in P]])</f>
        <v>171296035</v>
      </c>
      <c r="VJ52" s="46">
        <f>SUM(Input[[#This Row],[Acad Sup E&amp;G]],Input[[#This Row],[Acad Sup Desg]],Input[[#This Row],[Acad Sup R Exp]],Input[[#This Row],[Acad Sup Loan]],Input[[#This Row],[Acad Sup Annuity]],Input[[#This Row],[Acad Sup Unexp]],Input[[#This Row],[Acad Sup R of Ind]],Input[[#This Row],[Acad Sup Inv in P]])</f>
        <v>81283017</v>
      </c>
      <c r="VK52" s="46">
        <f>SUM(Input[[#This Row],[Stu Svc E&amp;G]],Input[[#This Row],[Stu Svc Desg]],Input[[#This Row],[Stu Svc R Exp]],Input[[#This Row],[Stu Svc Loan]],Input[[#This Row],[Stu Svc Annuity]],Input[[#This Row],[Stu Svc Unexp]],Input[[#This Row],[Stu Svc R of Ind]],Input[[#This Row],[Stu Svc Inv in P]])</f>
        <v>9637780</v>
      </c>
      <c r="VL52" s="46">
        <f>SUM(Input[[#This Row],[Inst. Spt E&amp;G]],Input[[#This Row],[Inst. Spt Desg]],Input[[#This Row],[Inst. Spt R Exp]],Input[[#This Row],[Inst. Spt Loan]],Input[[#This Row],[Inst. Spt Annuity]],Input[[#This Row],[Inst. Spt Unexp]],Input[[#This Row],[Inst. Spt R of Ind]],Input[[#This Row],[Inst. Spt Inv in P]])</f>
        <v>98193840</v>
      </c>
      <c r="VM52" s="46">
        <f>SUM(Input[[#This Row],[M&amp;O Plnt E&amp;G]],Input[[#This Row],[M&amp;O Plnt Desg]],Input[[#This Row],[M&amp;O Plnt R Exp]],Input[[#This Row],[M&amp;O Plnt Loan]],Input[[#This Row],[M&amp;O Plnt Annuity]],Input[[#This Row],[M&amp;O Plnt Unexp]],Input[[#This Row],[M&amp;O Plnt R of Ind]],Input[[#This Row],[M&amp;O Plnt Inv in P]])</f>
        <v>80133371</v>
      </c>
      <c r="VN52" s="46">
        <f>SUM(Input[[#This Row],[Schl &amp; Fell E&amp;G]],Input[[#This Row],[Schl &amp; Fell Desg]],Input[[#This Row],[Schl &amp; Fell R Exp]],Input[[#This Row],[Schl &amp; Fell Loan]],Input[[#This Row],[Schl &amp; Fell Annuity]],Input[[#This Row],[Schl &amp; Fell Unexp]],Input[[#This Row],[Schl &amp; Fell R of Ind]],Input[[#This Row],[Schl &amp; Fell Inv in P]])</f>
        <v>7021114</v>
      </c>
      <c r="VO52" s="46">
        <f>SUM(Input[[#This Row],[Cap Out fund E&amp;G]],Input[[#This Row],[Cap Out fund Desg]],Input[[#This Row],[Cap Out fund R Exp]],Input[[#This Row],[Cap Out fund Loan]],Input[[#This Row],[Cap Out fund Annuity]],Input[[#This Row],[Cap Out fund Unexp]],Input[[#This Row],[Cap Out fund R of Ind]],Input[[#This Row],[Cap Out fund Inv in P]])</f>
        <v>16959381</v>
      </c>
      <c r="VP52" s="46">
        <f>SUM(Input[[#This Row],[Oth Exp E&amp;G]],Input[[#This Row],[Oth Exp Desg]],Input[[#This Row],[Oth Exp R Exp]],Input[[#This Row],[Oth Exp Loan]],Input[[#This Row],[Oth Exp Annuity]],Input[[#This Row],[Oth Exp Unexp]],Input[[#This Row],[Oth Exp R of Ind]],Input[[#This Row],[Oth Exp Inv in P]],Input[[#This Row],[Oth Exp Inv in P]])</f>
        <v>5274732</v>
      </c>
    </row>
    <row r="53" spans="1:588" ht="30" customHeight="1" x14ac:dyDescent="0.3">
      <c r="A53" s="15" t="s">
        <v>31</v>
      </c>
      <c r="B53" s="36" t="s">
        <v>118</v>
      </c>
      <c r="C53" s="36" t="s">
        <v>117</v>
      </c>
      <c r="D53" s="36">
        <v>903</v>
      </c>
      <c r="E53" s="36" t="s">
        <v>132</v>
      </c>
      <c r="F53" s="95" cm="1">
        <f t="array" ref="F53">IFERROR(_xlfn.IFS(Input[[#This Row],[Type]]="HRI",SUMIFS('FTSE | FTFE'!$I$8:$I$77,'FTSE | FTFE'!$H$8:$H$77,A53),Input[[#This Row],[Type]]="UNIV",SUMIFS('FTSE | FTFE'!$I$104:$I$139,'FTSE | FTFE'!$H$104:$H$139,A53),OR(Input[[#This Row],[Type]]="TSTC",Input[[#This Row],[Type]]="LSC"),SUMIFS('FTSE | FTFE'!$I$88:$I$96,'FTSE | FTFE'!$H$88:$H$96,A53)),"N/A")</f>
        <v>11618</v>
      </c>
      <c r="G53" s="46">
        <v>272570878</v>
      </c>
      <c r="H53" s="46">
        <v>0</v>
      </c>
      <c r="I53" s="46">
        <v>0</v>
      </c>
      <c r="J53" s="46">
        <v>0</v>
      </c>
      <c r="K53" s="46">
        <v>0</v>
      </c>
      <c r="L53" s="46">
        <v>0</v>
      </c>
      <c r="M53" s="46">
        <v>0</v>
      </c>
      <c r="N53" s="46">
        <v>0</v>
      </c>
      <c r="O53" s="46">
        <v>0</v>
      </c>
      <c r="P53" s="46">
        <v>22033806</v>
      </c>
      <c r="Q53" s="46">
        <v>3036699</v>
      </c>
      <c r="R53" s="46">
        <v>0</v>
      </c>
      <c r="S53" s="46">
        <v>16304787</v>
      </c>
      <c r="T53" s="46">
        <v>0</v>
      </c>
      <c r="U53" s="46">
        <v>0</v>
      </c>
      <c r="V53" s="46">
        <v>0</v>
      </c>
      <c r="W53" s="46">
        <v>0</v>
      </c>
      <c r="X53" s="46">
        <v>0</v>
      </c>
      <c r="Y53" s="46">
        <v>0</v>
      </c>
      <c r="Z53" s="46">
        <v>0</v>
      </c>
      <c r="AA53" s="46">
        <v>0</v>
      </c>
      <c r="AB53" s="46">
        <v>0</v>
      </c>
      <c r="AC53" s="46">
        <v>0</v>
      </c>
      <c r="AD53" s="46">
        <v>0</v>
      </c>
      <c r="AE53" s="46">
        <v>0</v>
      </c>
      <c r="AF53" s="46">
        <v>0</v>
      </c>
      <c r="AG53" s="46">
        <v>0</v>
      </c>
      <c r="AH53" s="46">
        <v>0</v>
      </c>
      <c r="AI53" s="46">
        <v>0</v>
      </c>
      <c r="AJ53" s="46">
        <v>0</v>
      </c>
      <c r="AK53" s="46">
        <v>0</v>
      </c>
      <c r="AL53" s="46">
        <v>0</v>
      </c>
      <c r="AM53" s="46">
        <v>0</v>
      </c>
      <c r="AN53" s="46">
        <v>0</v>
      </c>
      <c r="AO53" s="46">
        <v>0</v>
      </c>
      <c r="AP53" s="46">
        <v>0</v>
      </c>
      <c r="AQ53" s="46">
        <v>-7058018</v>
      </c>
      <c r="AR53" s="46">
        <v>-79951</v>
      </c>
      <c r="AS53" s="46">
        <v>0</v>
      </c>
      <c r="AT53" s="46">
        <v>0</v>
      </c>
      <c r="AU53" s="46">
        <v>0</v>
      </c>
      <c r="AV53" s="46">
        <v>0</v>
      </c>
      <c r="AW53" s="46">
        <v>0</v>
      </c>
      <c r="AX53" s="46">
        <v>0</v>
      </c>
      <c r="AY53" s="46">
        <v>0</v>
      </c>
      <c r="AZ53" s="46">
        <v>0</v>
      </c>
      <c r="BA53" s="46">
        <v>0</v>
      </c>
      <c r="BB53" s="46">
        <v>0</v>
      </c>
      <c r="BC53" s="46">
        <v>0</v>
      </c>
      <c r="BD53" s="46">
        <v>0</v>
      </c>
      <c r="BE53" s="46">
        <v>0</v>
      </c>
      <c r="BF53" s="46">
        <v>0</v>
      </c>
      <c r="BG53" s="46">
        <v>0</v>
      </c>
      <c r="BH53" s="46">
        <v>0</v>
      </c>
      <c r="BI53" s="46">
        <v>0</v>
      </c>
      <c r="BJ53" s="46">
        <v>0</v>
      </c>
      <c r="BK53" s="46">
        <v>0</v>
      </c>
      <c r="BL53" s="46">
        <v>0</v>
      </c>
      <c r="BM53" s="46">
        <v>0</v>
      </c>
      <c r="BN53" s="46">
        <v>0</v>
      </c>
      <c r="BO53" s="46">
        <v>0</v>
      </c>
      <c r="BP53" s="46">
        <v>0</v>
      </c>
      <c r="BQ53" s="46">
        <v>0</v>
      </c>
      <c r="BR53" s="46">
        <v>0</v>
      </c>
      <c r="BS53" s="46">
        <v>0</v>
      </c>
      <c r="BT53" s="46">
        <v>0</v>
      </c>
      <c r="BU53" s="46">
        <v>0</v>
      </c>
      <c r="BV53" s="46">
        <v>0</v>
      </c>
      <c r="BW53" s="46">
        <v>0</v>
      </c>
      <c r="BX53" s="46">
        <v>0</v>
      </c>
      <c r="BY53" s="46">
        <v>0</v>
      </c>
      <c r="BZ53" s="46">
        <v>0</v>
      </c>
      <c r="CA53" s="46">
        <v>26496140</v>
      </c>
      <c r="CB53" s="46">
        <v>37129168</v>
      </c>
      <c r="CC53" s="46">
        <v>0</v>
      </c>
      <c r="CD53" s="46">
        <v>0</v>
      </c>
      <c r="CE53" s="46">
        <v>0</v>
      </c>
      <c r="CF53" s="46">
        <v>0</v>
      </c>
      <c r="CG53" s="46">
        <v>0</v>
      </c>
      <c r="CH53" s="46">
        <v>0</v>
      </c>
      <c r="CI53" s="46">
        <v>0</v>
      </c>
      <c r="CJ53" s="46">
        <v>0</v>
      </c>
      <c r="CK53" s="46">
        <v>0</v>
      </c>
      <c r="CL53" s="46">
        <v>0</v>
      </c>
      <c r="CM53" s="46">
        <v>0</v>
      </c>
      <c r="CN53" s="46">
        <v>0</v>
      </c>
      <c r="CO53" s="46">
        <v>0</v>
      </c>
      <c r="CP53" s="46">
        <v>0</v>
      </c>
      <c r="CQ53" s="46">
        <v>0</v>
      </c>
      <c r="CR53" s="46">
        <v>0</v>
      </c>
      <c r="CS53" s="46">
        <v>0</v>
      </c>
      <c r="CT53" s="46">
        <v>0</v>
      </c>
      <c r="CU53" s="46">
        <v>0</v>
      </c>
      <c r="CV53" s="46">
        <v>0</v>
      </c>
      <c r="CW53" s="46">
        <v>0</v>
      </c>
      <c r="CX53" s="46">
        <v>0</v>
      </c>
      <c r="CY53" s="46">
        <v>0</v>
      </c>
      <c r="CZ53" s="46">
        <v>0</v>
      </c>
      <c r="DA53" s="46">
        <v>0</v>
      </c>
      <c r="DB53" s="46">
        <v>-324115</v>
      </c>
      <c r="DC53" s="46">
        <v>-536169</v>
      </c>
      <c r="DD53" s="46">
        <v>0</v>
      </c>
      <c r="DE53" s="46">
        <v>0</v>
      </c>
      <c r="DF53" s="46">
        <v>0</v>
      </c>
      <c r="DG53" s="46">
        <v>0</v>
      </c>
      <c r="DH53" s="46">
        <v>0</v>
      </c>
      <c r="DI53" s="46">
        <v>0</v>
      </c>
      <c r="DJ53" s="46">
        <v>0</v>
      </c>
      <c r="DK53" s="46">
        <v>0</v>
      </c>
      <c r="DL53" s="46">
        <v>0</v>
      </c>
      <c r="DM53" s="46">
        <v>0</v>
      </c>
      <c r="DN53" s="46">
        <v>0</v>
      </c>
      <c r="DO53" s="46">
        <v>0</v>
      </c>
      <c r="DP53" s="46">
        <v>0</v>
      </c>
      <c r="DQ53" s="46">
        <v>0</v>
      </c>
      <c r="DR53" s="46">
        <v>0</v>
      </c>
      <c r="DS53" s="46">
        <v>0</v>
      </c>
      <c r="DT53" s="46">
        <v>-906132</v>
      </c>
      <c r="DU53" s="46">
        <v>-1679240</v>
      </c>
      <c r="DV53" s="46">
        <v>0</v>
      </c>
      <c r="DW53" s="46">
        <v>0</v>
      </c>
      <c r="DX53" s="46">
        <v>0</v>
      </c>
      <c r="DY53" s="46">
        <v>0</v>
      </c>
      <c r="DZ53" s="46">
        <v>0</v>
      </c>
      <c r="EA53" s="46">
        <v>0</v>
      </c>
      <c r="EB53" s="46">
        <v>0</v>
      </c>
      <c r="EC53" s="46">
        <v>0</v>
      </c>
      <c r="ED53" s="46">
        <v>0</v>
      </c>
      <c r="EE53" s="46">
        <v>0</v>
      </c>
      <c r="EF53" s="46">
        <v>0</v>
      </c>
      <c r="EG53" s="46">
        <v>0</v>
      </c>
      <c r="EH53" s="46">
        <v>0</v>
      </c>
      <c r="EI53" s="46">
        <v>0</v>
      </c>
      <c r="EJ53" s="46">
        <v>0</v>
      </c>
      <c r="EK53" s="46">
        <v>0</v>
      </c>
      <c r="EL53" s="46">
        <v>0</v>
      </c>
      <c r="EM53" s="46">
        <v>0</v>
      </c>
      <c r="EN53" s="46">
        <v>0</v>
      </c>
      <c r="EO53" s="46">
        <v>0</v>
      </c>
      <c r="EP53" s="46">
        <v>0</v>
      </c>
      <c r="EQ53" s="46">
        <v>0</v>
      </c>
      <c r="ER53" s="46">
        <v>0</v>
      </c>
      <c r="ES53" s="46">
        <v>0</v>
      </c>
      <c r="ET53" s="46">
        <v>0</v>
      </c>
      <c r="EU53" s="46">
        <v>0</v>
      </c>
      <c r="EV53" s="46">
        <v>0</v>
      </c>
      <c r="EW53" s="46">
        <v>0</v>
      </c>
      <c r="EX53" s="46">
        <v>0</v>
      </c>
      <c r="EY53" s="46">
        <v>0</v>
      </c>
      <c r="EZ53" s="46">
        <v>0</v>
      </c>
      <c r="FA53" s="46">
        <v>0</v>
      </c>
      <c r="FB53" s="46">
        <v>0</v>
      </c>
      <c r="FC53" s="46">
        <v>0</v>
      </c>
      <c r="FD53" s="46">
        <v>0</v>
      </c>
      <c r="FE53" s="46">
        <v>0</v>
      </c>
      <c r="FF53" s="46">
        <v>0</v>
      </c>
      <c r="FG53" s="46">
        <v>0</v>
      </c>
      <c r="FH53" s="46">
        <v>0</v>
      </c>
      <c r="FI53" s="46">
        <v>0</v>
      </c>
      <c r="FJ53" s="46">
        <v>0</v>
      </c>
      <c r="FK53" s="46">
        <v>0</v>
      </c>
      <c r="FL53" s="46">
        <v>0</v>
      </c>
      <c r="FM53" s="46">
        <v>164079</v>
      </c>
      <c r="FN53" s="46">
        <v>14108015</v>
      </c>
      <c r="FO53" s="46">
        <v>2878860</v>
      </c>
      <c r="FP53" s="46">
        <v>0</v>
      </c>
      <c r="FQ53" s="46">
        <v>0</v>
      </c>
      <c r="FR53" s="46">
        <v>0</v>
      </c>
      <c r="FS53" s="46">
        <v>0</v>
      </c>
      <c r="FT53" s="46">
        <v>0</v>
      </c>
      <c r="FU53" s="46">
        <v>0</v>
      </c>
      <c r="FV53" s="46">
        <v>0</v>
      </c>
      <c r="FW53" s="46">
        <v>0</v>
      </c>
      <c r="FX53" s="46">
        <v>0</v>
      </c>
      <c r="FY53" s="46">
        <v>0</v>
      </c>
      <c r="FZ53" s="46">
        <v>0</v>
      </c>
      <c r="GA53" s="46">
        <v>0</v>
      </c>
      <c r="GB53" s="46">
        <v>0</v>
      </c>
      <c r="GC53" s="46">
        <v>0</v>
      </c>
      <c r="GD53" s="46">
        <v>0</v>
      </c>
      <c r="GE53" s="46">
        <v>0</v>
      </c>
      <c r="GF53" s="46">
        <v>0</v>
      </c>
      <c r="GG53" s="46">
        <v>0</v>
      </c>
      <c r="GH53" s="46">
        <v>0</v>
      </c>
      <c r="GI53" s="46">
        <v>0</v>
      </c>
      <c r="GJ53" s="46">
        <v>0</v>
      </c>
      <c r="GK53" s="46">
        <v>0</v>
      </c>
      <c r="GL53" s="46">
        <v>0</v>
      </c>
      <c r="GM53" s="46">
        <v>0</v>
      </c>
      <c r="GN53" s="46">
        <v>0</v>
      </c>
      <c r="GO53" s="46">
        <v>-245047</v>
      </c>
      <c r="GP53" s="46">
        <v>-25189</v>
      </c>
      <c r="GQ53" s="46">
        <v>0</v>
      </c>
      <c r="GR53" s="46">
        <v>0</v>
      </c>
      <c r="GS53" s="46">
        <v>0</v>
      </c>
      <c r="GT53" s="46">
        <v>0</v>
      </c>
      <c r="GU53" s="46">
        <v>0</v>
      </c>
      <c r="GV53" s="46">
        <v>0</v>
      </c>
      <c r="GW53" s="46">
        <v>0</v>
      </c>
      <c r="GX53" s="46">
        <v>0</v>
      </c>
      <c r="GY53" s="46">
        <v>0</v>
      </c>
      <c r="GZ53" s="46">
        <v>0</v>
      </c>
      <c r="HA53" s="46">
        <v>0</v>
      </c>
      <c r="HB53" s="46">
        <v>0</v>
      </c>
      <c r="HC53" s="46">
        <v>0</v>
      </c>
      <c r="HD53" s="46">
        <v>0</v>
      </c>
      <c r="HE53" s="46">
        <v>0</v>
      </c>
      <c r="HF53" s="46">
        <v>0</v>
      </c>
      <c r="HG53" s="46">
        <v>0</v>
      </c>
      <c r="HH53" s="46">
        <v>-107639</v>
      </c>
      <c r="HI53" s="46">
        <v>0</v>
      </c>
      <c r="HJ53" s="46">
        <v>0</v>
      </c>
      <c r="HK53" s="46">
        <v>0</v>
      </c>
      <c r="HL53" s="46">
        <v>0</v>
      </c>
      <c r="HM53" s="46">
        <v>0</v>
      </c>
      <c r="HN53" s="46">
        <v>0</v>
      </c>
      <c r="HO53" s="46">
        <v>0</v>
      </c>
      <c r="HP53" s="46">
        <v>80504368</v>
      </c>
      <c r="HQ53" s="46">
        <v>0</v>
      </c>
      <c r="HR53" s="46">
        <v>249380895</v>
      </c>
      <c r="HS53" s="46">
        <v>0</v>
      </c>
      <c r="HT53" s="46">
        <v>0</v>
      </c>
      <c r="HU53" s="46">
        <v>0</v>
      </c>
      <c r="HV53" s="46">
        <v>0</v>
      </c>
      <c r="HW53" s="46">
        <v>0</v>
      </c>
      <c r="HX53" s="46">
        <v>0</v>
      </c>
      <c r="HY53" s="46">
        <v>589956735</v>
      </c>
      <c r="HZ53" s="46">
        <v>0</v>
      </c>
      <c r="IA53" s="46">
        <v>0</v>
      </c>
      <c r="IB53" s="46">
        <v>0</v>
      </c>
      <c r="IC53" s="46">
        <v>0</v>
      </c>
      <c r="ID53" s="46">
        <v>0</v>
      </c>
      <c r="IE53" s="46">
        <v>0</v>
      </c>
      <c r="IF53" s="46">
        <v>0</v>
      </c>
      <c r="IG53" s="46">
        <v>129663163</v>
      </c>
      <c r="IH53" s="46">
        <v>37178589</v>
      </c>
      <c r="II53" s="46">
        <v>0</v>
      </c>
      <c r="IJ53" s="46">
        <v>0</v>
      </c>
      <c r="IK53" s="46">
        <v>0</v>
      </c>
      <c r="IL53" s="46">
        <v>0</v>
      </c>
      <c r="IM53" s="46">
        <v>0</v>
      </c>
      <c r="IN53" s="46">
        <v>0</v>
      </c>
      <c r="IO53" s="46">
        <v>0</v>
      </c>
      <c r="IP53" s="46">
        <v>5446929</v>
      </c>
      <c r="IQ53" s="46">
        <v>143733057</v>
      </c>
      <c r="IR53" s="46">
        <v>64371</v>
      </c>
      <c r="IS53" s="46">
        <v>44894775</v>
      </c>
      <c r="IT53" s="46">
        <v>190708</v>
      </c>
      <c r="IU53" s="46">
        <v>1018683</v>
      </c>
      <c r="IV53" s="46">
        <v>792691</v>
      </c>
      <c r="IW53" s="46">
        <v>0</v>
      </c>
      <c r="IX53" s="46">
        <v>0</v>
      </c>
      <c r="IY53" s="46">
        <v>0</v>
      </c>
      <c r="IZ53" s="46">
        <v>884152026</v>
      </c>
      <c r="JA53" s="46">
        <v>0</v>
      </c>
      <c r="JB53" s="46">
        <v>23051153</v>
      </c>
      <c r="JC53" s="46">
        <v>0</v>
      </c>
      <c r="JD53" s="46">
        <v>0</v>
      </c>
      <c r="JE53" s="46">
        <v>0</v>
      </c>
      <c r="JF53" s="46">
        <v>0</v>
      </c>
      <c r="JG53" s="46">
        <v>0</v>
      </c>
      <c r="JH53" s="46">
        <v>0</v>
      </c>
      <c r="JI53" s="46">
        <v>9869202</v>
      </c>
      <c r="JJ53" s="46">
        <v>0</v>
      </c>
      <c r="JK53" s="46">
        <v>114936074</v>
      </c>
      <c r="JL53" s="46">
        <v>0</v>
      </c>
      <c r="JM53" s="46">
        <v>0</v>
      </c>
      <c r="JN53" s="46">
        <v>0</v>
      </c>
      <c r="JO53" s="46">
        <v>0</v>
      </c>
      <c r="JP53" s="46">
        <v>0</v>
      </c>
      <c r="JQ53" s="46">
        <v>1139721</v>
      </c>
      <c r="JR53" s="46">
        <v>17825904</v>
      </c>
      <c r="JS53" s="46">
        <v>0</v>
      </c>
      <c r="JT53" s="46">
        <v>39734899</v>
      </c>
      <c r="JU53" s="46">
        <v>0</v>
      </c>
      <c r="JV53" s="46">
        <v>0</v>
      </c>
      <c r="JW53" s="46">
        <v>0</v>
      </c>
      <c r="JX53" s="46">
        <v>0</v>
      </c>
      <c r="JY53" s="46">
        <v>0</v>
      </c>
      <c r="JZ53" s="46">
        <v>0</v>
      </c>
      <c r="KA53" s="46">
        <v>0</v>
      </c>
      <c r="KB53" s="46">
        <v>26004548</v>
      </c>
      <c r="KC53" s="46">
        <v>0</v>
      </c>
      <c r="KD53" s="46">
        <v>0</v>
      </c>
      <c r="KE53" s="46">
        <v>0</v>
      </c>
      <c r="KF53" s="46">
        <v>0</v>
      </c>
      <c r="KG53" s="46">
        <v>0</v>
      </c>
      <c r="KH53" s="46">
        <v>0</v>
      </c>
      <c r="KI53" s="46">
        <v>1165571</v>
      </c>
      <c r="KJ53" s="46">
        <v>73476353</v>
      </c>
      <c r="KK53" s="46">
        <v>0</v>
      </c>
      <c r="KL53" s="46">
        <v>1697750</v>
      </c>
      <c r="KM53" s="46">
        <v>266332</v>
      </c>
      <c r="KN53" s="46">
        <v>0</v>
      </c>
      <c r="KO53" s="46">
        <v>0</v>
      </c>
      <c r="KP53" s="46">
        <v>0</v>
      </c>
      <c r="KQ53" s="46">
        <v>466320</v>
      </c>
      <c r="KR53" s="46">
        <v>124079801</v>
      </c>
      <c r="KS53" s="46">
        <v>1004216655</v>
      </c>
      <c r="KT53" s="46">
        <v>0</v>
      </c>
      <c r="KU53" s="46">
        <v>17702169</v>
      </c>
      <c r="KV53" s="46">
        <v>0</v>
      </c>
      <c r="KW53" s="46">
        <v>0</v>
      </c>
      <c r="KX53" s="46">
        <v>0</v>
      </c>
      <c r="KY53" s="46">
        <v>0</v>
      </c>
      <c r="KZ53" s="46">
        <v>0</v>
      </c>
      <c r="LA53" s="46">
        <v>34399882</v>
      </c>
      <c r="LB53" s="46">
        <v>104247895</v>
      </c>
      <c r="LC53" s="46">
        <v>0</v>
      </c>
      <c r="LD53" s="46">
        <v>258970133</v>
      </c>
      <c r="LE53" s="46">
        <v>0</v>
      </c>
      <c r="LF53" s="46">
        <v>0</v>
      </c>
      <c r="LG53" s="46">
        <v>0</v>
      </c>
      <c r="LH53" s="46">
        <v>0</v>
      </c>
      <c r="LI53" s="46">
        <v>0</v>
      </c>
      <c r="LJ53" s="46">
        <v>8414851</v>
      </c>
      <c r="LK53" s="46">
        <v>3895939</v>
      </c>
      <c r="LL53" s="46">
        <v>0</v>
      </c>
      <c r="LM53" s="46">
        <v>77294892</v>
      </c>
      <c r="LN53" s="46">
        <v>0</v>
      </c>
      <c r="LO53" s="46">
        <v>0</v>
      </c>
      <c r="LP53" s="46">
        <v>0</v>
      </c>
      <c r="LQ53" s="46">
        <v>0</v>
      </c>
      <c r="LR53" s="46">
        <v>0</v>
      </c>
      <c r="LS53" s="46">
        <v>157545132</v>
      </c>
      <c r="LT53" s="46">
        <v>513626818</v>
      </c>
      <c r="LU53" s="46">
        <v>0</v>
      </c>
      <c r="LV53" s="46">
        <v>86669130</v>
      </c>
      <c r="LW53" s="46">
        <v>0</v>
      </c>
      <c r="LX53" s="46">
        <v>0</v>
      </c>
      <c r="LY53" s="46">
        <v>0</v>
      </c>
      <c r="LZ53" s="46">
        <v>0</v>
      </c>
      <c r="MA53" s="46">
        <v>0</v>
      </c>
      <c r="MB53" s="46">
        <v>36948972</v>
      </c>
      <c r="MC53" s="46">
        <v>34329992</v>
      </c>
      <c r="MD53" s="46">
        <v>0</v>
      </c>
      <c r="ME53" s="46">
        <v>7093854</v>
      </c>
      <c r="MF53" s="46">
        <v>0</v>
      </c>
      <c r="MG53" s="46">
        <v>0</v>
      </c>
      <c r="MH53" s="46">
        <v>0</v>
      </c>
      <c r="MI53" s="46">
        <v>0</v>
      </c>
      <c r="MJ53" s="46">
        <v>0</v>
      </c>
      <c r="MK53" s="46">
        <v>3550930</v>
      </c>
      <c r="ML53" s="46">
        <v>8779320</v>
      </c>
      <c r="MM53" s="46">
        <v>0</v>
      </c>
      <c r="MN53" s="46">
        <v>1898246</v>
      </c>
      <c r="MO53" s="46">
        <v>26688</v>
      </c>
      <c r="MP53" s="46">
        <v>0</v>
      </c>
      <c r="MQ53" s="46">
        <v>0</v>
      </c>
      <c r="MR53" s="46">
        <v>0</v>
      </c>
      <c r="MS53" s="46">
        <v>0</v>
      </c>
      <c r="MT53" s="46">
        <v>58427376</v>
      </c>
      <c r="MU53" s="46">
        <v>57151392</v>
      </c>
      <c r="MV53" s="46">
        <v>0</v>
      </c>
      <c r="MW53" s="46">
        <v>767998</v>
      </c>
      <c r="MX53" s="46">
        <v>0</v>
      </c>
      <c r="MY53" s="46">
        <v>0</v>
      </c>
      <c r="MZ53" s="46">
        <v>0</v>
      </c>
      <c r="NA53" s="46">
        <v>0</v>
      </c>
      <c r="NB53" s="46">
        <v>0</v>
      </c>
      <c r="NC53" s="46">
        <v>29901524</v>
      </c>
      <c r="ND53" s="46">
        <v>14071943</v>
      </c>
      <c r="NE53" s="46">
        <v>0</v>
      </c>
      <c r="NF53" s="46">
        <v>118991</v>
      </c>
      <c r="NG53" s="46">
        <v>0</v>
      </c>
      <c r="NH53" s="46">
        <v>0</v>
      </c>
      <c r="NI53" s="46">
        <v>3343076</v>
      </c>
      <c r="NJ53" s="46">
        <v>0</v>
      </c>
      <c r="NK53" s="46">
        <v>0</v>
      </c>
      <c r="NL53" s="46">
        <v>525908</v>
      </c>
      <c r="NM53" s="46">
        <v>5938284</v>
      </c>
      <c r="NN53" s="46">
        <v>0</v>
      </c>
      <c r="NO53" s="46">
        <v>9388338</v>
      </c>
      <c r="NP53" s="46">
        <v>0</v>
      </c>
      <c r="NQ53" s="46">
        <v>0</v>
      </c>
      <c r="NR53" s="46">
        <v>0</v>
      </c>
      <c r="NS53" s="46">
        <v>0</v>
      </c>
      <c r="NT53" s="46">
        <v>0</v>
      </c>
      <c r="NU53" s="46">
        <v>0</v>
      </c>
      <c r="NV53" s="46">
        <v>0</v>
      </c>
      <c r="NW53" s="46">
        <v>22467225</v>
      </c>
      <c r="NX53" s="46">
        <v>0</v>
      </c>
      <c r="NY53" s="46">
        <v>0</v>
      </c>
      <c r="NZ53" s="46">
        <v>0</v>
      </c>
      <c r="OA53" s="46">
        <v>0</v>
      </c>
      <c r="OB53" s="46">
        <v>0</v>
      </c>
      <c r="OC53" s="46">
        <v>0</v>
      </c>
      <c r="OD53" s="46">
        <v>256957</v>
      </c>
      <c r="OE53" s="46">
        <v>10236274</v>
      </c>
      <c r="OF53" s="46">
        <v>138115</v>
      </c>
      <c r="OG53" s="46">
        <v>10161934</v>
      </c>
      <c r="OH53" s="46">
        <v>0</v>
      </c>
      <c r="OI53" s="46">
        <v>0</v>
      </c>
      <c r="OJ53" s="46">
        <v>0</v>
      </c>
      <c r="OK53" s="46">
        <v>0</v>
      </c>
      <c r="OL53" s="46">
        <v>0</v>
      </c>
      <c r="OM53" s="46">
        <v>1439</v>
      </c>
      <c r="ON53" s="46">
        <v>2911684</v>
      </c>
      <c r="OO53" s="46">
        <v>360899</v>
      </c>
      <c r="OP53" s="46">
        <v>4724</v>
      </c>
      <c r="OQ53" s="46">
        <v>0</v>
      </c>
      <c r="OR53" s="46">
        <v>0</v>
      </c>
      <c r="OS53" s="46">
        <v>0</v>
      </c>
      <c r="OT53" s="46">
        <v>0</v>
      </c>
      <c r="OU53" s="46">
        <v>0</v>
      </c>
      <c r="OV53" s="46">
        <v>0</v>
      </c>
      <c r="OW53" s="46">
        <v>0</v>
      </c>
      <c r="OX53" s="46">
        <v>0</v>
      </c>
      <c r="OY53" s="46">
        <v>0</v>
      </c>
      <c r="OZ53" s="46">
        <v>0</v>
      </c>
      <c r="PA53" s="46">
        <v>0</v>
      </c>
      <c r="PB53" s="46">
        <v>-155790856</v>
      </c>
      <c r="PC53" s="46">
        <v>0</v>
      </c>
      <c r="PD53" s="46">
        <v>0</v>
      </c>
      <c r="PE53" s="46">
        <v>10750979</v>
      </c>
      <c r="PF53" s="46">
        <v>-56900427</v>
      </c>
      <c r="PG53" s="46">
        <v>6904166</v>
      </c>
      <c r="PH53" s="46">
        <v>-7540815</v>
      </c>
      <c r="PI53" s="46">
        <v>-30547</v>
      </c>
      <c r="PJ53" s="46">
        <v>21477904</v>
      </c>
      <c r="PK53" s="46">
        <v>13321666</v>
      </c>
      <c r="PL53" s="46">
        <v>0</v>
      </c>
      <c r="PM53" s="46">
        <v>27970311</v>
      </c>
      <c r="PN53" s="46">
        <v>0</v>
      </c>
      <c r="PO53" s="46">
        <v>0</v>
      </c>
      <c r="PP53" s="46">
        <v>0</v>
      </c>
      <c r="PQ53" s="46">
        <v>0</v>
      </c>
      <c r="PR53" s="46">
        <v>0</v>
      </c>
      <c r="PS53" s="46">
        <v>0</v>
      </c>
      <c r="PT53" s="46">
        <v>146330544</v>
      </c>
      <c r="PU53" s="46">
        <v>0</v>
      </c>
      <c r="PV53" s="46">
        <v>0</v>
      </c>
      <c r="PW53" s="46">
        <v>-24213949</v>
      </c>
      <c r="PX53" s="46">
        <v>-13449442</v>
      </c>
      <c r="PY53" s="46">
        <v>-8824080</v>
      </c>
      <c r="PZ53" s="46">
        <v>0</v>
      </c>
      <c r="QA53" s="46">
        <v>0</v>
      </c>
      <c r="QB53" s="46">
        <v>0</v>
      </c>
      <c r="QC53" s="46">
        <v>0</v>
      </c>
      <c r="QD53" s="46">
        <v>0</v>
      </c>
      <c r="QE53" s="46">
        <v>0</v>
      </c>
      <c r="QF53" s="46">
        <v>0</v>
      </c>
      <c r="QG53" s="46">
        <v>46368671</v>
      </c>
      <c r="QH53" s="46">
        <v>0</v>
      </c>
      <c r="QI53" s="46">
        <v>-86821</v>
      </c>
      <c r="QJ53" s="46">
        <v>0</v>
      </c>
      <c r="QK53" s="46">
        <v>51608048</v>
      </c>
      <c r="QL53" s="46">
        <v>0</v>
      </c>
      <c r="QM53" s="46">
        <v>0</v>
      </c>
      <c r="QN53" s="46">
        <v>0</v>
      </c>
      <c r="QO53" s="46">
        <v>0</v>
      </c>
      <c r="QP53" s="46">
        <v>0</v>
      </c>
      <c r="QQ53" s="46">
        <v>0</v>
      </c>
      <c r="QR53" s="46">
        <v>0</v>
      </c>
      <c r="QS53" s="46">
        <v>0</v>
      </c>
      <c r="QT53" s="46">
        <v>32378787</v>
      </c>
      <c r="QU53" s="46">
        <v>0</v>
      </c>
      <c r="QV53" s="46">
        <v>0</v>
      </c>
      <c r="QW53" s="46">
        <v>0</v>
      </c>
      <c r="QX53" s="46">
        <v>0</v>
      </c>
      <c r="QY53" s="46">
        <v>0</v>
      </c>
      <c r="QZ53" s="46">
        <v>0</v>
      </c>
      <c r="RA53" s="46">
        <v>0</v>
      </c>
      <c r="RB53" s="46">
        <v>0</v>
      </c>
      <c r="RC53" s="46">
        <v>0</v>
      </c>
      <c r="RD53" s="46">
        <v>0</v>
      </c>
      <c r="RE53" s="46">
        <v>0</v>
      </c>
      <c r="RF53" s="46">
        <v>0</v>
      </c>
      <c r="RG53" s="46">
        <v>0</v>
      </c>
      <c r="RH53" s="46">
        <v>0</v>
      </c>
      <c r="RI53" s="46">
        <v>0</v>
      </c>
      <c r="RJ53" s="46">
        <v>0</v>
      </c>
      <c r="RK53" s="46">
        <v>0</v>
      </c>
      <c r="RL53" s="46">
        <v>0</v>
      </c>
      <c r="RM53" s="46">
        <v>0</v>
      </c>
      <c r="RN53" s="46">
        <v>0</v>
      </c>
      <c r="RO53" s="46">
        <v>-107038493</v>
      </c>
      <c r="RP53" s="46">
        <v>0</v>
      </c>
      <c r="RQ53" s="46">
        <v>0</v>
      </c>
      <c r="RR53" s="46">
        <v>0</v>
      </c>
      <c r="RS53" s="46">
        <v>0</v>
      </c>
      <c r="RT53" s="46">
        <v>0</v>
      </c>
      <c r="RU53" s="46">
        <v>0</v>
      </c>
      <c r="RV53" s="46">
        <v>0</v>
      </c>
      <c r="RW53" s="46">
        <v>0</v>
      </c>
      <c r="RX53" s="46">
        <v>0</v>
      </c>
      <c r="RY53" s="46">
        <v>0</v>
      </c>
      <c r="RZ53" s="46">
        <v>0</v>
      </c>
      <c r="SA53" s="46">
        <v>0</v>
      </c>
      <c r="SB53" s="46">
        <v>0</v>
      </c>
      <c r="SC53" s="46">
        <v>0</v>
      </c>
      <c r="SD53" s="46">
        <v>0</v>
      </c>
      <c r="SE53" s="46">
        <v>0</v>
      </c>
      <c r="SF53" s="46">
        <v>0</v>
      </c>
      <c r="SG53" s="46">
        <v>0</v>
      </c>
      <c r="SH53" s="46">
        <v>0</v>
      </c>
      <c r="SI53" s="46">
        <v>0</v>
      </c>
      <c r="SJ53" s="46">
        <v>0</v>
      </c>
      <c r="SK53" s="46">
        <v>0</v>
      </c>
      <c r="SL53" s="46">
        <v>0</v>
      </c>
      <c r="SM53" s="46">
        <v>0</v>
      </c>
      <c r="SN53" s="46">
        <v>0</v>
      </c>
      <c r="SO53" s="46">
        <v>0</v>
      </c>
      <c r="SP53" s="46">
        <v>0</v>
      </c>
      <c r="SQ53" s="46">
        <v>0</v>
      </c>
      <c r="SR53" s="46">
        <v>0</v>
      </c>
      <c r="SS53" s="46">
        <v>0</v>
      </c>
      <c r="ST53" s="46">
        <v>0</v>
      </c>
      <c r="SU53" s="46">
        <v>0</v>
      </c>
      <c r="SV53" s="46">
        <v>0</v>
      </c>
      <c r="SW53" s="46">
        <v>0</v>
      </c>
      <c r="SX53" s="46">
        <v>0</v>
      </c>
      <c r="SY53" s="46">
        <v>176584135</v>
      </c>
      <c r="SZ53" s="46">
        <v>2181188</v>
      </c>
      <c r="TA53" s="46">
        <v>9563081</v>
      </c>
      <c r="TB53" s="46">
        <v>3491906</v>
      </c>
      <c r="TC53" s="46">
        <v>2343044</v>
      </c>
      <c r="TD53" s="46">
        <v>1064392</v>
      </c>
      <c r="TE53" s="46">
        <v>111385</v>
      </c>
      <c r="TF53" s="46">
        <v>1851540</v>
      </c>
      <c r="TG53" s="46">
        <v>48629</v>
      </c>
      <c r="TH53" s="46">
        <v>0</v>
      </c>
      <c r="TI53" s="46">
        <v>138115</v>
      </c>
      <c r="TJ53" s="46">
        <v>0</v>
      </c>
      <c r="TK53" s="46">
        <v>1062277</v>
      </c>
      <c r="TL53" s="46">
        <v>7312047</v>
      </c>
      <c r="TM53" s="46">
        <v>2011137</v>
      </c>
      <c r="TN53" s="46">
        <v>0</v>
      </c>
      <c r="TO53" s="46">
        <v>0</v>
      </c>
      <c r="TP53" s="46">
        <v>0</v>
      </c>
      <c r="TQ53" s="46">
        <v>0</v>
      </c>
      <c r="TR53" s="46">
        <v>0</v>
      </c>
      <c r="TS53" s="46">
        <v>0</v>
      </c>
      <c r="TT53" s="46">
        <v>39040</v>
      </c>
      <c r="TU53" s="46">
        <v>478858</v>
      </c>
      <c r="TV53" s="46">
        <v>220860</v>
      </c>
      <c r="TW53" s="46">
        <v>0</v>
      </c>
      <c r="TX53" s="46">
        <v>0</v>
      </c>
      <c r="TY53" s="46">
        <v>0</v>
      </c>
      <c r="TZ53" s="46">
        <v>0</v>
      </c>
      <c r="UA53" s="46">
        <v>0</v>
      </c>
      <c r="UB53" s="46">
        <v>0</v>
      </c>
      <c r="UC53" s="46">
        <v>327611076</v>
      </c>
      <c r="UD53" s="46">
        <v>197947913</v>
      </c>
      <c r="UE53" s="46">
        <v>1145998625</v>
      </c>
      <c r="UF53" s="46">
        <v>397617910</v>
      </c>
      <c r="UG53" s="46">
        <v>89605682</v>
      </c>
      <c r="UH53" s="46">
        <v>757841080</v>
      </c>
      <c r="UI53" s="46">
        <v>78372818</v>
      </c>
      <c r="UJ53" s="46">
        <v>14255184</v>
      </c>
      <c r="UK53" s="46">
        <v>116346766</v>
      </c>
      <c r="UL53" s="46">
        <v>47435534</v>
      </c>
      <c r="UM53" s="46">
        <v>15852530</v>
      </c>
      <c r="UN53" s="46">
        <v>22467225</v>
      </c>
      <c r="UO5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20793280</v>
      </c>
      <c r="UP53" s="46">
        <f>SUM(Input[[#This Row],[Oth Exp E&amp;G]],Input[[#This Row],[Oth Exp Desg]],Input[[#This Row],[Oth Exp Aux]],Input[[#This Row],[Oth Exp R Exp]],Input[[#This Row],[Oth Exp Loan]],Input[[#This Row],[Oth Exp Annuity]],Input[[#This Row],[Oth Exp Unexp]],Input[[#This Row],[Oth Exp R of Ind]],Input[[#This Row],[Oth Exp Inv in P]])</f>
        <v>3278746</v>
      </c>
      <c r="UQ53" s="46"/>
      <c r="UR53" s="46"/>
      <c r="US53" s="8" t="s">
        <v>843</v>
      </c>
      <c r="UT53" s="47">
        <v>7005004915</v>
      </c>
      <c r="UU53" s="8" t="s">
        <v>974</v>
      </c>
      <c r="UV53" s="8" t="s">
        <v>844</v>
      </c>
      <c r="UW53" s="47">
        <v>7135004929</v>
      </c>
      <c r="UX53" s="8" t="s">
        <v>966</v>
      </c>
      <c r="UY53" s="51" cm="1">
        <f t="array" ref="UY53">IFERROR(_xlfn.IFS(Input[[#This Row],[Type]]="HRI",SUMIFS('FTSE | FTFE'!$P$8:$P$77,'FTSE | FTFE'!$H$8:$H$77,A53),Input[[#This Row],[Type]]="UNIV",SUMIFS('FTSE | FTFE'!$P$104:$P$139,'FTSE | FTFE'!$H$104:$H$139,A53),OR(Input[[#This Row],[Type]]="TSTC",Input[[#This Row],[Type]]="LSC"),SUMIFS('FTSE | FTFE'!$O$88:$O$96,'FTSE | FTFE'!$H$88:$H$96,A53),Input[[#This Row],[Type]]="AHM",SUMIFS(Hidden!$H$42:$H$45,Hidden!$G$42:$G$45,A53)),"N/A")</f>
        <v>4684</v>
      </c>
      <c r="UZ53" s="51" cm="1">
        <f t="array" ref="UZ53">IFERROR(_xlfn.IFS(Input[[#This Row],[Type]]="HRI",SUMIFS('FTSE | FTFE'!$Q$8:$Q$77,'FTSE | FTFE'!$H$8:$H$77,A53),Input[[#This Row],[Type]]="UNIV",SUMIFS('FTSE | FTFE'!$Q$104:$Q$139,'FTSE | FTFE'!$H$104:$H$139,A53),OR(Input[[#This Row],[Type]]="TSTC",Input[[#This Row],[Type]]="LSC"),SUMIFS('FTSE | FTFE'!$P$88:$P$96,'FTSE | FTFE'!$H$88:$H$96,A53)),"N/A")</f>
        <v>330.59</v>
      </c>
      <c r="VA5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313946170</v>
      </c>
      <c r="VB5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3" s="46">
        <f>SUM(Input[[#This Row],[Fed G&amp;C E&amp;G]],Input[[#This Row],[Fed G&amp;C Desg]],Input[[#This Row],[Fed G&amp;C R Exp]],Input[[#This Row],[Fed G&amp;C Loan]],Input[[#This Row],[Fed G&amp;C Annuity]],Input[[#This Row],[Fed G&amp;C Unexp]],Input[[#This Row],[Fed G&amp;C R of Ind]],Input[[#This Row],[Fed G&amp;C Inv in P]])</f>
        <v>329885263</v>
      </c>
      <c r="VD5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1363858148</v>
      </c>
      <c r="VE5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60179652</v>
      </c>
      <c r="VF5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14027047</v>
      </c>
      <c r="VG53" s="46">
        <f>SUM(Input[[#This Row],[Oth Inc E&amp;G]],Input[[#This Row],[Oth Exp Desg]],Input[[#This Row],[Oth Exp R Exp]],Input[[#This Row],[Oth Exp Loan]],Input[[#This Row],[Oth Exp Annuity]],Input[[#This Row],[Oth Exp Unexp]],Input[[#This Row],[Oth Exp R of Ind]],Input[[#This Row],[Oth Exp Inv in P]])</f>
        <v>4081979</v>
      </c>
      <c r="VH53" s="46">
        <f>SUM(Input[[#This Row],[Instr E&amp;G]],Input[[#This Row],[Instr Desg]],Input[[#This Row],[Instr R Exp]],Input[[#This Row],[Instr Loan]],Input[[#This Row],[Instr Annuity]],Input[[#This Row],[Instr Unexp]],Input[[#This Row],[Instr R of Ind]],Input[[#This Row],[Instr Inv in P]])</f>
        <v>1145998625</v>
      </c>
      <c r="VI53" s="46">
        <f>SUM(Input[[#This Row],[Res E&amp;G]],Input[[#This Row],[Res Desg]],Input[[#This Row],[Res R Exp]],Input[[#This Row],[Res Loan]],Input[[#This Row],[Res Annuity]],Input[[#This Row],[Res Unexp]],Input[[#This Row],[Res R of Ind]],Input[[#This Row],[Res Inv in P]])</f>
        <v>397617910</v>
      </c>
      <c r="VJ53" s="46">
        <f>SUM(Input[[#This Row],[Acad Sup E&amp;G]],Input[[#This Row],[Acad Sup Desg]],Input[[#This Row],[Acad Sup R Exp]],Input[[#This Row],[Acad Sup Loan]],Input[[#This Row],[Acad Sup Annuity]],Input[[#This Row],[Acad Sup Unexp]],Input[[#This Row],[Acad Sup R of Ind]],Input[[#This Row],[Acad Sup Inv in P]])</f>
        <v>78372818</v>
      </c>
      <c r="VK53" s="46">
        <f>SUM(Input[[#This Row],[Stu Svc E&amp;G]],Input[[#This Row],[Stu Svc Desg]],Input[[#This Row],[Stu Svc R Exp]],Input[[#This Row],[Stu Svc Loan]],Input[[#This Row],[Stu Svc Annuity]],Input[[#This Row],[Stu Svc Unexp]],Input[[#This Row],[Stu Svc R of Ind]],Input[[#This Row],[Stu Svc Inv in P]])</f>
        <v>14255184</v>
      </c>
      <c r="VL53" s="46">
        <f>SUM(Input[[#This Row],[Inst. Spt E&amp;G]],Input[[#This Row],[Inst. Spt Desg]],Input[[#This Row],[Inst. Spt R Exp]],Input[[#This Row],[Inst. Spt Loan]],Input[[#This Row],[Inst. Spt Annuity]],Input[[#This Row],[Inst. Spt Unexp]],Input[[#This Row],[Inst. Spt R of Ind]],Input[[#This Row],[Inst. Spt Inv in P]])</f>
        <v>116346766</v>
      </c>
      <c r="VM53" s="46">
        <f>SUM(Input[[#This Row],[M&amp;O Plnt E&amp;G]],Input[[#This Row],[M&amp;O Plnt Desg]],Input[[#This Row],[M&amp;O Plnt R Exp]],Input[[#This Row],[M&amp;O Plnt Loan]],Input[[#This Row],[M&amp;O Plnt Annuity]],Input[[#This Row],[M&amp;O Plnt Unexp]],Input[[#This Row],[M&amp;O Plnt R of Ind]],Input[[#This Row],[M&amp;O Plnt Inv in P]])</f>
        <v>47435534</v>
      </c>
      <c r="VN53" s="46">
        <f>SUM(Input[[#This Row],[Schl &amp; Fell E&amp;G]],Input[[#This Row],[Schl &amp; Fell Desg]],Input[[#This Row],[Schl &amp; Fell R Exp]],Input[[#This Row],[Schl &amp; Fell Loan]],Input[[#This Row],[Schl &amp; Fell Annuity]],Input[[#This Row],[Schl &amp; Fell Unexp]],Input[[#This Row],[Schl &amp; Fell R of Ind]],Input[[#This Row],[Schl &amp; Fell Inv in P]])</f>
        <v>15852530</v>
      </c>
      <c r="VO53" s="46">
        <f>SUM(Input[[#This Row],[Cap Out fund E&amp;G]],Input[[#This Row],[Cap Out fund Desg]],Input[[#This Row],[Cap Out fund R Exp]],Input[[#This Row],[Cap Out fund Loan]],Input[[#This Row],[Cap Out fund Annuity]],Input[[#This Row],[Cap Out fund Unexp]],Input[[#This Row],[Cap Out fund R of Ind]],Input[[#This Row],[Cap Out fund Inv in P]])</f>
        <v>20655165</v>
      </c>
      <c r="VP53" s="46">
        <f>SUM(Input[[#This Row],[Oth Exp E&amp;G]],Input[[#This Row],[Oth Exp Desg]],Input[[#This Row],[Oth Exp R Exp]],Input[[#This Row],[Oth Exp Loan]],Input[[#This Row],[Oth Exp Annuity]],Input[[#This Row],[Oth Exp Unexp]],Input[[#This Row],[Oth Exp R of Ind]],Input[[#This Row],[Oth Exp Inv in P]],Input[[#This Row],[Oth Exp Inv in P]])</f>
        <v>2917847</v>
      </c>
    </row>
    <row r="54" spans="1:588" ht="30" customHeight="1" x14ac:dyDescent="0.3">
      <c r="A54" s="15" t="s">
        <v>32</v>
      </c>
      <c r="B54" s="36" t="s">
        <v>118</v>
      </c>
      <c r="C54" s="36" t="s">
        <v>117</v>
      </c>
      <c r="D54" s="36">
        <v>904</v>
      </c>
      <c r="E54" s="36" t="s">
        <v>132</v>
      </c>
      <c r="F54" s="95" cm="1">
        <f t="array" ref="F54">IFERROR(_xlfn.IFS(Input[[#This Row],[Type]]="HRI",SUMIFS('FTSE | FTFE'!$I$8:$I$77,'FTSE | FTFE'!$H$8:$H$77,A54),Input[[#This Row],[Type]]="UNIV",SUMIFS('FTSE | FTFE'!$I$104:$I$139,'FTSE | FTFE'!$H$104:$H$139,A54),OR(Input[[#This Row],[Type]]="TSTC",Input[[#This Row],[Type]]="LSC"),SUMIFS('FTSE | FTFE'!$I$88:$I$96,'FTSE | FTFE'!$H$88:$H$96,A54)),"N/A")</f>
        <v>40</v>
      </c>
      <c r="G54" s="46">
        <v>209419403</v>
      </c>
      <c r="H54" s="46">
        <v>0</v>
      </c>
      <c r="I54" s="46">
        <v>0</v>
      </c>
      <c r="J54" s="46">
        <v>0</v>
      </c>
      <c r="K54" s="46">
        <v>0</v>
      </c>
      <c r="L54" s="46">
        <v>0</v>
      </c>
      <c r="M54" s="46">
        <v>0</v>
      </c>
      <c r="N54" s="46">
        <v>0</v>
      </c>
      <c r="O54" s="46">
        <v>0</v>
      </c>
      <c r="P54" s="46">
        <v>5830960</v>
      </c>
      <c r="Q54" s="46">
        <v>2693141</v>
      </c>
      <c r="R54" s="46">
        <v>0</v>
      </c>
      <c r="S54" s="46">
        <v>25022334</v>
      </c>
      <c r="T54" s="46">
        <v>0</v>
      </c>
      <c r="U54" s="46">
        <v>0</v>
      </c>
      <c r="V54" s="46">
        <v>0</v>
      </c>
      <c r="W54" s="46">
        <v>0</v>
      </c>
      <c r="X54" s="46">
        <v>0</v>
      </c>
      <c r="Y54" s="46">
        <v>0</v>
      </c>
      <c r="Z54" s="46">
        <v>0</v>
      </c>
      <c r="AA54" s="46">
        <v>0</v>
      </c>
      <c r="AB54" s="46">
        <v>0</v>
      </c>
      <c r="AC54" s="46">
        <v>0</v>
      </c>
      <c r="AD54" s="46">
        <v>0</v>
      </c>
      <c r="AE54" s="46">
        <v>0</v>
      </c>
      <c r="AF54" s="46">
        <v>0</v>
      </c>
      <c r="AG54" s="46">
        <v>0</v>
      </c>
      <c r="AH54" s="46">
        <v>0</v>
      </c>
      <c r="AI54" s="46">
        <v>0</v>
      </c>
      <c r="AJ54" s="46">
        <v>0</v>
      </c>
      <c r="AK54" s="46">
        <v>0</v>
      </c>
      <c r="AL54" s="46">
        <v>0</v>
      </c>
      <c r="AM54" s="46">
        <v>0</v>
      </c>
      <c r="AN54" s="46">
        <v>0</v>
      </c>
      <c r="AO54" s="46">
        <v>0</v>
      </c>
      <c r="AP54" s="46">
        <v>0</v>
      </c>
      <c r="AQ54" s="46">
        <v>-2434910</v>
      </c>
      <c r="AR54" s="46">
        <v>0</v>
      </c>
      <c r="AS54" s="46">
        <v>0</v>
      </c>
      <c r="AT54" s="46">
        <v>0</v>
      </c>
      <c r="AU54" s="46">
        <v>0</v>
      </c>
      <c r="AV54" s="46">
        <v>0</v>
      </c>
      <c r="AW54" s="46">
        <v>0</v>
      </c>
      <c r="AX54" s="46">
        <v>0</v>
      </c>
      <c r="AY54" s="46">
        <v>0</v>
      </c>
      <c r="AZ54" s="46">
        <v>0</v>
      </c>
      <c r="BA54" s="46">
        <v>0</v>
      </c>
      <c r="BB54" s="46">
        <v>0</v>
      </c>
      <c r="BC54" s="46">
        <v>0</v>
      </c>
      <c r="BD54" s="46">
        <v>0</v>
      </c>
      <c r="BE54" s="46">
        <v>0</v>
      </c>
      <c r="BF54" s="46">
        <v>0</v>
      </c>
      <c r="BG54" s="46">
        <v>0</v>
      </c>
      <c r="BH54" s="46">
        <v>0</v>
      </c>
      <c r="BI54" s="46">
        <v>0</v>
      </c>
      <c r="BJ54" s="46">
        <v>0</v>
      </c>
      <c r="BK54" s="46">
        <v>0</v>
      </c>
      <c r="BL54" s="46">
        <v>0</v>
      </c>
      <c r="BM54" s="46">
        <v>0</v>
      </c>
      <c r="BN54" s="46">
        <v>0</v>
      </c>
      <c r="BO54" s="46">
        <v>0</v>
      </c>
      <c r="BP54" s="46">
        <v>0</v>
      </c>
      <c r="BQ54" s="46">
        <v>0</v>
      </c>
      <c r="BR54" s="46">
        <v>0</v>
      </c>
      <c r="BS54" s="46">
        <v>0</v>
      </c>
      <c r="BT54" s="46">
        <v>0</v>
      </c>
      <c r="BU54" s="46">
        <v>0</v>
      </c>
      <c r="BV54" s="46">
        <v>0</v>
      </c>
      <c r="BW54" s="46">
        <v>0</v>
      </c>
      <c r="BX54" s="46">
        <v>0</v>
      </c>
      <c r="BY54" s="46">
        <v>0</v>
      </c>
      <c r="BZ54" s="46">
        <v>0</v>
      </c>
      <c r="CA54" s="46">
        <v>19003717</v>
      </c>
      <c r="CB54" s="46">
        <v>55116096</v>
      </c>
      <c r="CC54" s="46">
        <v>0</v>
      </c>
      <c r="CD54" s="46">
        <v>0</v>
      </c>
      <c r="CE54" s="46">
        <v>0</v>
      </c>
      <c r="CF54" s="46">
        <v>0</v>
      </c>
      <c r="CG54" s="46">
        <v>0</v>
      </c>
      <c r="CH54" s="46">
        <v>0</v>
      </c>
      <c r="CI54" s="46">
        <v>0</v>
      </c>
      <c r="CJ54" s="46">
        <v>0</v>
      </c>
      <c r="CK54" s="46">
        <v>0</v>
      </c>
      <c r="CL54" s="46">
        <v>0</v>
      </c>
      <c r="CM54" s="46">
        <v>0</v>
      </c>
      <c r="CN54" s="46">
        <v>0</v>
      </c>
      <c r="CO54" s="46">
        <v>0</v>
      </c>
      <c r="CP54" s="46">
        <v>0</v>
      </c>
      <c r="CQ54" s="46">
        <v>0</v>
      </c>
      <c r="CR54" s="46">
        <v>0</v>
      </c>
      <c r="CS54" s="46">
        <v>0</v>
      </c>
      <c r="CT54" s="46">
        <v>0</v>
      </c>
      <c r="CU54" s="46">
        <v>0</v>
      </c>
      <c r="CV54" s="46">
        <v>0</v>
      </c>
      <c r="CW54" s="46">
        <v>0</v>
      </c>
      <c r="CX54" s="46">
        <v>0</v>
      </c>
      <c r="CY54" s="46">
        <v>0</v>
      </c>
      <c r="CZ54" s="46">
        <v>0</v>
      </c>
      <c r="DA54" s="46">
        <v>0</v>
      </c>
      <c r="DB54" s="46">
        <v>-2408113</v>
      </c>
      <c r="DC54" s="46">
        <v>0</v>
      </c>
      <c r="DD54" s="46">
        <v>0</v>
      </c>
      <c r="DE54" s="46">
        <v>0</v>
      </c>
      <c r="DF54" s="46">
        <v>0</v>
      </c>
      <c r="DG54" s="46">
        <v>0</v>
      </c>
      <c r="DH54" s="46">
        <v>0</v>
      </c>
      <c r="DI54" s="46">
        <v>0</v>
      </c>
      <c r="DJ54" s="46">
        <v>0</v>
      </c>
      <c r="DK54" s="46">
        <v>0</v>
      </c>
      <c r="DL54" s="46">
        <v>0</v>
      </c>
      <c r="DM54" s="46">
        <v>0</v>
      </c>
      <c r="DN54" s="46">
        <v>0</v>
      </c>
      <c r="DO54" s="46">
        <v>0</v>
      </c>
      <c r="DP54" s="46">
        <v>0</v>
      </c>
      <c r="DQ54" s="46">
        <v>0</v>
      </c>
      <c r="DR54" s="46">
        <v>0</v>
      </c>
      <c r="DS54" s="46">
        <v>0</v>
      </c>
      <c r="DT54" s="46">
        <v>-10223969</v>
      </c>
      <c r="DU54" s="46">
        <v>0</v>
      </c>
      <c r="DV54" s="46">
        <v>0</v>
      </c>
      <c r="DW54" s="46">
        <v>0</v>
      </c>
      <c r="DX54" s="46">
        <v>0</v>
      </c>
      <c r="DY54" s="46">
        <v>0</v>
      </c>
      <c r="DZ54" s="46">
        <v>0</v>
      </c>
      <c r="EA54" s="46">
        <v>0</v>
      </c>
      <c r="EB54" s="46">
        <v>0</v>
      </c>
      <c r="EC54" s="46">
        <v>0</v>
      </c>
      <c r="ED54" s="46">
        <v>0</v>
      </c>
      <c r="EE54" s="46">
        <v>0</v>
      </c>
      <c r="EF54" s="46">
        <v>0</v>
      </c>
      <c r="EG54" s="46">
        <v>0</v>
      </c>
      <c r="EH54" s="46">
        <v>0</v>
      </c>
      <c r="EI54" s="46">
        <v>0</v>
      </c>
      <c r="EJ54" s="46">
        <v>0</v>
      </c>
      <c r="EK54" s="46">
        <v>0</v>
      </c>
      <c r="EL54" s="46">
        <v>0</v>
      </c>
      <c r="EM54" s="46">
        <v>0</v>
      </c>
      <c r="EN54" s="46">
        <v>0</v>
      </c>
      <c r="EO54" s="46">
        <v>0</v>
      </c>
      <c r="EP54" s="46">
        <v>0</v>
      </c>
      <c r="EQ54" s="46">
        <v>0</v>
      </c>
      <c r="ER54" s="46">
        <v>0</v>
      </c>
      <c r="ES54" s="46">
        <v>0</v>
      </c>
      <c r="ET54" s="46">
        <v>0</v>
      </c>
      <c r="EU54" s="46">
        <v>0</v>
      </c>
      <c r="EV54" s="46">
        <v>0</v>
      </c>
      <c r="EW54" s="46">
        <v>0</v>
      </c>
      <c r="EX54" s="46">
        <v>0</v>
      </c>
      <c r="EY54" s="46">
        <v>0</v>
      </c>
      <c r="EZ54" s="46">
        <v>0</v>
      </c>
      <c r="FA54" s="46">
        <v>0</v>
      </c>
      <c r="FB54" s="46">
        <v>0</v>
      </c>
      <c r="FC54" s="46">
        <v>0</v>
      </c>
      <c r="FD54" s="46">
        <v>0</v>
      </c>
      <c r="FE54" s="46">
        <v>0</v>
      </c>
      <c r="FF54" s="46">
        <v>0</v>
      </c>
      <c r="FG54" s="46">
        <v>0</v>
      </c>
      <c r="FH54" s="46">
        <v>0</v>
      </c>
      <c r="FI54" s="46">
        <v>0</v>
      </c>
      <c r="FJ54" s="46">
        <v>0</v>
      </c>
      <c r="FK54" s="46">
        <v>0</v>
      </c>
      <c r="FL54" s="46">
        <v>0</v>
      </c>
      <c r="FM54" s="46">
        <v>0</v>
      </c>
      <c r="FN54" s="46">
        <v>0</v>
      </c>
      <c r="FO54" s="46">
        <v>3508129</v>
      </c>
      <c r="FP54" s="46">
        <v>0</v>
      </c>
      <c r="FQ54" s="46">
        <v>0</v>
      </c>
      <c r="FR54" s="46">
        <v>0</v>
      </c>
      <c r="FS54" s="46">
        <v>0</v>
      </c>
      <c r="FT54" s="46">
        <v>0</v>
      </c>
      <c r="FU54" s="46">
        <v>0</v>
      </c>
      <c r="FV54" s="46">
        <v>0</v>
      </c>
      <c r="FW54" s="46">
        <v>0</v>
      </c>
      <c r="FX54" s="46">
        <v>0</v>
      </c>
      <c r="FY54" s="46">
        <v>0</v>
      </c>
      <c r="FZ54" s="46">
        <v>0</v>
      </c>
      <c r="GA54" s="46">
        <v>0</v>
      </c>
      <c r="GB54" s="46">
        <v>0</v>
      </c>
      <c r="GC54" s="46">
        <v>0</v>
      </c>
      <c r="GD54" s="46">
        <v>0</v>
      </c>
      <c r="GE54" s="46">
        <v>0</v>
      </c>
      <c r="GF54" s="46">
        <v>0</v>
      </c>
      <c r="GG54" s="46">
        <v>0</v>
      </c>
      <c r="GH54" s="46">
        <v>0</v>
      </c>
      <c r="GI54" s="46">
        <v>0</v>
      </c>
      <c r="GJ54" s="46">
        <v>0</v>
      </c>
      <c r="GK54" s="46">
        <v>0</v>
      </c>
      <c r="GL54" s="46">
        <v>0</v>
      </c>
      <c r="GM54" s="46">
        <v>0</v>
      </c>
      <c r="GN54" s="46">
        <v>-267568</v>
      </c>
      <c r="GO54" s="46">
        <v>0</v>
      </c>
      <c r="GP54" s="46">
        <v>0</v>
      </c>
      <c r="GQ54" s="46">
        <v>0</v>
      </c>
      <c r="GR54" s="46">
        <v>0</v>
      </c>
      <c r="GS54" s="46">
        <v>0</v>
      </c>
      <c r="GT54" s="46">
        <v>0</v>
      </c>
      <c r="GU54" s="46">
        <v>0</v>
      </c>
      <c r="GV54" s="46">
        <v>0</v>
      </c>
      <c r="GW54" s="46">
        <v>0</v>
      </c>
      <c r="GX54" s="46">
        <v>0</v>
      </c>
      <c r="GY54" s="46">
        <v>0</v>
      </c>
      <c r="GZ54" s="46">
        <v>0</v>
      </c>
      <c r="HA54" s="46">
        <v>0</v>
      </c>
      <c r="HB54" s="46">
        <v>0</v>
      </c>
      <c r="HC54" s="46">
        <v>0</v>
      </c>
      <c r="HD54" s="46">
        <v>0</v>
      </c>
      <c r="HE54" s="46">
        <v>0</v>
      </c>
      <c r="HF54" s="46">
        <v>-1135997</v>
      </c>
      <c r="HG54" s="46">
        <v>0</v>
      </c>
      <c r="HH54" s="46">
        <v>0</v>
      </c>
      <c r="HI54" s="46">
        <v>0</v>
      </c>
      <c r="HJ54" s="46">
        <v>0</v>
      </c>
      <c r="HK54" s="46">
        <v>0</v>
      </c>
      <c r="HL54" s="46">
        <v>0</v>
      </c>
      <c r="HM54" s="46">
        <v>0</v>
      </c>
      <c r="HN54" s="46">
        <v>0</v>
      </c>
      <c r="HO54" s="46">
        <v>0</v>
      </c>
      <c r="HP54" s="46">
        <v>53648600</v>
      </c>
      <c r="HQ54" s="46">
        <v>0</v>
      </c>
      <c r="HR54" s="46">
        <v>198550629</v>
      </c>
      <c r="HS54" s="46">
        <v>0</v>
      </c>
      <c r="HT54" s="46">
        <v>0</v>
      </c>
      <c r="HU54" s="46">
        <v>0</v>
      </c>
      <c r="HV54" s="46">
        <v>0</v>
      </c>
      <c r="HW54" s="46">
        <v>0</v>
      </c>
      <c r="HX54" s="46">
        <v>0</v>
      </c>
      <c r="HY54" s="46">
        <v>389582726</v>
      </c>
      <c r="HZ54" s="46">
        <v>0</v>
      </c>
      <c r="IA54" s="46">
        <v>0</v>
      </c>
      <c r="IB54" s="46">
        <v>0</v>
      </c>
      <c r="IC54" s="46">
        <v>0</v>
      </c>
      <c r="ID54" s="46">
        <v>0</v>
      </c>
      <c r="IE54" s="46">
        <v>0</v>
      </c>
      <c r="IF54" s="46">
        <v>0</v>
      </c>
      <c r="IG54" s="46">
        <v>0</v>
      </c>
      <c r="IH54" s="46">
        <v>148521338</v>
      </c>
      <c r="II54" s="46">
        <v>0</v>
      </c>
      <c r="IJ54" s="46">
        <v>0</v>
      </c>
      <c r="IK54" s="46">
        <v>0</v>
      </c>
      <c r="IL54" s="46">
        <v>0</v>
      </c>
      <c r="IM54" s="46">
        <v>0</v>
      </c>
      <c r="IN54" s="46">
        <v>0</v>
      </c>
      <c r="IO54" s="46">
        <v>0</v>
      </c>
      <c r="IP54" s="46">
        <v>111909</v>
      </c>
      <c r="IQ54" s="46">
        <v>76839030</v>
      </c>
      <c r="IR54" s="46">
        <v>89005</v>
      </c>
      <c r="IS54" s="46">
        <v>19626113</v>
      </c>
      <c r="IT54" s="46">
        <v>9234</v>
      </c>
      <c r="IU54" s="46">
        <v>1100077</v>
      </c>
      <c r="IV54" s="46">
        <v>0</v>
      </c>
      <c r="IW54" s="46">
        <v>0</v>
      </c>
      <c r="IX54" s="46">
        <v>0</v>
      </c>
      <c r="IY54" s="46">
        <v>0</v>
      </c>
      <c r="IZ54" s="46">
        <v>314835702</v>
      </c>
      <c r="JA54" s="46">
        <v>0</v>
      </c>
      <c r="JB54" s="46">
        <v>5266731</v>
      </c>
      <c r="JC54" s="46">
        <v>0</v>
      </c>
      <c r="JD54" s="46">
        <v>0</v>
      </c>
      <c r="JE54" s="46">
        <v>0</v>
      </c>
      <c r="JF54" s="46">
        <v>0</v>
      </c>
      <c r="JG54" s="46">
        <v>0</v>
      </c>
      <c r="JH54" s="46">
        <v>0</v>
      </c>
      <c r="JI54" s="46">
        <v>10133276</v>
      </c>
      <c r="JJ54" s="46">
        <v>0</v>
      </c>
      <c r="JK54" s="46">
        <v>46157976</v>
      </c>
      <c r="JL54" s="46">
        <v>0</v>
      </c>
      <c r="JM54" s="46">
        <v>0</v>
      </c>
      <c r="JN54" s="46">
        <v>0</v>
      </c>
      <c r="JO54" s="46">
        <v>0</v>
      </c>
      <c r="JP54" s="46">
        <v>0</v>
      </c>
      <c r="JQ54" s="46">
        <v>5585080</v>
      </c>
      <c r="JR54" s="46">
        <v>22508614</v>
      </c>
      <c r="JS54" s="46">
        <v>0</v>
      </c>
      <c r="JT54" s="46">
        <v>9140106</v>
      </c>
      <c r="JU54" s="46">
        <v>0</v>
      </c>
      <c r="JV54" s="46">
        <v>0</v>
      </c>
      <c r="JW54" s="46">
        <v>0</v>
      </c>
      <c r="JX54" s="46">
        <v>0</v>
      </c>
      <c r="JY54" s="46">
        <v>0</v>
      </c>
      <c r="JZ54" s="46">
        <v>0</v>
      </c>
      <c r="KA54" s="46">
        <v>0</v>
      </c>
      <c r="KB54" s="46">
        <v>6102578</v>
      </c>
      <c r="KC54" s="46">
        <v>0</v>
      </c>
      <c r="KD54" s="46">
        <v>0</v>
      </c>
      <c r="KE54" s="46">
        <v>0</v>
      </c>
      <c r="KF54" s="46">
        <v>0</v>
      </c>
      <c r="KG54" s="46">
        <v>0</v>
      </c>
      <c r="KH54" s="46">
        <v>0</v>
      </c>
      <c r="KI54" s="46">
        <v>0</v>
      </c>
      <c r="KJ54" s="46">
        <v>19489651</v>
      </c>
      <c r="KK54" s="46">
        <v>2781</v>
      </c>
      <c r="KL54" s="46">
        <v>3373719</v>
      </c>
      <c r="KM54" s="46">
        <v>14851</v>
      </c>
      <c r="KN54" s="46">
        <v>0</v>
      </c>
      <c r="KO54" s="46">
        <v>0</v>
      </c>
      <c r="KP54" s="46">
        <v>0</v>
      </c>
      <c r="KQ54" s="46">
        <v>-285166</v>
      </c>
      <c r="KR54" s="46">
        <v>113615299</v>
      </c>
      <c r="KS54" s="46">
        <v>486268191</v>
      </c>
      <c r="KT54" s="46">
        <v>0</v>
      </c>
      <c r="KU54" s="46">
        <v>14732082</v>
      </c>
      <c r="KV54" s="46">
        <v>0</v>
      </c>
      <c r="KW54" s="46">
        <v>0</v>
      </c>
      <c r="KX54" s="46">
        <v>0</v>
      </c>
      <c r="KY54" s="46">
        <v>0</v>
      </c>
      <c r="KZ54" s="46">
        <v>0</v>
      </c>
      <c r="LA54" s="46">
        <v>41181906</v>
      </c>
      <c r="LB54" s="46">
        <v>37730567</v>
      </c>
      <c r="LC54" s="46">
        <v>0</v>
      </c>
      <c r="LD54" s="46">
        <v>175547511</v>
      </c>
      <c r="LE54" s="46">
        <v>0</v>
      </c>
      <c r="LF54" s="46">
        <v>0</v>
      </c>
      <c r="LG54" s="46">
        <v>0</v>
      </c>
      <c r="LH54" s="46">
        <v>0</v>
      </c>
      <c r="LI54" s="46">
        <v>0</v>
      </c>
      <c r="LJ54" s="46">
        <v>21374860</v>
      </c>
      <c r="LK54" s="46">
        <v>25725743</v>
      </c>
      <c r="LL54" s="46">
        <v>0</v>
      </c>
      <c r="LM54" s="46">
        <v>81450182</v>
      </c>
      <c r="LN54" s="46">
        <v>0</v>
      </c>
      <c r="LO54" s="46">
        <v>0</v>
      </c>
      <c r="LP54" s="46">
        <v>0</v>
      </c>
      <c r="LQ54" s="46">
        <v>0</v>
      </c>
      <c r="LR54" s="46">
        <v>0</v>
      </c>
      <c r="LS54" s="46">
        <v>211288</v>
      </c>
      <c r="LT54" s="46">
        <v>360791506</v>
      </c>
      <c r="LU54" s="46">
        <v>0</v>
      </c>
      <c r="LV54" s="46">
        <v>4919</v>
      </c>
      <c r="LW54" s="46">
        <v>0</v>
      </c>
      <c r="LX54" s="46">
        <v>0</v>
      </c>
      <c r="LY54" s="46">
        <v>0</v>
      </c>
      <c r="LZ54" s="46">
        <v>0</v>
      </c>
      <c r="MA54" s="46">
        <v>0</v>
      </c>
      <c r="MB54" s="46">
        <v>39521329</v>
      </c>
      <c r="MC54" s="46">
        <v>28974861</v>
      </c>
      <c r="MD54" s="46">
        <v>0</v>
      </c>
      <c r="ME54" s="46">
        <v>3114111</v>
      </c>
      <c r="MF54" s="46">
        <v>0</v>
      </c>
      <c r="MG54" s="46">
        <v>0</v>
      </c>
      <c r="MH54" s="46">
        <v>0</v>
      </c>
      <c r="MI54" s="46">
        <v>0</v>
      </c>
      <c r="MJ54" s="46">
        <v>0</v>
      </c>
      <c r="MK54" s="46">
        <v>2315222</v>
      </c>
      <c r="ML54" s="46">
        <v>837170</v>
      </c>
      <c r="MM54" s="46">
        <v>0</v>
      </c>
      <c r="MN54" s="46">
        <v>16150</v>
      </c>
      <c r="MO54" s="46">
        <v>106001</v>
      </c>
      <c r="MP54" s="46">
        <v>0</v>
      </c>
      <c r="MQ54" s="46">
        <v>0</v>
      </c>
      <c r="MR54" s="46">
        <v>0</v>
      </c>
      <c r="MS54" s="46">
        <v>0</v>
      </c>
      <c r="MT54" s="46">
        <v>44754252</v>
      </c>
      <c r="MU54" s="46">
        <v>40380149</v>
      </c>
      <c r="MV54" s="46">
        <v>0</v>
      </c>
      <c r="MW54" s="46">
        <v>237666</v>
      </c>
      <c r="MX54" s="46">
        <v>0</v>
      </c>
      <c r="MY54" s="46">
        <v>0</v>
      </c>
      <c r="MZ54" s="46">
        <v>0</v>
      </c>
      <c r="NA54" s="46">
        <v>0</v>
      </c>
      <c r="NB54" s="46">
        <v>0</v>
      </c>
      <c r="NC54" s="46">
        <v>21346751</v>
      </c>
      <c r="ND54" s="46">
        <v>31098404</v>
      </c>
      <c r="NE54" s="46">
        <v>0</v>
      </c>
      <c r="NF54" s="46">
        <v>35916</v>
      </c>
      <c r="NG54" s="46">
        <v>0</v>
      </c>
      <c r="NH54" s="46">
        <v>0</v>
      </c>
      <c r="NI54" s="46">
        <v>9173523</v>
      </c>
      <c r="NJ54" s="46">
        <v>0</v>
      </c>
      <c r="NK54" s="46">
        <v>0</v>
      </c>
      <c r="NL54" s="46">
        <v>378933</v>
      </c>
      <c r="NM54" s="46">
        <v>496188</v>
      </c>
      <c r="NN54" s="46">
        <v>0</v>
      </c>
      <c r="NO54" s="46">
        <v>1476222</v>
      </c>
      <c r="NP54" s="46">
        <v>0</v>
      </c>
      <c r="NQ54" s="46">
        <v>0</v>
      </c>
      <c r="NR54" s="46">
        <v>0</v>
      </c>
      <c r="NS54" s="46">
        <v>0</v>
      </c>
      <c r="NT54" s="46">
        <v>0</v>
      </c>
      <c r="NU54" s="46">
        <v>0</v>
      </c>
      <c r="NV54" s="46">
        <v>0</v>
      </c>
      <c r="NW54" s="46">
        <v>10552543</v>
      </c>
      <c r="NX54" s="46">
        <v>0</v>
      </c>
      <c r="NY54" s="46">
        <v>0</v>
      </c>
      <c r="NZ54" s="46">
        <v>0</v>
      </c>
      <c r="OA54" s="46">
        <v>0</v>
      </c>
      <c r="OB54" s="46">
        <v>0</v>
      </c>
      <c r="OC54" s="46">
        <v>0</v>
      </c>
      <c r="OD54" s="46">
        <v>1868844</v>
      </c>
      <c r="OE54" s="46">
        <v>22004543</v>
      </c>
      <c r="OF54" s="46">
        <v>270577</v>
      </c>
      <c r="OG54" s="46">
        <v>8070022</v>
      </c>
      <c r="OH54" s="46">
        <v>0</v>
      </c>
      <c r="OI54" s="46">
        <v>0</v>
      </c>
      <c r="OJ54" s="46">
        <v>0</v>
      </c>
      <c r="OK54" s="46">
        <v>0</v>
      </c>
      <c r="OL54" s="46">
        <v>0</v>
      </c>
      <c r="OM54" s="46">
        <v>100146</v>
      </c>
      <c r="ON54" s="46">
        <v>2398294</v>
      </c>
      <c r="OO54" s="46">
        <v>12765</v>
      </c>
      <c r="OP54" s="46">
        <v>111329</v>
      </c>
      <c r="OQ54" s="46">
        <v>0</v>
      </c>
      <c r="OR54" s="46">
        <v>0</v>
      </c>
      <c r="OS54" s="46">
        <v>31919</v>
      </c>
      <c r="OT54" s="46">
        <v>0</v>
      </c>
      <c r="OU54" s="46">
        <v>0</v>
      </c>
      <c r="OV54" s="46">
        <v>0</v>
      </c>
      <c r="OW54" s="46">
        <v>0</v>
      </c>
      <c r="OX54" s="46">
        <v>0</v>
      </c>
      <c r="OY54" s="46">
        <v>0</v>
      </c>
      <c r="OZ54" s="46">
        <v>0</v>
      </c>
      <c r="PA54" s="46">
        <v>0</v>
      </c>
      <c r="PB54" s="46">
        <v>-164490940</v>
      </c>
      <c r="PC54" s="46">
        <v>0</v>
      </c>
      <c r="PD54" s="46">
        <v>0</v>
      </c>
      <c r="PE54" s="46">
        <v>65484348</v>
      </c>
      <c r="PF54" s="46">
        <v>-55847567</v>
      </c>
      <c r="PG54" s="46">
        <v>4910765</v>
      </c>
      <c r="PH54" s="46">
        <v>-16369865</v>
      </c>
      <c r="PI54" s="46">
        <v>3183</v>
      </c>
      <c r="PJ54" s="46">
        <v>61034</v>
      </c>
      <c r="PK54" s="46">
        <v>-38126461</v>
      </c>
      <c r="PL54" s="46">
        <v>0</v>
      </c>
      <c r="PM54" s="46">
        <v>67785789</v>
      </c>
      <c r="PN54" s="46">
        <v>0</v>
      </c>
      <c r="PO54" s="46">
        <v>0</v>
      </c>
      <c r="PP54" s="46">
        <v>0</v>
      </c>
      <c r="PQ54" s="46">
        <v>0</v>
      </c>
      <c r="PR54" s="46">
        <v>0</v>
      </c>
      <c r="PS54" s="46">
        <v>0</v>
      </c>
      <c r="PT54" s="46">
        <v>177312061</v>
      </c>
      <c r="PU54" s="46">
        <v>0</v>
      </c>
      <c r="PV54" s="46">
        <v>0</v>
      </c>
      <c r="PW54" s="46">
        <v>-20728854</v>
      </c>
      <c r="PX54" s="46">
        <v>-28596350</v>
      </c>
      <c r="PY54" s="46">
        <v>-820609</v>
      </c>
      <c r="PZ54" s="46">
        <v>0</v>
      </c>
      <c r="QA54" s="46">
        <v>0</v>
      </c>
      <c r="QB54" s="46">
        <v>0</v>
      </c>
      <c r="QC54" s="46">
        <v>0</v>
      </c>
      <c r="QD54" s="46">
        <v>0</v>
      </c>
      <c r="QE54" s="46">
        <v>0</v>
      </c>
      <c r="QF54" s="46">
        <v>0</v>
      </c>
      <c r="QG54" s="46">
        <v>-1800676</v>
      </c>
      <c r="QH54" s="46">
        <v>0</v>
      </c>
      <c r="QI54" s="46">
        <v>-3123704</v>
      </c>
      <c r="QJ54" s="46">
        <v>-81163</v>
      </c>
      <c r="QK54" s="46">
        <v>41867290</v>
      </c>
      <c r="QL54" s="46">
        <v>0</v>
      </c>
      <c r="QM54" s="46">
        <v>0</v>
      </c>
      <c r="QN54" s="46">
        <v>0</v>
      </c>
      <c r="QO54" s="46">
        <v>0</v>
      </c>
      <c r="QP54" s="46">
        <v>0</v>
      </c>
      <c r="QQ54" s="46">
        <v>0</v>
      </c>
      <c r="QR54" s="46">
        <v>72186</v>
      </c>
      <c r="QS54" s="46">
        <v>0</v>
      </c>
      <c r="QT54" s="46">
        <v>8998061</v>
      </c>
      <c r="QU54" s="46">
        <v>0</v>
      </c>
      <c r="QV54" s="46">
        <v>0</v>
      </c>
      <c r="QW54" s="46">
        <v>0</v>
      </c>
      <c r="QX54" s="46">
        <v>0</v>
      </c>
      <c r="QY54" s="46">
        <v>0</v>
      </c>
      <c r="QZ54" s="46">
        <v>0</v>
      </c>
      <c r="RA54" s="46">
        <v>0</v>
      </c>
      <c r="RB54" s="46">
        <v>0</v>
      </c>
      <c r="RC54" s="46">
        <v>0</v>
      </c>
      <c r="RD54" s="46">
        <v>0</v>
      </c>
      <c r="RE54" s="46">
        <v>0</v>
      </c>
      <c r="RF54" s="46">
        <v>0</v>
      </c>
      <c r="RG54" s="46">
        <v>0</v>
      </c>
      <c r="RH54" s="46">
        <v>0</v>
      </c>
      <c r="RI54" s="46">
        <v>0</v>
      </c>
      <c r="RJ54" s="46">
        <v>0</v>
      </c>
      <c r="RK54" s="46">
        <v>0</v>
      </c>
      <c r="RL54" s="46">
        <v>0</v>
      </c>
      <c r="RM54" s="46">
        <v>0</v>
      </c>
      <c r="RN54" s="46">
        <v>0</v>
      </c>
      <c r="RO54" s="46">
        <v>-104093752</v>
      </c>
      <c r="RP54" s="46">
        <v>0</v>
      </c>
      <c r="RQ54" s="46">
        <v>0</v>
      </c>
      <c r="RR54" s="46">
        <v>0</v>
      </c>
      <c r="RS54" s="46">
        <v>0</v>
      </c>
      <c r="RT54" s="46">
        <v>0</v>
      </c>
      <c r="RU54" s="46">
        <v>0</v>
      </c>
      <c r="RV54" s="46">
        <v>0</v>
      </c>
      <c r="RW54" s="46">
        <v>0</v>
      </c>
      <c r="RX54" s="46">
        <v>0</v>
      </c>
      <c r="RY54" s="46">
        <v>0</v>
      </c>
      <c r="RZ54" s="46">
        <v>0</v>
      </c>
      <c r="SA54" s="46">
        <v>0</v>
      </c>
      <c r="SB54" s="46">
        <v>0</v>
      </c>
      <c r="SC54" s="46">
        <v>0</v>
      </c>
      <c r="SD54" s="46">
        <v>0</v>
      </c>
      <c r="SE54" s="46">
        <v>0</v>
      </c>
      <c r="SF54" s="46">
        <v>0</v>
      </c>
      <c r="SG54" s="46">
        <v>0</v>
      </c>
      <c r="SH54" s="46">
        <v>0</v>
      </c>
      <c r="SI54" s="46">
        <v>0</v>
      </c>
      <c r="SJ54" s="46">
        <v>0</v>
      </c>
      <c r="SK54" s="46">
        <v>0</v>
      </c>
      <c r="SL54" s="46">
        <v>0</v>
      </c>
      <c r="SM54" s="46">
        <v>0</v>
      </c>
      <c r="SN54" s="46">
        <v>0</v>
      </c>
      <c r="SO54" s="46">
        <v>0</v>
      </c>
      <c r="SP54" s="46">
        <v>0</v>
      </c>
      <c r="SQ54" s="46">
        <v>0</v>
      </c>
      <c r="SR54" s="46">
        <v>0</v>
      </c>
      <c r="SS54" s="46">
        <v>0</v>
      </c>
      <c r="ST54" s="46">
        <v>0</v>
      </c>
      <c r="SU54" s="46">
        <v>0</v>
      </c>
      <c r="SV54" s="46">
        <v>0</v>
      </c>
      <c r="SW54" s="46">
        <v>0</v>
      </c>
      <c r="SX54" s="46">
        <v>0</v>
      </c>
      <c r="SY54" s="46">
        <v>196704925</v>
      </c>
      <c r="SZ54" s="46">
        <v>4345548</v>
      </c>
      <c r="TA54" s="46">
        <v>14261213</v>
      </c>
      <c r="TB54" s="46">
        <v>1426932</v>
      </c>
      <c r="TC54" s="46">
        <v>4494382</v>
      </c>
      <c r="TD54" s="46">
        <v>1744089</v>
      </c>
      <c r="TE54" s="46">
        <v>22357</v>
      </c>
      <c r="TF54" s="46">
        <v>1711824</v>
      </c>
      <c r="TG54" s="46">
        <v>3934869</v>
      </c>
      <c r="TH54" s="46">
        <v>2195</v>
      </c>
      <c r="TI54" s="46">
        <v>270577</v>
      </c>
      <c r="TJ54" s="46">
        <v>0</v>
      </c>
      <c r="TK54" s="46">
        <v>0</v>
      </c>
      <c r="TL54" s="46">
        <v>0</v>
      </c>
      <c r="TM54" s="46">
        <v>6184159</v>
      </c>
      <c r="TN54" s="46">
        <v>0</v>
      </c>
      <c r="TO54" s="46">
        <v>0</v>
      </c>
      <c r="TP54" s="46">
        <v>0</v>
      </c>
      <c r="TQ54" s="46">
        <v>0</v>
      </c>
      <c r="TR54" s="46">
        <v>0</v>
      </c>
      <c r="TS54" s="46">
        <v>0</v>
      </c>
      <c r="TT54" s="46">
        <v>0</v>
      </c>
      <c r="TU54" s="46">
        <v>11714639</v>
      </c>
      <c r="TV54" s="46">
        <v>324497</v>
      </c>
      <c r="TW54" s="46">
        <v>0</v>
      </c>
      <c r="TX54" s="46">
        <v>0</v>
      </c>
      <c r="TY54" s="46">
        <v>0</v>
      </c>
      <c r="TZ54" s="46">
        <v>0</v>
      </c>
      <c r="UA54" s="46">
        <v>0</v>
      </c>
      <c r="UB54" s="46">
        <v>0</v>
      </c>
      <c r="UC54" s="46">
        <v>392831930</v>
      </c>
      <c r="UD54" s="46">
        <v>244310592</v>
      </c>
      <c r="UE54" s="46">
        <v>614615572</v>
      </c>
      <c r="UF54" s="46">
        <v>254459984</v>
      </c>
      <c r="UG54" s="46">
        <v>128550785</v>
      </c>
      <c r="UH54" s="46">
        <v>361007713</v>
      </c>
      <c r="UI54" s="46">
        <v>71610301</v>
      </c>
      <c r="UJ54" s="46">
        <v>3274543</v>
      </c>
      <c r="UK54" s="46">
        <v>85372067</v>
      </c>
      <c r="UL54" s="46">
        <v>61654594</v>
      </c>
      <c r="UM54" s="46">
        <v>2351343</v>
      </c>
      <c r="UN54" s="46">
        <v>10552543</v>
      </c>
      <c r="UO54"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32213986</v>
      </c>
      <c r="UP54" s="46">
        <f>SUM(Input[[#This Row],[Oth Exp E&amp;G]],Input[[#This Row],[Oth Exp Desg]],Input[[#This Row],[Oth Exp Aux]],Input[[#This Row],[Oth Exp R Exp]],Input[[#This Row],[Oth Exp Loan]],Input[[#This Row],[Oth Exp Annuity]],Input[[#This Row],[Oth Exp Unexp]],Input[[#This Row],[Oth Exp R of Ind]],Input[[#This Row],[Oth Exp Inv in P]])</f>
        <v>2654453</v>
      </c>
      <c r="UQ54" s="46"/>
      <c r="UR54" s="46"/>
      <c r="US54" s="8" t="s">
        <v>845</v>
      </c>
      <c r="UT54" s="47">
        <v>2105626268</v>
      </c>
      <c r="UU54" s="8" t="s">
        <v>87</v>
      </c>
      <c r="UV54" s="8" t="s">
        <v>1310</v>
      </c>
      <c r="UW54" s="47" t="s">
        <v>1310</v>
      </c>
      <c r="UX54" s="8" t="s">
        <v>1310</v>
      </c>
      <c r="UY54" s="51" cm="1">
        <f t="array" ref="UY54">IFERROR(_xlfn.IFS(Input[[#This Row],[Type]]="HRI",SUMIFS('FTSE | FTFE'!$P$8:$P$77,'FTSE | FTFE'!$H$8:$H$77,A54),Input[[#This Row],[Type]]="UNIV",SUMIFS('FTSE | FTFE'!$P$104:$P$139,'FTSE | FTFE'!$H$104:$H$139,A54),OR(Input[[#This Row],[Type]]="TSTC",Input[[#This Row],[Type]]="LSC"),SUMIFS('FTSE | FTFE'!$O$88:$O$96,'FTSE | FTFE'!$H$88:$H$96,A54),Input[[#This Row],[Type]]="AHM",SUMIFS(Hidden!$H$42:$H$45,Hidden!$G$42:$G$45,A54)),"N/A")</f>
        <v>4277</v>
      </c>
      <c r="UZ54" s="51" cm="1">
        <f t="array" ref="UZ54">IFERROR(_xlfn.IFS(Input[[#This Row],[Type]]="HRI",SUMIFS('FTSE | FTFE'!$Q$8:$Q$77,'FTSE | FTFE'!$H$8:$H$77,A54),Input[[#This Row],[Type]]="UNIV",SUMIFS('FTSE | FTFE'!$Q$104:$Q$139,'FTSE | FTFE'!$H$104:$H$139,A54),OR(Input[[#This Row],[Type]]="TSTC",Input[[#This Row],[Type]]="LSC"),SUMIFS('FTSE | FTFE'!$P$88:$P$96,'FTSE | FTFE'!$H$88:$H$96,A54)),"N/A")</f>
        <v>369.99</v>
      </c>
      <c r="VA5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242965838</v>
      </c>
      <c r="VB5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4" s="46">
        <f>SUM(Input[[#This Row],[Fed G&amp;C E&amp;G]],Input[[#This Row],[Fed G&amp;C Desg]],Input[[#This Row],[Fed G&amp;C R Exp]],Input[[#This Row],[Fed G&amp;C Loan]],Input[[#This Row],[Fed G&amp;C Annuity]],Input[[#This Row],[Fed G&amp;C Unexp]],Input[[#This Row],[Fed G&amp;C R of Ind]],Input[[#This Row],[Fed G&amp;C Inv in P]])</f>
        <v>252199229</v>
      </c>
      <c r="VD5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533906903</v>
      </c>
      <c r="VE5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61487731</v>
      </c>
      <c r="VF5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-1403565</v>
      </c>
      <c r="VG54" s="46">
        <f>SUM(Input[[#This Row],[Oth Inc E&amp;G]],Input[[#This Row],[Oth Exp Desg]],Input[[#This Row],[Oth Exp R Exp]],Input[[#This Row],[Oth Exp Loan]],Input[[#This Row],[Oth Exp Annuity]],Input[[#This Row],[Oth Exp Unexp]],Input[[#This Row],[Oth Exp R of Ind]],Input[[#This Row],[Oth Exp Inv in P]])</f>
        <v>2541542</v>
      </c>
      <c r="VH54" s="46">
        <f>SUM(Input[[#This Row],[Instr E&amp;G]],Input[[#This Row],[Instr Desg]],Input[[#This Row],[Instr R Exp]],Input[[#This Row],[Instr Loan]],Input[[#This Row],[Instr Annuity]],Input[[#This Row],[Instr Unexp]],Input[[#This Row],[Instr R of Ind]],Input[[#This Row],[Instr Inv in P]])</f>
        <v>614615572</v>
      </c>
      <c r="VI54" s="46">
        <f>SUM(Input[[#This Row],[Res E&amp;G]],Input[[#This Row],[Res Desg]],Input[[#This Row],[Res R Exp]],Input[[#This Row],[Res Loan]],Input[[#This Row],[Res Annuity]],Input[[#This Row],[Res Unexp]],Input[[#This Row],[Res R of Ind]],Input[[#This Row],[Res Inv in P]])</f>
        <v>254459984</v>
      </c>
      <c r="VJ54" s="46">
        <f>SUM(Input[[#This Row],[Acad Sup E&amp;G]],Input[[#This Row],[Acad Sup Desg]],Input[[#This Row],[Acad Sup R Exp]],Input[[#This Row],[Acad Sup Loan]],Input[[#This Row],[Acad Sup Annuity]],Input[[#This Row],[Acad Sup Unexp]],Input[[#This Row],[Acad Sup R of Ind]],Input[[#This Row],[Acad Sup Inv in P]])</f>
        <v>71610301</v>
      </c>
      <c r="VK54" s="46">
        <f>SUM(Input[[#This Row],[Stu Svc E&amp;G]],Input[[#This Row],[Stu Svc Desg]],Input[[#This Row],[Stu Svc R Exp]],Input[[#This Row],[Stu Svc Loan]],Input[[#This Row],[Stu Svc Annuity]],Input[[#This Row],[Stu Svc Unexp]],Input[[#This Row],[Stu Svc R of Ind]],Input[[#This Row],[Stu Svc Inv in P]])</f>
        <v>3274543</v>
      </c>
      <c r="VL54" s="46">
        <f>SUM(Input[[#This Row],[Inst. Spt E&amp;G]],Input[[#This Row],[Inst. Spt Desg]],Input[[#This Row],[Inst. Spt R Exp]],Input[[#This Row],[Inst. Spt Loan]],Input[[#This Row],[Inst. Spt Annuity]],Input[[#This Row],[Inst. Spt Unexp]],Input[[#This Row],[Inst. Spt R of Ind]],Input[[#This Row],[Inst. Spt Inv in P]])</f>
        <v>85372067</v>
      </c>
      <c r="VM54" s="46">
        <f>SUM(Input[[#This Row],[M&amp;O Plnt E&amp;G]],Input[[#This Row],[M&amp;O Plnt Desg]],Input[[#This Row],[M&amp;O Plnt R Exp]],Input[[#This Row],[M&amp;O Plnt Loan]],Input[[#This Row],[M&amp;O Plnt Annuity]],Input[[#This Row],[M&amp;O Plnt Unexp]],Input[[#This Row],[M&amp;O Plnt R of Ind]],Input[[#This Row],[M&amp;O Plnt Inv in P]])</f>
        <v>61654594</v>
      </c>
      <c r="VN54" s="46">
        <f>SUM(Input[[#This Row],[Schl &amp; Fell E&amp;G]],Input[[#This Row],[Schl &amp; Fell Desg]],Input[[#This Row],[Schl &amp; Fell R Exp]],Input[[#This Row],[Schl &amp; Fell Loan]],Input[[#This Row],[Schl &amp; Fell Annuity]],Input[[#This Row],[Schl &amp; Fell Unexp]],Input[[#This Row],[Schl &amp; Fell R of Ind]],Input[[#This Row],[Schl &amp; Fell Inv in P]])</f>
        <v>2351343</v>
      </c>
      <c r="VO54" s="46">
        <f>SUM(Input[[#This Row],[Cap Out fund E&amp;G]],Input[[#This Row],[Cap Out fund Desg]],Input[[#This Row],[Cap Out fund R Exp]],Input[[#This Row],[Cap Out fund Loan]],Input[[#This Row],[Cap Out fund Annuity]],Input[[#This Row],[Cap Out fund Unexp]],Input[[#This Row],[Cap Out fund R of Ind]],Input[[#This Row],[Cap Out fund Inv in P]])</f>
        <v>31943409</v>
      </c>
      <c r="VP54" s="46">
        <f>SUM(Input[[#This Row],[Oth Exp E&amp;G]],Input[[#This Row],[Oth Exp Desg]],Input[[#This Row],[Oth Exp R Exp]],Input[[#This Row],[Oth Exp Loan]],Input[[#This Row],[Oth Exp Annuity]],Input[[#This Row],[Oth Exp Unexp]],Input[[#This Row],[Oth Exp R of Ind]],Input[[#This Row],[Oth Exp Inv in P]],Input[[#This Row],[Oth Exp Inv in P]])</f>
        <v>2641688</v>
      </c>
    </row>
    <row r="55" spans="1:588" ht="30" customHeight="1" x14ac:dyDescent="0.3">
      <c r="A55" s="15" t="s">
        <v>165</v>
      </c>
      <c r="B55" s="36" t="s">
        <v>106</v>
      </c>
      <c r="C55" s="36" t="s">
        <v>117</v>
      </c>
      <c r="D55" s="36">
        <v>905</v>
      </c>
      <c r="E55" s="36" t="s">
        <v>132</v>
      </c>
      <c r="F55" s="95" cm="1">
        <f t="array" ref="F55">IFERROR(_xlfn.IFS(Input[[#This Row],[Type]]="HRI",SUMIFS('FTSE | FTFE'!$I$8:$I$77,'FTSE | FTFE'!$H$8:$H$77,A55),Input[[#This Row],[Type]]="UNIV",SUMIFS('FTSE | FTFE'!$I$104:$I$139,'FTSE | FTFE'!$H$104:$H$139,A55),OR(Input[[#This Row],[Type]]="TSTC",Input[[#This Row],[Type]]="LSC"),SUMIFS('FTSE | FTFE'!$I$88:$I$96,'FTSE | FTFE'!$H$88:$H$96,A55)),"N/A")</f>
        <v>203599</v>
      </c>
      <c r="G55" s="46">
        <v>50356943</v>
      </c>
      <c r="H55" s="46">
        <v>0</v>
      </c>
      <c r="I55" s="46">
        <v>0</v>
      </c>
      <c r="J55" s="46">
        <v>0</v>
      </c>
      <c r="K55" s="46">
        <v>0</v>
      </c>
      <c r="L55" s="46">
        <v>0</v>
      </c>
      <c r="M55" s="46">
        <v>0</v>
      </c>
      <c r="N55" s="46">
        <v>0</v>
      </c>
      <c r="O55" s="46">
        <v>0</v>
      </c>
      <c r="P55" s="46">
        <v>6792078</v>
      </c>
      <c r="Q55" s="46">
        <v>0</v>
      </c>
      <c r="R55" s="46">
        <v>0</v>
      </c>
      <c r="S55" s="46">
        <v>1902881</v>
      </c>
      <c r="T55" s="46">
        <v>0</v>
      </c>
      <c r="U55" s="46">
        <v>0</v>
      </c>
      <c r="V55" s="46">
        <v>0</v>
      </c>
      <c r="W55" s="46">
        <v>0</v>
      </c>
      <c r="X55" s="46">
        <v>0</v>
      </c>
      <c r="Y55" s="46">
        <v>0</v>
      </c>
      <c r="Z55" s="46">
        <v>0</v>
      </c>
      <c r="AA55" s="46">
        <v>0</v>
      </c>
      <c r="AB55" s="46">
        <v>0</v>
      </c>
      <c r="AC55" s="46">
        <v>0</v>
      </c>
      <c r="AD55" s="46">
        <v>0</v>
      </c>
      <c r="AE55" s="46">
        <v>0</v>
      </c>
      <c r="AF55" s="46">
        <v>0</v>
      </c>
      <c r="AG55" s="46">
        <v>0</v>
      </c>
      <c r="AH55" s="46">
        <v>0</v>
      </c>
      <c r="AI55" s="46">
        <v>0</v>
      </c>
      <c r="AJ55" s="46">
        <v>0</v>
      </c>
      <c r="AK55" s="46">
        <v>0</v>
      </c>
      <c r="AL55" s="46">
        <v>0</v>
      </c>
      <c r="AM55" s="46">
        <v>0</v>
      </c>
      <c r="AN55" s="46">
        <v>0</v>
      </c>
      <c r="AO55" s="46">
        <v>0</v>
      </c>
      <c r="AP55" s="46">
        <v>0</v>
      </c>
      <c r="AQ55" s="46">
        <v>-36287</v>
      </c>
      <c r="AR55" s="46">
        <v>0</v>
      </c>
      <c r="AS55" s="46">
        <v>0</v>
      </c>
      <c r="AT55" s="46">
        <v>0</v>
      </c>
      <c r="AU55" s="46">
        <v>0</v>
      </c>
      <c r="AV55" s="46">
        <v>0</v>
      </c>
      <c r="AW55" s="46">
        <v>0</v>
      </c>
      <c r="AX55" s="46">
        <v>0</v>
      </c>
      <c r="AY55" s="46">
        <v>0</v>
      </c>
      <c r="AZ55" s="46">
        <v>0</v>
      </c>
      <c r="BA55" s="46">
        <v>0</v>
      </c>
      <c r="BB55" s="46">
        <v>0</v>
      </c>
      <c r="BC55" s="46">
        <v>0</v>
      </c>
      <c r="BD55" s="46">
        <v>0</v>
      </c>
      <c r="BE55" s="46">
        <v>0</v>
      </c>
      <c r="BF55" s="46">
        <v>0</v>
      </c>
      <c r="BG55" s="46">
        <v>0</v>
      </c>
      <c r="BH55" s="46">
        <v>0</v>
      </c>
      <c r="BI55" s="46">
        <v>0</v>
      </c>
      <c r="BJ55" s="46">
        <v>0</v>
      </c>
      <c r="BK55" s="46">
        <v>0</v>
      </c>
      <c r="BL55" s="46">
        <v>0</v>
      </c>
      <c r="BM55" s="46">
        <v>0</v>
      </c>
      <c r="BN55" s="46">
        <v>0</v>
      </c>
      <c r="BO55" s="46">
        <v>0</v>
      </c>
      <c r="BP55" s="46">
        <v>0</v>
      </c>
      <c r="BQ55" s="46">
        <v>0</v>
      </c>
      <c r="BR55" s="46">
        <v>0</v>
      </c>
      <c r="BS55" s="46">
        <v>0</v>
      </c>
      <c r="BT55" s="46">
        <v>0</v>
      </c>
      <c r="BU55" s="46">
        <v>0</v>
      </c>
      <c r="BV55" s="46">
        <v>0</v>
      </c>
      <c r="BW55" s="46">
        <v>0</v>
      </c>
      <c r="BX55" s="46">
        <v>0</v>
      </c>
      <c r="BY55" s="46">
        <v>0</v>
      </c>
      <c r="BZ55" s="46">
        <v>0</v>
      </c>
      <c r="CA55" s="46">
        <v>2040240</v>
      </c>
      <c r="CB55" s="46">
        <v>3746651</v>
      </c>
      <c r="CC55" s="46">
        <v>0</v>
      </c>
      <c r="CD55" s="46">
        <v>0</v>
      </c>
      <c r="CE55" s="46">
        <v>0</v>
      </c>
      <c r="CF55" s="46">
        <v>0</v>
      </c>
      <c r="CG55" s="46">
        <v>0</v>
      </c>
      <c r="CH55" s="46">
        <v>0</v>
      </c>
      <c r="CI55" s="46">
        <v>0</v>
      </c>
      <c r="CJ55" s="46">
        <v>0</v>
      </c>
      <c r="CK55" s="46">
        <v>0</v>
      </c>
      <c r="CL55" s="46">
        <v>0</v>
      </c>
      <c r="CM55" s="46">
        <v>0</v>
      </c>
      <c r="CN55" s="46">
        <v>0</v>
      </c>
      <c r="CO55" s="46">
        <v>0</v>
      </c>
      <c r="CP55" s="46">
        <v>0</v>
      </c>
      <c r="CQ55" s="46">
        <v>0</v>
      </c>
      <c r="CR55" s="46">
        <v>0</v>
      </c>
      <c r="CS55" s="46">
        <v>0</v>
      </c>
      <c r="CT55" s="46">
        <v>0</v>
      </c>
      <c r="CU55" s="46">
        <v>0</v>
      </c>
      <c r="CV55" s="46">
        <v>0</v>
      </c>
      <c r="CW55" s="46">
        <v>0</v>
      </c>
      <c r="CX55" s="46">
        <v>0</v>
      </c>
      <c r="CY55" s="46">
        <v>0</v>
      </c>
      <c r="CZ55" s="46">
        <v>0</v>
      </c>
      <c r="DA55" s="46">
        <v>0</v>
      </c>
      <c r="DB55" s="46">
        <v>-26440</v>
      </c>
      <c r="DC55" s="46">
        <v>-44456</v>
      </c>
      <c r="DD55" s="46">
        <v>0</v>
      </c>
      <c r="DE55" s="46">
        <v>0</v>
      </c>
      <c r="DF55" s="46">
        <v>0</v>
      </c>
      <c r="DG55" s="46">
        <v>0</v>
      </c>
      <c r="DH55" s="46">
        <v>0</v>
      </c>
      <c r="DI55" s="46">
        <v>0</v>
      </c>
      <c r="DJ55" s="46">
        <v>0</v>
      </c>
      <c r="DK55" s="46">
        <v>0</v>
      </c>
      <c r="DL55" s="46">
        <v>0</v>
      </c>
      <c r="DM55" s="46">
        <v>0</v>
      </c>
      <c r="DN55" s="46">
        <v>0</v>
      </c>
      <c r="DO55" s="46">
        <v>0</v>
      </c>
      <c r="DP55" s="46">
        <v>0</v>
      </c>
      <c r="DQ55" s="46">
        <v>0</v>
      </c>
      <c r="DR55" s="46">
        <v>0</v>
      </c>
      <c r="DS55" s="46">
        <v>0</v>
      </c>
      <c r="DT55" s="46">
        <v>-1124078</v>
      </c>
      <c r="DU55" s="46">
        <v>-283654</v>
      </c>
      <c r="DV55" s="46">
        <v>0</v>
      </c>
      <c r="DW55" s="46">
        <v>0</v>
      </c>
      <c r="DX55" s="46">
        <v>0</v>
      </c>
      <c r="DY55" s="46">
        <v>0</v>
      </c>
      <c r="DZ55" s="46">
        <v>0</v>
      </c>
      <c r="EA55" s="46">
        <v>0</v>
      </c>
      <c r="EB55" s="46">
        <v>0</v>
      </c>
      <c r="EC55" s="46">
        <v>0</v>
      </c>
      <c r="ED55" s="46">
        <v>0</v>
      </c>
      <c r="EE55" s="46">
        <v>0</v>
      </c>
      <c r="EF55" s="46">
        <v>0</v>
      </c>
      <c r="EG55" s="46">
        <v>0</v>
      </c>
      <c r="EH55" s="46">
        <v>0</v>
      </c>
      <c r="EI55" s="46">
        <v>0</v>
      </c>
      <c r="EJ55" s="46">
        <v>0</v>
      </c>
      <c r="EK55" s="46">
        <v>0</v>
      </c>
      <c r="EL55" s="46">
        <v>0</v>
      </c>
      <c r="EM55" s="46">
        <v>0</v>
      </c>
      <c r="EN55" s="46">
        <v>0</v>
      </c>
      <c r="EO55" s="46">
        <v>0</v>
      </c>
      <c r="EP55" s="46">
        <v>0</v>
      </c>
      <c r="EQ55" s="46">
        <v>0</v>
      </c>
      <c r="ER55" s="46">
        <v>0</v>
      </c>
      <c r="ES55" s="46">
        <v>0</v>
      </c>
      <c r="ET55" s="46">
        <v>0</v>
      </c>
      <c r="EU55" s="46">
        <v>0</v>
      </c>
      <c r="EV55" s="46">
        <v>0</v>
      </c>
      <c r="EW55" s="46">
        <v>0</v>
      </c>
      <c r="EX55" s="46">
        <v>0</v>
      </c>
      <c r="EY55" s="46">
        <v>0</v>
      </c>
      <c r="EZ55" s="46">
        <v>0</v>
      </c>
      <c r="FA55" s="46">
        <v>0</v>
      </c>
      <c r="FB55" s="46">
        <v>0</v>
      </c>
      <c r="FC55" s="46">
        <v>0</v>
      </c>
      <c r="FD55" s="46">
        <v>0</v>
      </c>
      <c r="FE55" s="46">
        <v>0</v>
      </c>
      <c r="FF55" s="46">
        <v>0</v>
      </c>
      <c r="FG55" s="46">
        <v>0</v>
      </c>
      <c r="FH55" s="46">
        <v>0</v>
      </c>
      <c r="FI55" s="46">
        <v>0</v>
      </c>
      <c r="FJ55" s="46">
        <v>0</v>
      </c>
      <c r="FK55" s="46">
        <v>0</v>
      </c>
      <c r="FL55" s="46">
        <v>0</v>
      </c>
      <c r="FM55" s="46">
        <v>18108</v>
      </c>
      <c r="FN55" s="46">
        <v>437759</v>
      </c>
      <c r="FO55" s="46">
        <v>422472</v>
      </c>
      <c r="FP55" s="46">
        <v>0</v>
      </c>
      <c r="FQ55" s="46">
        <v>0</v>
      </c>
      <c r="FR55" s="46">
        <v>0</v>
      </c>
      <c r="FS55" s="46">
        <v>0</v>
      </c>
      <c r="FT55" s="46">
        <v>0</v>
      </c>
      <c r="FU55" s="46">
        <v>0</v>
      </c>
      <c r="FV55" s="46">
        <v>0</v>
      </c>
      <c r="FW55" s="46">
        <v>0</v>
      </c>
      <c r="FX55" s="46">
        <v>0</v>
      </c>
      <c r="FY55" s="46">
        <v>0</v>
      </c>
      <c r="FZ55" s="46">
        <v>0</v>
      </c>
      <c r="GA55" s="46">
        <v>0</v>
      </c>
      <c r="GB55" s="46">
        <v>0</v>
      </c>
      <c r="GC55" s="46">
        <v>0</v>
      </c>
      <c r="GD55" s="46">
        <v>0</v>
      </c>
      <c r="GE55" s="46">
        <v>0</v>
      </c>
      <c r="GF55" s="46">
        <v>0</v>
      </c>
      <c r="GG55" s="46">
        <v>0</v>
      </c>
      <c r="GH55" s="46">
        <v>0</v>
      </c>
      <c r="GI55" s="46">
        <v>0</v>
      </c>
      <c r="GJ55" s="46">
        <v>0</v>
      </c>
      <c r="GK55" s="46">
        <v>0</v>
      </c>
      <c r="GL55" s="46">
        <v>0</v>
      </c>
      <c r="GM55" s="46">
        <v>0</v>
      </c>
      <c r="GN55" s="46">
        <v>0</v>
      </c>
      <c r="GO55" s="46">
        <v>0</v>
      </c>
      <c r="GP55" s="46">
        <v>-3352</v>
      </c>
      <c r="GQ55" s="46">
        <v>0</v>
      </c>
      <c r="GR55" s="46">
        <v>0</v>
      </c>
      <c r="GS55" s="46">
        <v>0</v>
      </c>
      <c r="GT55" s="46">
        <v>0</v>
      </c>
      <c r="GU55" s="46">
        <v>0</v>
      </c>
      <c r="GV55" s="46">
        <v>0</v>
      </c>
      <c r="GW55" s="46">
        <v>0</v>
      </c>
      <c r="GX55" s="46">
        <v>0</v>
      </c>
      <c r="GY55" s="46">
        <v>0</v>
      </c>
      <c r="GZ55" s="46">
        <v>0</v>
      </c>
      <c r="HA55" s="46">
        <v>0</v>
      </c>
      <c r="HB55" s="46">
        <v>0</v>
      </c>
      <c r="HC55" s="46">
        <v>0</v>
      </c>
      <c r="HD55" s="46">
        <v>0</v>
      </c>
      <c r="HE55" s="46">
        <v>0</v>
      </c>
      <c r="HF55" s="46">
        <v>0</v>
      </c>
      <c r="HG55" s="46">
        <v>0</v>
      </c>
      <c r="HH55" s="46">
        <v>1924</v>
      </c>
      <c r="HI55" s="46">
        <v>0</v>
      </c>
      <c r="HJ55" s="46">
        <v>0</v>
      </c>
      <c r="HK55" s="46">
        <v>0</v>
      </c>
      <c r="HL55" s="46">
        <v>0</v>
      </c>
      <c r="HM55" s="46">
        <v>0</v>
      </c>
      <c r="HN55" s="46">
        <v>0</v>
      </c>
      <c r="HO55" s="46">
        <v>0</v>
      </c>
      <c r="HP55" s="46">
        <v>0</v>
      </c>
      <c r="HQ55" s="46">
        <v>0</v>
      </c>
      <c r="HR55" s="46">
        <v>10324665</v>
      </c>
      <c r="HS55" s="46">
        <v>0</v>
      </c>
      <c r="HT55" s="46">
        <v>0</v>
      </c>
      <c r="HU55" s="46">
        <v>0</v>
      </c>
      <c r="HV55" s="46">
        <v>0</v>
      </c>
      <c r="HW55" s="46">
        <v>0</v>
      </c>
      <c r="HX55" s="46">
        <v>0</v>
      </c>
      <c r="HY55" s="46">
        <v>18446201</v>
      </c>
      <c r="HZ55" s="46">
        <v>0</v>
      </c>
      <c r="IA55" s="46">
        <v>0</v>
      </c>
      <c r="IB55" s="46">
        <v>0</v>
      </c>
      <c r="IC55" s="46">
        <v>0</v>
      </c>
      <c r="ID55" s="46">
        <v>0</v>
      </c>
      <c r="IE55" s="46">
        <v>0</v>
      </c>
      <c r="IF55" s="46">
        <v>0</v>
      </c>
      <c r="IG55" s="46">
        <v>0</v>
      </c>
      <c r="IH55" s="46">
        <v>0</v>
      </c>
      <c r="II55" s="46">
        <v>0</v>
      </c>
      <c r="IJ55" s="46">
        <v>0</v>
      </c>
      <c r="IK55" s="46">
        <v>0</v>
      </c>
      <c r="IL55" s="46">
        <v>0</v>
      </c>
      <c r="IM55" s="46">
        <v>0</v>
      </c>
      <c r="IN55" s="46">
        <v>0</v>
      </c>
      <c r="IO55" s="46">
        <v>0</v>
      </c>
      <c r="IP55" s="46">
        <v>0</v>
      </c>
      <c r="IQ55" s="46">
        <v>1346841</v>
      </c>
      <c r="IR55" s="46">
        <v>0</v>
      </c>
      <c r="IS55" s="46">
        <v>505062</v>
      </c>
      <c r="IT55" s="46">
        <v>0</v>
      </c>
      <c r="IU55" s="46">
        <v>-6478</v>
      </c>
      <c r="IV55" s="46">
        <v>0</v>
      </c>
      <c r="IW55" s="46">
        <v>0</v>
      </c>
      <c r="IX55" s="46">
        <v>0</v>
      </c>
      <c r="IY55" s="46">
        <v>0</v>
      </c>
      <c r="IZ55" s="46">
        <v>-5549574</v>
      </c>
      <c r="JA55" s="46">
        <v>0</v>
      </c>
      <c r="JB55" s="46">
        <v>47037</v>
      </c>
      <c r="JC55" s="46">
        <v>0</v>
      </c>
      <c r="JD55" s="46">
        <v>0</v>
      </c>
      <c r="JE55" s="46">
        <v>0</v>
      </c>
      <c r="JF55" s="46">
        <v>0</v>
      </c>
      <c r="JG55" s="46">
        <v>0</v>
      </c>
      <c r="JH55" s="46">
        <v>0</v>
      </c>
      <c r="JI55" s="46">
        <v>86148</v>
      </c>
      <c r="JJ55" s="46">
        <v>0</v>
      </c>
      <c r="JK55" s="46">
        <v>4867228</v>
      </c>
      <c r="JL55" s="46">
        <v>0</v>
      </c>
      <c r="JM55" s="46">
        <v>0</v>
      </c>
      <c r="JN55" s="46">
        <v>0</v>
      </c>
      <c r="JO55" s="46">
        <v>0</v>
      </c>
      <c r="JP55" s="46">
        <v>0</v>
      </c>
      <c r="JQ55" s="46">
        <v>0</v>
      </c>
      <c r="JR55" s="46">
        <v>23799</v>
      </c>
      <c r="JS55" s="46">
        <v>0</v>
      </c>
      <c r="JT55" s="46">
        <v>1256762</v>
      </c>
      <c r="JU55" s="46">
        <v>0</v>
      </c>
      <c r="JV55" s="46">
        <v>0</v>
      </c>
      <c r="JW55" s="46">
        <v>0</v>
      </c>
      <c r="JX55" s="46">
        <v>0</v>
      </c>
      <c r="JY55" s="46">
        <v>0</v>
      </c>
      <c r="JZ55" s="46">
        <v>0</v>
      </c>
      <c r="KA55" s="46">
        <v>0</v>
      </c>
      <c r="KB55" s="46">
        <v>0</v>
      </c>
      <c r="KC55" s="46">
        <v>0</v>
      </c>
      <c r="KD55" s="46">
        <v>0</v>
      </c>
      <c r="KE55" s="46">
        <v>0</v>
      </c>
      <c r="KF55" s="46">
        <v>0</v>
      </c>
      <c r="KG55" s="46">
        <v>0</v>
      </c>
      <c r="KH55" s="46">
        <v>0</v>
      </c>
      <c r="KI55" s="46">
        <v>359662</v>
      </c>
      <c r="KJ55" s="46">
        <v>10910939</v>
      </c>
      <c r="KK55" s="46">
        <v>0</v>
      </c>
      <c r="KL55" s="46">
        <v>0</v>
      </c>
      <c r="KM55" s="46">
        <v>0</v>
      </c>
      <c r="KN55" s="46">
        <v>0</v>
      </c>
      <c r="KO55" s="46">
        <v>0</v>
      </c>
      <c r="KP55" s="46">
        <v>0</v>
      </c>
      <c r="KQ55" s="46">
        <v>0</v>
      </c>
      <c r="KR55" s="46">
        <v>30143249</v>
      </c>
      <c r="KS55" s="46">
        <v>7044749</v>
      </c>
      <c r="KT55" s="46">
        <v>0</v>
      </c>
      <c r="KU55" s="46">
        <v>801135</v>
      </c>
      <c r="KV55" s="46">
        <v>0</v>
      </c>
      <c r="KW55" s="46">
        <v>0</v>
      </c>
      <c r="KX55" s="46">
        <v>0</v>
      </c>
      <c r="KY55" s="46">
        <v>0</v>
      </c>
      <c r="KZ55" s="46">
        <v>0</v>
      </c>
      <c r="LA55" s="46">
        <v>5231134</v>
      </c>
      <c r="LB55" s="46">
        <v>2679987</v>
      </c>
      <c r="LC55" s="46">
        <v>0</v>
      </c>
      <c r="LD55" s="46">
        <v>14634393</v>
      </c>
      <c r="LE55" s="46">
        <v>0</v>
      </c>
      <c r="LF55" s="46">
        <v>0</v>
      </c>
      <c r="LG55" s="46">
        <v>0</v>
      </c>
      <c r="LH55" s="46">
        <v>0</v>
      </c>
      <c r="LI55" s="46">
        <v>0</v>
      </c>
      <c r="LJ55" s="46">
        <v>174772</v>
      </c>
      <c r="LK55" s="46">
        <v>190629</v>
      </c>
      <c r="LL55" s="46">
        <v>0</v>
      </c>
      <c r="LM55" s="46">
        <v>668542</v>
      </c>
      <c r="LN55" s="46">
        <v>0</v>
      </c>
      <c r="LO55" s="46">
        <v>0</v>
      </c>
      <c r="LP55" s="46">
        <v>0</v>
      </c>
      <c r="LQ55" s="46">
        <v>0</v>
      </c>
      <c r="LR55" s="46">
        <v>0</v>
      </c>
      <c r="LS55" s="46">
        <v>11935017</v>
      </c>
      <c r="LT55" s="46">
        <v>37768423</v>
      </c>
      <c r="LU55" s="46">
        <v>0</v>
      </c>
      <c r="LV55" s="46">
        <v>6828</v>
      </c>
      <c r="LW55" s="46">
        <v>0</v>
      </c>
      <c r="LX55" s="46">
        <v>0</v>
      </c>
      <c r="LY55" s="46">
        <v>0</v>
      </c>
      <c r="LZ55" s="46">
        <v>0</v>
      </c>
      <c r="MA55" s="46">
        <v>0</v>
      </c>
      <c r="MB55" s="46">
        <v>13085941</v>
      </c>
      <c r="MC55" s="46">
        <v>7713357</v>
      </c>
      <c r="MD55" s="46">
        <v>0</v>
      </c>
      <c r="ME55" s="46">
        <v>2277393</v>
      </c>
      <c r="MF55" s="46">
        <v>0</v>
      </c>
      <c r="MG55" s="46">
        <v>0</v>
      </c>
      <c r="MH55" s="46">
        <v>0</v>
      </c>
      <c r="MI55" s="46">
        <v>0</v>
      </c>
      <c r="MJ55" s="46">
        <v>0</v>
      </c>
      <c r="MK55" s="46">
        <v>2345564</v>
      </c>
      <c r="ML55" s="46">
        <v>318229</v>
      </c>
      <c r="MM55" s="46">
        <v>0</v>
      </c>
      <c r="MN55" s="46">
        <v>3850</v>
      </c>
      <c r="MO55" s="46">
        <v>0</v>
      </c>
      <c r="MP55" s="46">
        <v>0</v>
      </c>
      <c r="MQ55" s="46">
        <v>0</v>
      </c>
      <c r="MR55" s="46">
        <v>0</v>
      </c>
      <c r="MS55" s="46">
        <v>0</v>
      </c>
      <c r="MT55" s="46">
        <v>0</v>
      </c>
      <c r="MU55" s="46">
        <v>106112</v>
      </c>
      <c r="MV55" s="46">
        <v>0</v>
      </c>
      <c r="MW55" s="46">
        <v>-20958</v>
      </c>
      <c r="MX55" s="46">
        <v>0</v>
      </c>
      <c r="MY55" s="46">
        <v>0</v>
      </c>
      <c r="MZ55" s="46">
        <v>0</v>
      </c>
      <c r="NA55" s="46">
        <v>0</v>
      </c>
      <c r="NB55" s="46">
        <v>0</v>
      </c>
      <c r="NC55" s="46">
        <v>1887181</v>
      </c>
      <c r="ND55" s="46">
        <v>1860974</v>
      </c>
      <c r="NE55" s="46">
        <v>0</v>
      </c>
      <c r="NF55" s="46">
        <v>0</v>
      </c>
      <c r="NG55" s="46">
        <v>0</v>
      </c>
      <c r="NH55" s="46">
        <v>0</v>
      </c>
      <c r="NI55" s="46">
        <v>698460</v>
      </c>
      <c r="NJ55" s="46">
        <v>0</v>
      </c>
      <c r="NK55" s="46">
        <v>0</v>
      </c>
      <c r="NL55" s="46">
        <v>-37998</v>
      </c>
      <c r="NM55" s="46">
        <v>454443</v>
      </c>
      <c r="NN55" s="46">
        <v>0</v>
      </c>
      <c r="NO55" s="46">
        <v>51957</v>
      </c>
      <c r="NP55" s="46">
        <v>0</v>
      </c>
      <c r="NQ55" s="46">
        <v>0</v>
      </c>
      <c r="NR55" s="46">
        <v>0</v>
      </c>
      <c r="NS55" s="46">
        <v>0</v>
      </c>
      <c r="NT55" s="46">
        <v>0</v>
      </c>
      <c r="NU55" s="46">
        <v>0</v>
      </c>
      <c r="NV55" s="46">
        <v>112432</v>
      </c>
      <c r="NW55" s="46">
        <v>147396</v>
      </c>
      <c r="NX55" s="46">
        <v>0</v>
      </c>
      <c r="NY55" s="46">
        <v>0</v>
      </c>
      <c r="NZ55" s="46">
        <v>0</v>
      </c>
      <c r="OA55" s="46">
        <v>0</v>
      </c>
      <c r="OB55" s="46">
        <v>0</v>
      </c>
      <c r="OC55" s="46">
        <v>0</v>
      </c>
      <c r="OD55" s="46">
        <v>26162</v>
      </c>
      <c r="OE55" s="46">
        <v>3782835</v>
      </c>
      <c r="OF55" s="46">
        <v>0</v>
      </c>
      <c r="OG55" s="46">
        <v>1949093</v>
      </c>
      <c r="OH55" s="46">
        <v>0</v>
      </c>
      <c r="OI55" s="46">
        <v>0</v>
      </c>
      <c r="OJ55" s="46">
        <v>0</v>
      </c>
      <c r="OK55" s="46">
        <v>0</v>
      </c>
      <c r="OL55" s="46">
        <v>0</v>
      </c>
      <c r="OM55" s="46">
        <v>5008</v>
      </c>
      <c r="ON55" s="46">
        <v>335867</v>
      </c>
      <c r="OO55" s="46">
        <v>0</v>
      </c>
      <c r="OP55" s="46">
        <v>0</v>
      </c>
      <c r="OQ55" s="46">
        <v>0</v>
      </c>
      <c r="OR55" s="46">
        <v>0</v>
      </c>
      <c r="OS55" s="46">
        <v>0</v>
      </c>
      <c r="OT55" s="46">
        <v>0</v>
      </c>
      <c r="OU55" s="46">
        <v>0</v>
      </c>
      <c r="OV55" s="46">
        <v>0</v>
      </c>
      <c r="OW55" s="46">
        <v>0</v>
      </c>
      <c r="OX55" s="46">
        <v>0</v>
      </c>
      <c r="OY55" s="46">
        <v>0</v>
      </c>
      <c r="OZ55" s="46">
        <v>0</v>
      </c>
      <c r="PA55" s="46">
        <v>0</v>
      </c>
      <c r="PB55" s="46">
        <v>-61735872</v>
      </c>
      <c r="PC55" s="46">
        <v>0</v>
      </c>
      <c r="PD55" s="46">
        <v>0</v>
      </c>
      <c r="PE55" s="46">
        <v>5154861</v>
      </c>
      <c r="PF55" s="46">
        <v>-3532066</v>
      </c>
      <c r="PG55" s="46">
        <v>-99260</v>
      </c>
      <c r="PH55" s="46">
        <v>280666</v>
      </c>
      <c r="PI55" s="46">
        <v>0</v>
      </c>
      <c r="PJ55" s="46">
        <v>2273</v>
      </c>
      <c r="PK55" s="46">
        <v>3901812</v>
      </c>
      <c r="PL55" s="46">
        <v>0</v>
      </c>
      <c r="PM55" s="46">
        <v>0</v>
      </c>
      <c r="PN55" s="46">
        <v>0</v>
      </c>
      <c r="PO55" s="46">
        <v>0</v>
      </c>
      <c r="PP55" s="46">
        <v>0</v>
      </c>
      <c r="PQ55" s="46">
        <v>0</v>
      </c>
      <c r="PR55" s="46">
        <v>0</v>
      </c>
      <c r="PS55" s="46">
        <v>0</v>
      </c>
      <c r="PT55" s="46">
        <v>58608725</v>
      </c>
      <c r="PU55" s="46">
        <v>0</v>
      </c>
      <c r="PV55" s="46">
        <v>0</v>
      </c>
      <c r="PW55" s="46">
        <v>0</v>
      </c>
      <c r="PX55" s="46">
        <v>-478389</v>
      </c>
      <c r="PY55" s="46">
        <v>0</v>
      </c>
      <c r="PZ55" s="46">
        <v>0</v>
      </c>
      <c r="QA55" s="46">
        <v>0</v>
      </c>
      <c r="QB55" s="46">
        <v>0</v>
      </c>
      <c r="QC55" s="46">
        <v>0</v>
      </c>
      <c r="QD55" s="46">
        <v>0</v>
      </c>
      <c r="QE55" s="46">
        <v>0</v>
      </c>
      <c r="QF55" s="46">
        <v>0</v>
      </c>
      <c r="QG55" s="46">
        <v>0</v>
      </c>
      <c r="QH55" s="46">
        <v>0</v>
      </c>
      <c r="QI55" s="46">
        <v>0</v>
      </c>
      <c r="QJ55" s="46">
        <v>0</v>
      </c>
      <c r="QK55" s="46">
        <v>451905</v>
      </c>
      <c r="QL55" s="46">
        <v>0</v>
      </c>
      <c r="QM55" s="46">
        <v>0</v>
      </c>
      <c r="QN55" s="46">
        <v>0</v>
      </c>
      <c r="QO55" s="46">
        <v>0</v>
      </c>
      <c r="QP55" s="46">
        <v>0</v>
      </c>
      <c r="QQ55" s="46">
        <v>0</v>
      </c>
      <c r="QR55" s="46">
        <v>0</v>
      </c>
      <c r="QS55" s="46">
        <v>0</v>
      </c>
      <c r="QT55" s="46">
        <v>1580507</v>
      </c>
      <c r="QU55" s="46">
        <v>0</v>
      </c>
      <c r="QV55" s="46">
        <v>0</v>
      </c>
      <c r="QW55" s="46">
        <v>0</v>
      </c>
      <c r="QX55" s="46">
        <v>0</v>
      </c>
      <c r="QY55" s="46">
        <v>0</v>
      </c>
      <c r="QZ55" s="46">
        <v>0</v>
      </c>
      <c r="RA55" s="46">
        <v>0</v>
      </c>
      <c r="RB55" s="46">
        <v>0</v>
      </c>
      <c r="RC55" s="46">
        <v>0</v>
      </c>
      <c r="RD55" s="46">
        <v>0</v>
      </c>
      <c r="RE55" s="46">
        <v>0</v>
      </c>
      <c r="RF55" s="46">
        <v>0</v>
      </c>
      <c r="RG55" s="46">
        <v>0</v>
      </c>
      <c r="RH55" s="46">
        <v>0</v>
      </c>
      <c r="RI55" s="46">
        <v>0</v>
      </c>
      <c r="RJ55" s="46">
        <v>0</v>
      </c>
      <c r="RK55" s="46">
        <v>0</v>
      </c>
      <c r="RL55" s="46">
        <v>0</v>
      </c>
      <c r="RM55" s="46">
        <v>0</v>
      </c>
      <c r="RN55" s="46">
        <v>0</v>
      </c>
      <c r="RO55" s="46">
        <v>-20164703</v>
      </c>
      <c r="RP55" s="46">
        <v>0</v>
      </c>
      <c r="RQ55" s="46">
        <v>0</v>
      </c>
      <c r="RR55" s="46">
        <v>0</v>
      </c>
      <c r="RS55" s="46">
        <v>0</v>
      </c>
      <c r="RT55" s="46">
        <v>0</v>
      </c>
      <c r="RU55" s="46">
        <v>0</v>
      </c>
      <c r="RV55" s="46">
        <v>0</v>
      </c>
      <c r="RW55" s="46">
        <v>0</v>
      </c>
      <c r="RX55" s="46">
        <v>0</v>
      </c>
      <c r="RY55" s="46">
        <v>0</v>
      </c>
      <c r="RZ55" s="46">
        <v>0</v>
      </c>
      <c r="SA55" s="46">
        <v>0</v>
      </c>
      <c r="SB55" s="46">
        <v>0</v>
      </c>
      <c r="SC55" s="46">
        <v>0</v>
      </c>
      <c r="SD55" s="46">
        <v>0</v>
      </c>
      <c r="SE55" s="46">
        <v>0</v>
      </c>
      <c r="SF55" s="46">
        <v>0</v>
      </c>
      <c r="SG55" s="46">
        <v>0</v>
      </c>
      <c r="SH55" s="46">
        <v>0</v>
      </c>
      <c r="SI55" s="46">
        <v>0</v>
      </c>
      <c r="SJ55" s="46">
        <v>0</v>
      </c>
      <c r="SK55" s="46">
        <v>0</v>
      </c>
      <c r="SL55" s="46">
        <v>0</v>
      </c>
      <c r="SM55" s="46">
        <v>0</v>
      </c>
      <c r="SN55" s="46">
        <v>0</v>
      </c>
      <c r="SO55" s="46">
        <v>0</v>
      </c>
      <c r="SP55" s="46">
        <v>3320</v>
      </c>
      <c r="SQ55" s="46">
        <v>0</v>
      </c>
      <c r="SR55" s="46">
        <v>0</v>
      </c>
      <c r="SS55" s="46">
        <v>0</v>
      </c>
      <c r="ST55" s="46">
        <v>0</v>
      </c>
      <c r="SU55" s="46">
        <v>0</v>
      </c>
      <c r="SV55" s="46">
        <v>0</v>
      </c>
      <c r="SW55" s="46">
        <v>0</v>
      </c>
      <c r="SX55" s="46">
        <v>0</v>
      </c>
      <c r="SY55" s="46">
        <v>69978240</v>
      </c>
      <c r="SZ55" s="46">
        <v>210910</v>
      </c>
      <c r="TA55" s="46">
        <v>3097753</v>
      </c>
      <c r="TB55" s="46">
        <v>-493037</v>
      </c>
      <c r="TC55" s="46">
        <v>2840754</v>
      </c>
      <c r="TD55" s="46">
        <v>191035</v>
      </c>
      <c r="TE55" s="46">
        <v>0</v>
      </c>
      <c r="TF55" s="46">
        <v>-89325</v>
      </c>
      <c r="TG55" s="46">
        <v>0</v>
      </c>
      <c r="TH55" s="46">
        <v>0</v>
      </c>
      <c r="TI55" s="46">
        <v>0</v>
      </c>
      <c r="TJ55" s="46">
        <v>0</v>
      </c>
      <c r="TK55" s="46">
        <v>0</v>
      </c>
      <c r="TL55" s="46">
        <v>288289</v>
      </c>
      <c r="TM55" s="46">
        <v>0</v>
      </c>
      <c r="TN55" s="46">
        <v>0</v>
      </c>
      <c r="TO55" s="46">
        <v>0</v>
      </c>
      <c r="TP55" s="46">
        <v>0</v>
      </c>
      <c r="TQ55" s="46">
        <v>0</v>
      </c>
      <c r="TR55" s="46">
        <v>0</v>
      </c>
      <c r="TS55" s="46">
        <v>0</v>
      </c>
      <c r="TT55" s="46">
        <v>0</v>
      </c>
      <c r="TU55" s="46">
        <v>0</v>
      </c>
      <c r="TV55" s="46">
        <v>0</v>
      </c>
      <c r="TW55" s="46">
        <v>0</v>
      </c>
      <c r="TX55" s="46">
        <v>0</v>
      </c>
      <c r="TY55" s="46">
        <v>0</v>
      </c>
      <c r="TZ55" s="46">
        <v>0</v>
      </c>
      <c r="UA55" s="46">
        <v>0</v>
      </c>
      <c r="UB55" s="46">
        <v>0</v>
      </c>
      <c r="UC55" s="46">
        <v>0</v>
      </c>
      <c r="UD55" s="46">
        <v>0</v>
      </c>
      <c r="UE55" s="46">
        <v>37989133</v>
      </c>
      <c r="UF55" s="46">
        <v>22545514</v>
      </c>
      <c r="UG55" s="46">
        <v>1033943</v>
      </c>
      <c r="UH55" s="46">
        <v>49710268</v>
      </c>
      <c r="UI55" s="46">
        <v>23076691</v>
      </c>
      <c r="UJ55" s="46">
        <v>2667643</v>
      </c>
      <c r="UK55" s="46">
        <v>85154</v>
      </c>
      <c r="UL55" s="46">
        <v>4446615</v>
      </c>
      <c r="UM55" s="46">
        <v>468402</v>
      </c>
      <c r="UN55" s="46">
        <v>259828</v>
      </c>
      <c r="UO5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5758090</v>
      </c>
      <c r="UP55" s="46">
        <f>SUM(Input[[#This Row],[Oth Exp E&amp;G]],Input[[#This Row],[Oth Exp Desg]],Input[[#This Row],[Oth Exp Aux]],Input[[#This Row],[Oth Exp R Exp]],Input[[#This Row],[Oth Exp Loan]],Input[[#This Row],[Oth Exp Annuity]],Input[[#This Row],[Oth Exp Unexp]],Input[[#This Row],[Oth Exp R of Ind]],Input[[#This Row],[Oth Exp Inv in P]])</f>
        <v>340875</v>
      </c>
      <c r="UQ55" s="46"/>
      <c r="UR55" s="46"/>
      <c r="US55" s="8" t="s">
        <v>835</v>
      </c>
      <c r="UT55" s="47">
        <v>9568828262</v>
      </c>
      <c r="UU55" s="8" t="s">
        <v>94</v>
      </c>
      <c r="UV55" s="8" t="s">
        <v>836</v>
      </c>
      <c r="UW55" s="47">
        <v>9566657906</v>
      </c>
      <c r="UX55" s="8" t="s">
        <v>837</v>
      </c>
      <c r="UY55" s="51" cm="1">
        <f t="array" ref="UY55">IFERROR(_xlfn.IFS(Input[[#This Row],[Type]]="HRI",SUMIFS('FTSE | FTFE'!$P$8:$P$77,'FTSE | FTFE'!$H$8:$H$77,A55),Input[[#This Row],[Type]]="UNIV",SUMIFS('FTSE | FTFE'!$P$104:$P$139,'FTSE | FTFE'!$H$104:$H$139,A55),OR(Input[[#This Row],[Type]]="TSTC",Input[[#This Row],[Type]]="LSC"),SUMIFS('FTSE | FTFE'!$O$88:$O$96,'FTSE | FTFE'!$H$88:$H$96,A55),Input[[#This Row],[Type]]="AHM",SUMIFS(Hidden!$H$42:$H$45,Hidden!$G$42:$G$45,A55)),"N/A")</f>
        <v>303</v>
      </c>
      <c r="UZ55" s="51" cm="1">
        <f t="array" ref="UZ55">IFERROR(_xlfn.IFS(Input[[#This Row],[Type]]="HRI",SUMIFS('FTSE | FTFE'!$Q$8:$Q$77,'FTSE | FTFE'!$H$8:$H$77,A55),Input[[#This Row],[Type]]="UNIV",SUMIFS('FTSE | FTFE'!$Q$104:$Q$139,'FTSE | FTFE'!$H$104:$H$139,A55),OR(Input[[#This Row],[Type]]="TSTC",Input[[#This Row],[Type]]="LSC"),SUMIFS('FTSE | FTFE'!$P$88:$P$96,'FTSE | FTFE'!$H$88:$H$96,A55)),"N/A")</f>
        <v>29.36</v>
      </c>
      <c r="VA5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59051902</v>
      </c>
      <c r="VB5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5" s="46">
        <f>SUM(Input[[#This Row],[Fed G&amp;C E&amp;G]],Input[[#This Row],[Fed G&amp;C Desg]],Input[[#This Row],[Fed G&amp;C R Exp]],Input[[#This Row],[Fed G&amp;C Loan]],Input[[#This Row],[Fed G&amp;C Annuity]],Input[[#This Row],[Fed G&amp;C Unexp]],Input[[#This Row],[Fed G&amp;C R of Ind]],Input[[#This Row],[Fed G&amp;C Inv in P]])</f>
        <v>10324665</v>
      </c>
      <c r="VD5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13847426</v>
      </c>
      <c r="VE5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4308263</v>
      </c>
      <c r="VF5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455867</v>
      </c>
      <c r="VG55" s="46">
        <f>SUM(Input[[#This Row],[Oth Inc E&amp;G]],Input[[#This Row],[Oth Exp Desg]],Input[[#This Row],[Oth Exp R Exp]],Input[[#This Row],[Oth Exp Loan]],Input[[#This Row],[Oth Exp Annuity]],Input[[#This Row],[Oth Exp Unexp]],Input[[#This Row],[Oth Exp R of Ind]],Input[[#This Row],[Oth Exp Inv in P]])</f>
        <v>695529</v>
      </c>
      <c r="VH55" s="46">
        <f>SUM(Input[[#This Row],[Instr E&amp;G]],Input[[#This Row],[Instr Desg]],Input[[#This Row],[Instr R Exp]],Input[[#This Row],[Instr Loan]],Input[[#This Row],[Instr Annuity]],Input[[#This Row],[Instr Unexp]],Input[[#This Row],[Instr R of Ind]],Input[[#This Row],[Instr Inv in P]])</f>
        <v>37989133</v>
      </c>
      <c r="VI55" s="46">
        <f>SUM(Input[[#This Row],[Res E&amp;G]],Input[[#This Row],[Res Desg]],Input[[#This Row],[Res R Exp]],Input[[#This Row],[Res Loan]],Input[[#This Row],[Res Annuity]],Input[[#This Row],[Res Unexp]],Input[[#This Row],[Res R of Ind]],Input[[#This Row],[Res Inv in P]])</f>
        <v>22545514</v>
      </c>
      <c r="VJ55" s="46">
        <f>SUM(Input[[#This Row],[Acad Sup E&amp;G]],Input[[#This Row],[Acad Sup Desg]],Input[[#This Row],[Acad Sup R Exp]],Input[[#This Row],[Acad Sup Loan]],Input[[#This Row],[Acad Sup Annuity]],Input[[#This Row],[Acad Sup Unexp]],Input[[#This Row],[Acad Sup R of Ind]],Input[[#This Row],[Acad Sup Inv in P]])</f>
        <v>23076691</v>
      </c>
      <c r="VK55" s="46">
        <f>SUM(Input[[#This Row],[Stu Svc E&amp;G]],Input[[#This Row],[Stu Svc Desg]],Input[[#This Row],[Stu Svc R Exp]],Input[[#This Row],[Stu Svc Loan]],Input[[#This Row],[Stu Svc Annuity]],Input[[#This Row],[Stu Svc Unexp]],Input[[#This Row],[Stu Svc R of Ind]],Input[[#This Row],[Stu Svc Inv in P]])</f>
        <v>2667643</v>
      </c>
      <c r="VL55" s="46">
        <f>SUM(Input[[#This Row],[Inst. Spt E&amp;G]],Input[[#This Row],[Inst. Spt Desg]],Input[[#This Row],[Inst. Spt R Exp]],Input[[#This Row],[Inst. Spt Loan]],Input[[#This Row],[Inst. Spt Annuity]],Input[[#This Row],[Inst. Spt Unexp]],Input[[#This Row],[Inst. Spt R of Ind]],Input[[#This Row],[Inst. Spt Inv in P]])</f>
        <v>85154</v>
      </c>
      <c r="VM55" s="46">
        <f>SUM(Input[[#This Row],[M&amp;O Plnt E&amp;G]],Input[[#This Row],[M&amp;O Plnt Desg]],Input[[#This Row],[M&amp;O Plnt R Exp]],Input[[#This Row],[M&amp;O Plnt Loan]],Input[[#This Row],[M&amp;O Plnt Annuity]],Input[[#This Row],[M&amp;O Plnt Unexp]],Input[[#This Row],[M&amp;O Plnt R of Ind]],Input[[#This Row],[M&amp;O Plnt Inv in P]])</f>
        <v>4446615</v>
      </c>
      <c r="VN55" s="46">
        <f>SUM(Input[[#This Row],[Schl &amp; Fell E&amp;G]],Input[[#This Row],[Schl &amp; Fell Desg]],Input[[#This Row],[Schl &amp; Fell R Exp]],Input[[#This Row],[Schl &amp; Fell Loan]],Input[[#This Row],[Schl &amp; Fell Annuity]],Input[[#This Row],[Schl &amp; Fell Unexp]],Input[[#This Row],[Schl &amp; Fell R of Ind]],Input[[#This Row],[Schl &amp; Fell Inv in P]])</f>
        <v>468402</v>
      </c>
      <c r="VO55" s="46">
        <f>SUM(Input[[#This Row],[Cap Out fund E&amp;G]],Input[[#This Row],[Cap Out fund Desg]],Input[[#This Row],[Cap Out fund R Exp]],Input[[#This Row],[Cap Out fund Loan]],Input[[#This Row],[Cap Out fund Annuity]],Input[[#This Row],[Cap Out fund Unexp]],Input[[#This Row],[Cap Out fund R of Ind]],Input[[#This Row],[Cap Out fund Inv in P]])</f>
        <v>5758090</v>
      </c>
      <c r="VP55" s="46">
        <f>SUM(Input[[#This Row],[Oth Exp E&amp;G]],Input[[#This Row],[Oth Exp Desg]],Input[[#This Row],[Oth Exp R Exp]],Input[[#This Row],[Oth Exp Loan]],Input[[#This Row],[Oth Exp Annuity]],Input[[#This Row],[Oth Exp Unexp]],Input[[#This Row],[Oth Exp R of Ind]],Input[[#This Row],[Oth Exp Inv in P]],Input[[#This Row],[Oth Exp Inv in P]])</f>
        <v>340875</v>
      </c>
    </row>
    <row r="56" spans="1:588" ht="30" customHeight="1" x14ac:dyDescent="0.3">
      <c r="A56" s="15" t="s">
        <v>33</v>
      </c>
      <c r="B56" s="36" t="s">
        <v>118</v>
      </c>
      <c r="C56" s="36" t="s">
        <v>117</v>
      </c>
      <c r="D56" s="36">
        <v>906</v>
      </c>
      <c r="E56" s="36" t="s">
        <v>132</v>
      </c>
      <c r="F56" s="95" cm="1">
        <f t="array" ref="F56">IFERROR(_xlfn.IFS(Input[[#This Row],[Type]]="HRI",SUMIFS('FTSE | FTFE'!$I$8:$I$77,'FTSE | FTFE'!$H$8:$H$77,A56),Input[[#This Row],[Type]]="UNIV",SUMIFS('FTSE | FTFE'!$I$104:$I$139,'FTSE | FTFE'!$H$104:$H$139,A56),OR(Input[[#This Row],[Type]]="TSTC",Input[[#This Row],[Type]]="LSC"),SUMIFS('FTSE | FTFE'!$I$88:$I$96,'FTSE | FTFE'!$H$88:$H$96,A56)),"N/A")</f>
        <v>25554</v>
      </c>
      <c r="G56" s="46">
        <v>237189220</v>
      </c>
      <c r="H56" s="46">
        <v>0</v>
      </c>
      <c r="I56" s="46">
        <v>0</v>
      </c>
      <c r="J56" s="46">
        <v>0</v>
      </c>
      <c r="K56" s="46">
        <v>0</v>
      </c>
      <c r="L56" s="46">
        <v>0</v>
      </c>
      <c r="M56" s="46">
        <v>0</v>
      </c>
      <c r="N56" s="46">
        <v>0</v>
      </c>
      <c r="O56" s="46">
        <v>0</v>
      </c>
      <c r="P56" s="46">
        <v>65291</v>
      </c>
      <c r="Q56" s="46">
        <v>2008908</v>
      </c>
      <c r="R56" s="46">
        <v>0</v>
      </c>
      <c r="S56" s="46">
        <v>42119875</v>
      </c>
      <c r="T56" s="46">
        <v>0</v>
      </c>
      <c r="U56" s="46">
        <v>0</v>
      </c>
      <c r="V56" s="46">
        <v>0</v>
      </c>
      <c r="W56" s="46">
        <v>0</v>
      </c>
      <c r="X56" s="46">
        <v>0</v>
      </c>
      <c r="Y56" s="46">
        <v>0</v>
      </c>
      <c r="Z56" s="46">
        <v>0</v>
      </c>
      <c r="AA56" s="46">
        <v>0</v>
      </c>
      <c r="AB56" s="46">
        <v>0</v>
      </c>
      <c r="AC56" s="46">
        <v>0</v>
      </c>
      <c r="AD56" s="46">
        <v>0</v>
      </c>
      <c r="AE56" s="46">
        <v>0</v>
      </c>
      <c r="AF56" s="46">
        <v>0</v>
      </c>
      <c r="AG56" s="46">
        <v>0</v>
      </c>
      <c r="AH56" s="46">
        <v>0</v>
      </c>
      <c r="AI56" s="46">
        <v>0</v>
      </c>
      <c r="AJ56" s="46">
        <v>0</v>
      </c>
      <c r="AK56" s="46">
        <v>0</v>
      </c>
      <c r="AL56" s="46">
        <v>0</v>
      </c>
      <c r="AM56" s="46">
        <v>0</v>
      </c>
      <c r="AN56" s="46">
        <v>0</v>
      </c>
      <c r="AO56" s="46">
        <v>0</v>
      </c>
      <c r="AP56" s="46">
        <v>0</v>
      </c>
      <c r="AQ56" s="46">
        <v>-230714</v>
      </c>
      <c r="AR56" s="46">
        <v>0</v>
      </c>
      <c r="AS56" s="46">
        <v>0</v>
      </c>
      <c r="AT56" s="46">
        <v>0</v>
      </c>
      <c r="AU56" s="46">
        <v>0</v>
      </c>
      <c r="AV56" s="46">
        <v>0</v>
      </c>
      <c r="AW56" s="46">
        <v>0</v>
      </c>
      <c r="AX56" s="46">
        <v>0</v>
      </c>
      <c r="AY56" s="46">
        <v>0</v>
      </c>
      <c r="AZ56" s="46">
        <v>0</v>
      </c>
      <c r="BA56" s="46">
        <v>0</v>
      </c>
      <c r="BB56" s="46">
        <v>0</v>
      </c>
      <c r="BC56" s="46">
        <v>0</v>
      </c>
      <c r="BD56" s="46">
        <v>0</v>
      </c>
      <c r="BE56" s="46">
        <v>0</v>
      </c>
      <c r="BF56" s="46">
        <v>0</v>
      </c>
      <c r="BG56" s="46">
        <v>0</v>
      </c>
      <c r="BH56" s="46">
        <v>0</v>
      </c>
      <c r="BI56" s="46">
        <v>-34566</v>
      </c>
      <c r="BJ56" s="46">
        <v>0</v>
      </c>
      <c r="BK56" s="46">
        <v>0</v>
      </c>
      <c r="BL56" s="46">
        <v>0</v>
      </c>
      <c r="BM56" s="46">
        <v>0</v>
      </c>
      <c r="BN56" s="46">
        <v>0</v>
      </c>
      <c r="BO56" s="46">
        <v>0</v>
      </c>
      <c r="BP56" s="46">
        <v>0</v>
      </c>
      <c r="BQ56" s="46">
        <v>0</v>
      </c>
      <c r="BR56" s="46">
        <v>0</v>
      </c>
      <c r="BS56" s="46">
        <v>0</v>
      </c>
      <c r="BT56" s="46">
        <v>0</v>
      </c>
      <c r="BU56" s="46">
        <v>0</v>
      </c>
      <c r="BV56" s="46">
        <v>0</v>
      </c>
      <c r="BW56" s="46">
        <v>0</v>
      </c>
      <c r="BX56" s="46">
        <v>0</v>
      </c>
      <c r="BY56" s="46">
        <v>0</v>
      </c>
      <c r="BZ56" s="46">
        <v>0</v>
      </c>
      <c r="CA56" s="46">
        <v>757274</v>
      </c>
      <c r="CB56" s="46">
        <v>787117</v>
      </c>
      <c r="CC56" s="46">
        <v>0</v>
      </c>
      <c r="CD56" s="46">
        <v>0</v>
      </c>
      <c r="CE56" s="46">
        <v>0</v>
      </c>
      <c r="CF56" s="46">
        <v>0</v>
      </c>
      <c r="CG56" s="46">
        <v>0</v>
      </c>
      <c r="CH56" s="46">
        <v>0</v>
      </c>
      <c r="CI56" s="46">
        <v>0</v>
      </c>
      <c r="CJ56" s="46">
        <v>0</v>
      </c>
      <c r="CK56" s="46">
        <v>0</v>
      </c>
      <c r="CL56" s="46">
        <v>0</v>
      </c>
      <c r="CM56" s="46">
        <v>0</v>
      </c>
      <c r="CN56" s="46">
        <v>0</v>
      </c>
      <c r="CO56" s="46">
        <v>0</v>
      </c>
      <c r="CP56" s="46">
        <v>0</v>
      </c>
      <c r="CQ56" s="46">
        <v>0</v>
      </c>
      <c r="CR56" s="46">
        <v>0</v>
      </c>
      <c r="CS56" s="46">
        <v>0</v>
      </c>
      <c r="CT56" s="46">
        <v>0</v>
      </c>
      <c r="CU56" s="46">
        <v>0</v>
      </c>
      <c r="CV56" s="46">
        <v>0</v>
      </c>
      <c r="CW56" s="46">
        <v>0</v>
      </c>
      <c r="CX56" s="46">
        <v>0</v>
      </c>
      <c r="CY56" s="46">
        <v>0</v>
      </c>
      <c r="CZ56" s="46">
        <v>0</v>
      </c>
      <c r="DA56" s="46">
        <v>0</v>
      </c>
      <c r="DB56" s="46">
        <v>-6950</v>
      </c>
      <c r="DC56" s="46">
        <v>0</v>
      </c>
      <c r="DD56" s="46">
        <v>0</v>
      </c>
      <c r="DE56" s="46">
        <v>0</v>
      </c>
      <c r="DF56" s="46">
        <v>0</v>
      </c>
      <c r="DG56" s="46">
        <v>0</v>
      </c>
      <c r="DH56" s="46">
        <v>0</v>
      </c>
      <c r="DI56" s="46">
        <v>0</v>
      </c>
      <c r="DJ56" s="46">
        <v>0</v>
      </c>
      <c r="DK56" s="46">
        <v>0</v>
      </c>
      <c r="DL56" s="46">
        <v>-43946</v>
      </c>
      <c r="DM56" s="46">
        <v>0</v>
      </c>
      <c r="DN56" s="46">
        <v>0</v>
      </c>
      <c r="DO56" s="46">
        <v>0</v>
      </c>
      <c r="DP56" s="46">
        <v>0</v>
      </c>
      <c r="DQ56" s="46">
        <v>0</v>
      </c>
      <c r="DR56" s="46">
        <v>0</v>
      </c>
      <c r="DS56" s="46">
        <v>0</v>
      </c>
      <c r="DT56" s="46">
        <v>0</v>
      </c>
      <c r="DU56" s="46">
        <v>0</v>
      </c>
      <c r="DV56" s="46">
        <v>0</v>
      </c>
      <c r="DW56" s="46">
        <v>0</v>
      </c>
      <c r="DX56" s="46">
        <v>0</v>
      </c>
      <c r="DY56" s="46">
        <v>0</v>
      </c>
      <c r="DZ56" s="46">
        <v>0</v>
      </c>
      <c r="EA56" s="46">
        <v>0</v>
      </c>
      <c r="EB56" s="46">
        <v>0</v>
      </c>
      <c r="EC56" s="46">
        <v>0</v>
      </c>
      <c r="ED56" s="46">
        <v>0</v>
      </c>
      <c r="EE56" s="46">
        <v>0</v>
      </c>
      <c r="EF56" s="46">
        <v>0</v>
      </c>
      <c r="EG56" s="46">
        <v>0</v>
      </c>
      <c r="EH56" s="46">
        <v>0</v>
      </c>
      <c r="EI56" s="46">
        <v>0</v>
      </c>
      <c r="EJ56" s="46">
        <v>0</v>
      </c>
      <c r="EK56" s="46">
        <v>0</v>
      </c>
      <c r="EL56" s="46">
        <v>0</v>
      </c>
      <c r="EM56" s="46">
        <v>0</v>
      </c>
      <c r="EN56" s="46">
        <v>0</v>
      </c>
      <c r="EO56" s="46">
        <v>0</v>
      </c>
      <c r="EP56" s="46">
        <v>0</v>
      </c>
      <c r="EQ56" s="46">
        <v>0</v>
      </c>
      <c r="ER56" s="46">
        <v>0</v>
      </c>
      <c r="ES56" s="46">
        <v>0</v>
      </c>
      <c r="ET56" s="46">
        <v>0</v>
      </c>
      <c r="EU56" s="46">
        <v>0</v>
      </c>
      <c r="EV56" s="46">
        <v>0</v>
      </c>
      <c r="EW56" s="46">
        <v>0</v>
      </c>
      <c r="EX56" s="46">
        <v>0</v>
      </c>
      <c r="EY56" s="46">
        <v>0</v>
      </c>
      <c r="EZ56" s="46">
        <v>0</v>
      </c>
      <c r="FA56" s="46">
        <v>0</v>
      </c>
      <c r="FB56" s="46">
        <v>0</v>
      </c>
      <c r="FC56" s="46">
        <v>0</v>
      </c>
      <c r="FD56" s="46">
        <v>0</v>
      </c>
      <c r="FE56" s="46">
        <v>0</v>
      </c>
      <c r="FF56" s="46">
        <v>0</v>
      </c>
      <c r="FG56" s="46">
        <v>0</v>
      </c>
      <c r="FH56" s="46">
        <v>0</v>
      </c>
      <c r="FI56" s="46">
        <v>0</v>
      </c>
      <c r="FJ56" s="46">
        <v>0</v>
      </c>
      <c r="FK56" s="46">
        <v>0</v>
      </c>
      <c r="FL56" s="46">
        <v>0</v>
      </c>
      <c r="FM56" s="46">
        <v>0</v>
      </c>
      <c r="FN56" s="46">
        <v>359469</v>
      </c>
      <c r="FO56" s="46">
        <v>0</v>
      </c>
      <c r="FP56" s="46">
        <v>0</v>
      </c>
      <c r="FQ56" s="46">
        <v>0</v>
      </c>
      <c r="FR56" s="46">
        <v>0</v>
      </c>
      <c r="FS56" s="46">
        <v>0</v>
      </c>
      <c r="FT56" s="46">
        <v>0</v>
      </c>
      <c r="FU56" s="46">
        <v>0</v>
      </c>
      <c r="FV56" s="46">
        <v>0</v>
      </c>
      <c r="FW56" s="46">
        <v>0</v>
      </c>
      <c r="FX56" s="46">
        <v>0</v>
      </c>
      <c r="FY56" s="46">
        <v>0</v>
      </c>
      <c r="FZ56" s="46">
        <v>0</v>
      </c>
      <c r="GA56" s="46">
        <v>0</v>
      </c>
      <c r="GB56" s="46">
        <v>0</v>
      </c>
      <c r="GC56" s="46">
        <v>0</v>
      </c>
      <c r="GD56" s="46">
        <v>0</v>
      </c>
      <c r="GE56" s="46">
        <v>0</v>
      </c>
      <c r="GF56" s="46">
        <v>0</v>
      </c>
      <c r="GG56" s="46">
        <v>0</v>
      </c>
      <c r="GH56" s="46">
        <v>0</v>
      </c>
      <c r="GI56" s="46">
        <v>0</v>
      </c>
      <c r="GJ56" s="46">
        <v>0</v>
      </c>
      <c r="GK56" s="46">
        <v>0</v>
      </c>
      <c r="GL56" s="46">
        <v>0</v>
      </c>
      <c r="GM56" s="46">
        <v>0</v>
      </c>
      <c r="GN56" s="46">
        <v>0</v>
      </c>
      <c r="GO56" s="46">
        <v>0</v>
      </c>
      <c r="GP56" s="46">
        <v>0</v>
      </c>
      <c r="GQ56" s="46">
        <v>0</v>
      </c>
      <c r="GR56" s="46">
        <v>0</v>
      </c>
      <c r="GS56" s="46">
        <v>0</v>
      </c>
      <c r="GT56" s="46">
        <v>0</v>
      </c>
      <c r="GU56" s="46">
        <v>0</v>
      </c>
      <c r="GV56" s="46">
        <v>0</v>
      </c>
      <c r="GW56" s="46">
        <v>0</v>
      </c>
      <c r="GX56" s="46">
        <v>0</v>
      </c>
      <c r="GY56" s="46">
        <v>0</v>
      </c>
      <c r="GZ56" s="46">
        <v>0</v>
      </c>
      <c r="HA56" s="46">
        <v>0</v>
      </c>
      <c r="HB56" s="46">
        <v>0</v>
      </c>
      <c r="HC56" s="46">
        <v>0</v>
      </c>
      <c r="HD56" s="46">
        <v>0</v>
      </c>
      <c r="HE56" s="46">
        <v>0</v>
      </c>
      <c r="HF56" s="46">
        <v>0</v>
      </c>
      <c r="HG56" s="46">
        <v>0</v>
      </c>
      <c r="HH56" s="46">
        <v>0</v>
      </c>
      <c r="HI56" s="46">
        <v>0</v>
      </c>
      <c r="HJ56" s="46">
        <v>0</v>
      </c>
      <c r="HK56" s="46">
        <v>0</v>
      </c>
      <c r="HL56" s="46">
        <v>0</v>
      </c>
      <c r="HM56" s="46">
        <v>0</v>
      </c>
      <c r="HN56" s="46">
        <v>0</v>
      </c>
      <c r="HO56" s="46">
        <v>0</v>
      </c>
      <c r="HP56" s="46">
        <v>87879641</v>
      </c>
      <c r="HQ56" s="46">
        <v>0</v>
      </c>
      <c r="HR56" s="46">
        <v>230796777</v>
      </c>
      <c r="HS56" s="46">
        <v>0</v>
      </c>
      <c r="HT56" s="46">
        <v>0</v>
      </c>
      <c r="HU56" s="46">
        <v>0</v>
      </c>
      <c r="HV56" s="46">
        <v>0</v>
      </c>
      <c r="HW56" s="46">
        <v>0</v>
      </c>
      <c r="HX56" s="46">
        <v>0</v>
      </c>
      <c r="HY56" s="46">
        <v>512572084</v>
      </c>
      <c r="HZ56" s="46">
        <v>0</v>
      </c>
      <c r="IA56" s="46">
        <v>0</v>
      </c>
      <c r="IB56" s="46">
        <v>0</v>
      </c>
      <c r="IC56" s="46">
        <v>0</v>
      </c>
      <c r="ID56" s="46">
        <v>0</v>
      </c>
      <c r="IE56" s="46">
        <v>0</v>
      </c>
      <c r="IF56" s="46">
        <v>0</v>
      </c>
      <c r="IG56" s="46">
        <v>6474434956</v>
      </c>
      <c r="IH56" s="46">
        <v>0</v>
      </c>
      <c r="II56" s="46">
        <v>0</v>
      </c>
      <c r="IJ56" s="46">
        <v>0</v>
      </c>
      <c r="IK56" s="46">
        <v>0</v>
      </c>
      <c r="IL56" s="46">
        <v>0</v>
      </c>
      <c r="IM56" s="46">
        <v>0</v>
      </c>
      <c r="IN56" s="46">
        <v>0</v>
      </c>
      <c r="IO56" s="46">
        <v>0</v>
      </c>
      <c r="IP56" s="46">
        <v>346645539</v>
      </c>
      <c r="IQ56" s="46">
        <v>283145277</v>
      </c>
      <c r="IR56" s="46">
        <v>0</v>
      </c>
      <c r="IS56" s="46">
        <v>43447228</v>
      </c>
      <c r="IT56" s="46">
        <v>0</v>
      </c>
      <c r="IU56" s="46">
        <v>126186</v>
      </c>
      <c r="IV56" s="46">
        <v>929107</v>
      </c>
      <c r="IW56" s="46">
        <v>0</v>
      </c>
      <c r="IX56" s="46">
        <v>0</v>
      </c>
      <c r="IY56" s="46">
        <v>0</v>
      </c>
      <c r="IZ56" s="46">
        <v>0</v>
      </c>
      <c r="JA56" s="46">
        <v>0</v>
      </c>
      <c r="JB56" s="46">
        <v>0</v>
      </c>
      <c r="JC56" s="46">
        <v>0</v>
      </c>
      <c r="JD56" s="46">
        <v>0</v>
      </c>
      <c r="JE56" s="46">
        <v>0</v>
      </c>
      <c r="JF56" s="46">
        <v>0</v>
      </c>
      <c r="JG56" s="46">
        <v>0</v>
      </c>
      <c r="JH56" s="46">
        <v>0</v>
      </c>
      <c r="JI56" s="46">
        <v>109319737</v>
      </c>
      <c r="JJ56" s="46">
        <v>0</v>
      </c>
      <c r="JK56" s="46">
        <v>375042881</v>
      </c>
      <c r="JL56" s="46">
        <v>0</v>
      </c>
      <c r="JM56" s="46">
        <v>0</v>
      </c>
      <c r="JN56" s="46">
        <v>0</v>
      </c>
      <c r="JO56" s="46">
        <v>0</v>
      </c>
      <c r="JP56" s="46">
        <v>0</v>
      </c>
      <c r="JQ56" s="46">
        <v>0</v>
      </c>
      <c r="JR56" s="46">
        <v>2283226</v>
      </c>
      <c r="JS56" s="46">
        <v>0</v>
      </c>
      <c r="JT56" s="46">
        <v>0</v>
      </c>
      <c r="JU56" s="46">
        <v>0</v>
      </c>
      <c r="JV56" s="46">
        <v>0</v>
      </c>
      <c r="JW56" s="46">
        <v>0</v>
      </c>
      <c r="JX56" s="46">
        <v>0</v>
      </c>
      <c r="JY56" s="46">
        <v>0</v>
      </c>
      <c r="JZ56" s="46">
        <v>0</v>
      </c>
      <c r="KA56" s="46">
        <v>0</v>
      </c>
      <c r="KB56" s="46">
        <v>47918788</v>
      </c>
      <c r="KC56" s="46">
        <v>0</v>
      </c>
      <c r="KD56" s="46">
        <v>0</v>
      </c>
      <c r="KE56" s="46">
        <v>0</v>
      </c>
      <c r="KF56" s="46">
        <v>0</v>
      </c>
      <c r="KG56" s="46">
        <v>0</v>
      </c>
      <c r="KH56" s="46">
        <v>0</v>
      </c>
      <c r="KI56" s="46">
        <v>-8388130</v>
      </c>
      <c r="KJ56" s="46">
        <v>88588345</v>
      </c>
      <c r="KK56" s="46">
        <v>0</v>
      </c>
      <c r="KL56" s="46">
        <v>3228714</v>
      </c>
      <c r="KM56" s="46">
        <v>0</v>
      </c>
      <c r="KN56" s="46">
        <v>0</v>
      </c>
      <c r="KO56" s="46">
        <v>0</v>
      </c>
      <c r="KP56" s="46">
        <v>0</v>
      </c>
      <c r="KQ56" s="46">
        <v>-253471</v>
      </c>
      <c r="KR56" s="46">
        <v>100984488</v>
      </c>
      <c r="KS56" s="46">
        <v>3411804</v>
      </c>
      <c r="KT56" s="46">
        <v>0</v>
      </c>
      <c r="KU56" s="46">
        <v>2088963</v>
      </c>
      <c r="KV56" s="46">
        <v>0</v>
      </c>
      <c r="KW56" s="46">
        <v>0</v>
      </c>
      <c r="KX56" s="46">
        <v>0</v>
      </c>
      <c r="KY56" s="46">
        <v>0</v>
      </c>
      <c r="KZ56" s="46">
        <v>0</v>
      </c>
      <c r="LA56" s="46">
        <v>327635032</v>
      </c>
      <c r="LB56" s="46">
        <v>217751922</v>
      </c>
      <c r="LC56" s="46">
        <v>0</v>
      </c>
      <c r="LD56" s="46">
        <v>630703760</v>
      </c>
      <c r="LE56" s="46">
        <v>0</v>
      </c>
      <c r="LF56" s="46">
        <v>0</v>
      </c>
      <c r="LG56" s="46">
        <v>0</v>
      </c>
      <c r="LH56" s="46">
        <v>0</v>
      </c>
      <c r="LI56" s="46">
        <v>0</v>
      </c>
      <c r="LJ56" s="46">
        <v>15780434</v>
      </c>
      <c r="LK56" s="46">
        <v>6421475</v>
      </c>
      <c r="LL56" s="46">
        <v>0</v>
      </c>
      <c r="LM56" s="46">
        <v>8088771</v>
      </c>
      <c r="LN56" s="46">
        <v>0</v>
      </c>
      <c r="LO56" s="46">
        <v>0</v>
      </c>
      <c r="LP56" s="46">
        <v>0</v>
      </c>
      <c r="LQ56" s="46">
        <v>0</v>
      </c>
      <c r="LR56" s="46">
        <v>0</v>
      </c>
      <c r="LS56" s="46">
        <v>4423969070</v>
      </c>
      <c r="LT56" s="46">
        <v>873579925</v>
      </c>
      <c r="LU56" s="46">
        <v>0</v>
      </c>
      <c r="LV56" s="46">
        <v>11630704</v>
      </c>
      <c r="LW56" s="46">
        <v>0</v>
      </c>
      <c r="LX56" s="46">
        <v>0</v>
      </c>
      <c r="LY56" s="46">
        <v>0</v>
      </c>
      <c r="LZ56" s="46">
        <v>0</v>
      </c>
      <c r="MA56" s="46">
        <v>0</v>
      </c>
      <c r="MB56" s="46">
        <v>198808659</v>
      </c>
      <c r="MC56" s="46">
        <v>1724902</v>
      </c>
      <c r="MD56" s="46">
        <v>0</v>
      </c>
      <c r="ME56" s="46">
        <v>609437</v>
      </c>
      <c r="MF56" s="46">
        <v>0</v>
      </c>
      <c r="MG56" s="46">
        <v>0</v>
      </c>
      <c r="MH56" s="46">
        <v>0</v>
      </c>
      <c r="MI56" s="46">
        <v>0</v>
      </c>
      <c r="MJ56" s="46">
        <v>0</v>
      </c>
      <c r="MK56" s="46">
        <v>928154</v>
      </c>
      <c r="ML56" s="46">
        <v>96354</v>
      </c>
      <c r="MM56" s="46">
        <v>0</v>
      </c>
      <c r="MN56" s="46">
        <v>2070995</v>
      </c>
      <c r="MO56" s="46">
        <v>0</v>
      </c>
      <c r="MP56" s="46">
        <v>0</v>
      </c>
      <c r="MQ56" s="46">
        <v>0</v>
      </c>
      <c r="MR56" s="46">
        <v>0</v>
      </c>
      <c r="MS56" s="46">
        <v>0</v>
      </c>
      <c r="MT56" s="46">
        <v>180728147</v>
      </c>
      <c r="MU56" s="46">
        <v>16541949</v>
      </c>
      <c r="MV56" s="46">
        <v>0</v>
      </c>
      <c r="MW56" s="46">
        <v>3008454</v>
      </c>
      <c r="MX56" s="46">
        <v>0</v>
      </c>
      <c r="MY56" s="46">
        <v>0</v>
      </c>
      <c r="MZ56" s="46">
        <v>0</v>
      </c>
      <c r="NA56" s="46">
        <v>0</v>
      </c>
      <c r="NB56" s="46">
        <v>0</v>
      </c>
      <c r="NC56" s="46">
        <v>296204340</v>
      </c>
      <c r="ND56" s="46">
        <v>418155</v>
      </c>
      <c r="NE56" s="46">
        <v>0</v>
      </c>
      <c r="NF56" s="46">
        <v>103536</v>
      </c>
      <c r="NG56" s="46">
        <v>0</v>
      </c>
      <c r="NH56" s="46">
        <v>0</v>
      </c>
      <c r="NI56" s="46">
        <v>0</v>
      </c>
      <c r="NJ56" s="46">
        <v>0</v>
      </c>
      <c r="NK56" s="46">
        <v>0</v>
      </c>
      <c r="NL56" s="46">
        <v>63482</v>
      </c>
      <c r="NM56" s="46">
        <v>1022315</v>
      </c>
      <c r="NN56" s="46">
        <v>0</v>
      </c>
      <c r="NO56" s="46">
        <v>2530487</v>
      </c>
      <c r="NP56" s="46">
        <v>0</v>
      </c>
      <c r="NQ56" s="46">
        <v>0</v>
      </c>
      <c r="NR56" s="46">
        <v>0</v>
      </c>
      <c r="NS56" s="46">
        <v>0</v>
      </c>
      <c r="NT56" s="46">
        <v>0</v>
      </c>
      <c r="NU56" s="46">
        <v>0</v>
      </c>
      <c r="NV56" s="46">
        <v>0</v>
      </c>
      <c r="NW56" s="46">
        <v>35522929</v>
      </c>
      <c r="NX56" s="46">
        <v>0</v>
      </c>
      <c r="NY56" s="46">
        <v>0</v>
      </c>
      <c r="NZ56" s="46">
        <v>0</v>
      </c>
      <c r="OA56" s="46">
        <v>0</v>
      </c>
      <c r="OB56" s="46">
        <v>0</v>
      </c>
      <c r="OC56" s="46">
        <v>0</v>
      </c>
      <c r="OD56" s="46">
        <v>86025672</v>
      </c>
      <c r="OE56" s="46">
        <v>7132028</v>
      </c>
      <c r="OF56" s="46">
        <v>50019</v>
      </c>
      <c r="OG56" s="46">
        <v>7167742</v>
      </c>
      <c r="OH56" s="46">
        <v>0</v>
      </c>
      <c r="OI56" s="46">
        <v>0</v>
      </c>
      <c r="OJ56" s="46">
        <v>0</v>
      </c>
      <c r="OK56" s="46">
        <v>0</v>
      </c>
      <c r="OL56" s="46">
        <v>0</v>
      </c>
      <c r="OM56" s="46">
        <v>4485496</v>
      </c>
      <c r="ON56" s="46">
        <v>2230674</v>
      </c>
      <c r="OO56" s="46">
        <v>0</v>
      </c>
      <c r="OP56" s="46">
        <v>0</v>
      </c>
      <c r="OQ56" s="46">
        <v>0</v>
      </c>
      <c r="OR56" s="46">
        <v>0</v>
      </c>
      <c r="OS56" s="46">
        <v>0</v>
      </c>
      <c r="OT56" s="46">
        <v>0</v>
      </c>
      <c r="OU56" s="46">
        <v>31485.08</v>
      </c>
      <c r="OV56" s="46">
        <v>0</v>
      </c>
      <c r="OW56" s="46">
        <v>0</v>
      </c>
      <c r="OX56" s="46">
        <v>0</v>
      </c>
      <c r="OY56" s="46">
        <v>0</v>
      </c>
      <c r="OZ56" s="46">
        <v>0</v>
      </c>
      <c r="PA56" s="46">
        <v>0</v>
      </c>
      <c r="PB56" s="46">
        <v>-1007172883</v>
      </c>
      <c r="PC56" s="46">
        <v>0</v>
      </c>
      <c r="PD56" s="46">
        <v>0</v>
      </c>
      <c r="PE56" s="46">
        <v>-274270682</v>
      </c>
      <c r="PF56" s="46">
        <v>163015639</v>
      </c>
      <c r="PG56" s="46">
        <v>3872660</v>
      </c>
      <c r="PH56" s="46">
        <v>-4518590</v>
      </c>
      <c r="PI56" s="46">
        <v>0</v>
      </c>
      <c r="PJ56" s="46">
        <v>11978919</v>
      </c>
      <c r="PK56" s="46">
        <v>225608841</v>
      </c>
      <c r="PL56" s="46">
        <v>0</v>
      </c>
      <c r="PM56" s="46">
        <v>80742146</v>
      </c>
      <c r="PN56" s="46">
        <v>0</v>
      </c>
      <c r="PO56" s="46">
        <v>0</v>
      </c>
      <c r="PP56" s="46">
        <v>0</v>
      </c>
      <c r="PQ56" s="46">
        <v>0</v>
      </c>
      <c r="PR56" s="46">
        <v>0</v>
      </c>
      <c r="PS56" s="46">
        <v>0</v>
      </c>
      <c r="PT56" s="46">
        <v>160248527</v>
      </c>
      <c r="PU56" s="46">
        <v>0</v>
      </c>
      <c r="PV56" s="46">
        <v>0</v>
      </c>
      <c r="PW56" s="46">
        <v>-78311076</v>
      </c>
      <c r="PX56" s="46">
        <v>0</v>
      </c>
      <c r="PY56" s="46">
        <v>-7391078</v>
      </c>
      <c r="PZ56" s="46">
        <v>0</v>
      </c>
      <c r="QA56" s="46">
        <v>0</v>
      </c>
      <c r="QB56" s="46">
        <v>0</v>
      </c>
      <c r="QC56" s="46">
        <v>0</v>
      </c>
      <c r="QD56" s="46">
        <v>0</v>
      </c>
      <c r="QE56" s="46">
        <v>0</v>
      </c>
      <c r="QF56" s="46">
        <v>462816947</v>
      </c>
      <c r="QG56" s="46">
        <v>28011747</v>
      </c>
      <c r="QH56" s="46">
        <v>0</v>
      </c>
      <c r="QI56" s="46">
        <v>0</v>
      </c>
      <c r="QJ56" s="46">
        <v>0</v>
      </c>
      <c r="QK56" s="46">
        <v>88788376</v>
      </c>
      <c r="QL56" s="46">
        <v>0</v>
      </c>
      <c r="QM56" s="46">
        <v>0</v>
      </c>
      <c r="QN56" s="46">
        <v>0</v>
      </c>
      <c r="QO56" s="46">
        <v>0</v>
      </c>
      <c r="QP56" s="46">
        <v>0</v>
      </c>
      <c r="QQ56" s="46">
        <v>0</v>
      </c>
      <c r="QR56" s="46">
        <v>561544</v>
      </c>
      <c r="QS56" s="46">
        <v>0</v>
      </c>
      <c r="QT56" s="46">
        <v>25946094</v>
      </c>
      <c r="QU56" s="46">
        <v>0</v>
      </c>
      <c r="QV56" s="46">
        <v>0</v>
      </c>
      <c r="QW56" s="46">
        <v>0</v>
      </c>
      <c r="QX56" s="46">
        <v>0</v>
      </c>
      <c r="QY56" s="46">
        <v>0</v>
      </c>
      <c r="QZ56" s="46">
        <v>0</v>
      </c>
      <c r="RA56" s="46">
        <v>0</v>
      </c>
      <c r="RB56" s="46">
        <v>0</v>
      </c>
      <c r="RC56" s="46">
        <v>0</v>
      </c>
      <c r="RD56" s="46">
        <v>0</v>
      </c>
      <c r="RE56" s="46">
        <v>0</v>
      </c>
      <c r="RF56" s="46">
        <v>0</v>
      </c>
      <c r="RG56" s="46">
        <v>-366540</v>
      </c>
      <c r="RH56" s="46">
        <v>0</v>
      </c>
      <c r="RI56" s="46">
        <v>0</v>
      </c>
      <c r="RJ56" s="46">
        <v>0</v>
      </c>
      <c r="RK56" s="46">
        <v>0</v>
      </c>
      <c r="RL56" s="46">
        <v>0</v>
      </c>
      <c r="RM56" s="46">
        <v>0</v>
      </c>
      <c r="RN56" s="46">
        <v>0</v>
      </c>
      <c r="RO56" s="46">
        <v>-392169992</v>
      </c>
      <c r="RP56" s="46">
        <v>0</v>
      </c>
      <c r="RQ56" s="46">
        <v>0</v>
      </c>
      <c r="RR56" s="46">
        <v>0</v>
      </c>
      <c r="RS56" s="46">
        <v>0</v>
      </c>
      <c r="RT56" s="46">
        <v>0</v>
      </c>
      <c r="RU56" s="46">
        <v>0</v>
      </c>
      <c r="RV56" s="46">
        <v>0</v>
      </c>
      <c r="RW56" s="46">
        <v>0</v>
      </c>
      <c r="RX56" s="46">
        <v>0</v>
      </c>
      <c r="RY56" s="46">
        <v>0</v>
      </c>
      <c r="RZ56" s="46">
        <v>0</v>
      </c>
      <c r="SA56" s="46">
        <v>0</v>
      </c>
      <c r="SB56" s="46">
        <v>0</v>
      </c>
      <c r="SC56" s="46">
        <v>0</v>
      </c>
      <c r="SD56" s="46">
        <v>0</v>
      </c>
      <c r="SE56" s="46">
        <v>0</v>
      </c>
      <c r="SF56" s="46">
        <v>0</v>
      </c>
      <c r="SG56" s="46">
        <v>0</v>
      </c>
      <c r="SH56" s="46">
        <v>0</v>
      </c>
      <c r="SI56" s="46">
        <v>0</v>
      </c>
      <c r="SJ56" s="46">
        <v>0</v>
      </c>
      <c r="SK56" s="46">
        <v>0</v>
      </c>
      <c r="SL56" s="46">
        <v>0</v>
      </c>
      <c r="SM56" s="46">
        <v>0</v>
      </c>
      <c r="SN56" s="46">
        <v>0</v>
      </c>
      <c r="SO56" s="46">
        <v>0</v>
      </c>
      <c r="SP56" s="46">
        <v>0</v>
      </c>
      <c r="SQ56" s="46">
        <v>0</v>
      </c>
      <c r="SR56" s="46">
        <v>0</v>
      </c>
      <c r="SS56" s="46">
        <v>0</v>
      </c>
      <c r="ST56" s="46">
        <v>0</v>
      </c>
      <c r="SU56" s="46">
        <v>0</v>
      </c>
      <c r="SV56" s="46">
        <v>0</v>
      </c>
      <c r="SW56" s="46">
        <v>0</v>
      </c>
      <c r="SX56" s="46">
        <v>0</v>
      </c>
      <c r="SY56" s="46">
        <v>1107548344</v>
      </c>
      <c r="SZ56" s="46">
        <v>535505</v>
      </c>
      <c r="TA56" s="46">
        <v>17808918</v>
      </c>
      <c r="TB56" s="46">
        <v>113438</v>
      </c>
      <c r="TC56" s="46">
        <v>58604433</v>
      </c>
      <c r="TD56" s="46">
        <v>153454</v>
      </c>
      <c r="TE56" s="46">
        <v>122870</v>
      </c>
      <c r="TF56" s="46">
        <v>20730439</v>
      </c>
      <c r="TG56" s="46">
        <v>2256385</v>
      </c>
      <c r="TH56" s="46">
        <v>0</v>
      </c>
      <c r="TI56" s="46">
        <v>50019</v>
      </c>
      <c r="TJ56" s="46">
        <v>0</v>
      </c>
      <c r="TK56" s="46">
        <v>0</v>
      </c>
      <c r="TL56" s="46">
        <v>4648553</v>
      </c>
      <c r="TM56" s="46">
        <v>0</v>
      </c>
      <c r="TN56" s="46">
        <v>0</v>
      </c>
      <c r="TO56" s="46">
        <v>0</v>
      </c>
      <c r="TP56" s="46">
        <v>0</v>
      </c>
      <c r="TQ56" s="46">
        <v>-1905</v>
      </c>
      <c r="TR56" s="46">
        <v>0</v>
      </c>
      <c r="TS56" s="46">
        <v>0</v>
      </c>
      <c r="TT56" s="46">
        <v>0</v>
      </c>
      <c r="TU56" s="46">
        <v>1313792</v>
      </c>
      <c r="TV56" s="46">
        <v>0</v>
      </c>
      <c r="TW56" s="46">
        <v>0</v>
      </c>
      <c r="TX56" s="46">
        <v>0</v>
      </c>
      <c r="TY56" s="46">
        <v>0</v>
      </c>
      <c r="TZ56" s="46">
        <v>0</v>
      </c>
      <c r="UA56" s="46">
        <v>0</v>
      </c>
      <c r="UB56" s="46">
        <v>0</v>
      </c>
      <c r="UC56" s="46">
        <v>13826297925</v>
      </c>
      <c r="UD56" s="46">
        <v>7351862969</v>
      </c>
      <c r="UE56" s="46">
        <v>106485255</v>
      </c>
      <c r="UF56" s="46">
        <v>1176090714</v>
      </c>
      <c r="UG56" s="46">
        <v>30290680</v>
      </c>
      <c r="UH56" s="46">
        <v>5309179699</v>
      </c>
      <c r="UI56" s="46">
        <v>201142998</v>
      </c>
      <c r="UJ56" s="46">
        <v>3095503</v>
      </c>
      <c r="UK56" s="46">
        <v>200278550</v>
      </c>
      <c r="UL56" s="46">
        <v>296726031</v>
      </c>
      <c r="UM56" s="46">
        <v>3616284</v>
      </c>
      <c r="UN56" s="46">
        <v>35522929</v>
      </c>
      <c r="UO5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100375461</v>
      </c>
      <c r="UP56" s="46">
        <f>SUM(Input[[#This Row],[Oth Exp E&amp;G]],Input[[#This Row],[Oth Exp Desg]],Input[[#This Row],[Oth Exp Aux]],Input[[#This Row],[Oth Exp R Exp]],Input[[#This Row],[Oth Exp Loan]],Input[[#This Row],[Oth Exp Annuity]],Input[[#This Row],[Oth Exp Unexp]],Input[[#This Row],[Oth Exp R of Ind]],Input[[#This Row],[Oth Exp Inv in P]])</f>
        <v>6747655.0800000001</v>
      </c>
      <c r="UQ56" s="46"/>
      <c r="UR56" s="46"/>
      <c r="US56" s="8" t="s">
        <v>848</v>
      </c>
      <c r="UT56" s="47">
        <v>8327501001</v>
      </c>
      <c r="UU56" s="8" t="s">
        <v>88</v>
      </c>
      <c r="UV56" s="8" t="s">
        <v>849</v>
      </c>
      <c r="UW56" s="47">
        <v>7137453596</v>
      </c>
      <c r="UX56" s="8" t="s">
        <v>850</v>
      </c>
      <c r="UY56" s="51" cm="1">
        <f t="array" ref="UY56">IFERROR(_xlfn.IFS(Input[[#This Row],[Type]]="HRI",SUMIFS('FTSE | FTFE'!$P$8:$P$77,'FTSE | FTFE'!$H$8:$H$77,A56),Input[[#This Row],[Type]]="UNIV",SUMIFS('FTSE | FTFE'!$P$104:$P$139,'FTSE | FTFE'!$H$104:$H$139,A56),OR(Input[[#This Row],[Type]]="TSTC",Input[[#This Row],[Type]]="LSC"),SUMIFS('FTSE | FTFE'!$O$88:$O$96,'FTSE | FTFE'!$H$88:$H$96,A56),Input[[#This Row],[Type]]="AHM",SUMIFS(Hidden!$H$42:$H$45,Hidden!$G$42:$G$45,A56)),"N/A")</f>
        <v>394</v>
      </c>
      <c r="UZ56" s="51" cm="1">
        <f t="array" ref="UZ56">IFERROR(_xlfn.IFS(Input[[#This Row],[Type]]="HRI",SUMIFS('FTSE | FTFE'!$Q$8:$Q$77,'FTSE | FTFE'!$H$8:$H$77,A56),Input[[#This Row],[Type]]="UNIV",SUMIFS('FTSE | FTFE'!$Q$104:$Q$139,'FTSE | FTFE'!$H$104:$H$139,A56),OR(Input[[#This Row],[Type]]="TSTC",Input[[#This Row],[Type]]="LSC"),SUMIFS('FTSE | FTFE'!$P$88:$P$96,'FTSE | FTFE'!$H$88:$H$96,A56)),"N/A")</f>
        <v>871.38</v>
      </c>
      <c r="VA5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281383294</v>
      </c>
      <c r="VB5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6" s="46">
        <f>SUM(Input[[#This Row],[Fed G&amp;C E&amp;G]],Input[[#This Row],[Fed G&amp;C Desg]],Input[[#This Row],[Fed G&amp;C R Exp]],Input[[#This Row],[Fed G&amp;C Loan]],Input[[#This Row],[Fed G&amp;C Annuity]],Input[[#This Row],[Fed G&amp;C Unexp]],Input[[#This Row],[Fed G&amp;C R of Ind]],Input[[#This Row],[Fed G&amp;C Inv in P]])</f>
        <v>318676418</v>
      </c>
      <c r="VD5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1244114639</v>
      </c>
      <c r="VE5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1493495</v>
      </c>
      <c r="VF5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359469</v>
      </c>
      <c r="VG56" s="46">
        <f>SUM(Input[[#This Row],[Oth Inc E&amp;G]],Input[[#This Row],[Oth Exp Desg]],Input[[#This Row],[Oth Exp R Exp]],Input[[#This Row],[Oth Exp Loan]],Input[[#This Row],[Oth Exp Annuity]],Input[[#This Row],[Oth Exp Unexp]],Input[[#This Row],[Oth Exp R of Ind]],Input[[#This Row],[Oth Exp Inv in P]])</f>
        <v>-6125970.9199999999</v>
      </c>
      <c r="VH56" s="46">
        <f>SUM(Input[[#This Row],[Instr E&amp;G]],Input[[#This Row],[Instr Desg]],Input[[#This Row],[Instr R Exp]],Input[[#This Row],[Instr Loan]],Input[[#This Row],[Instr Annuity]],Input[[#This Row],[Instr Unexp]],Input[[#This Row],[Instr R of Ind]],Input[[#This Row],[Instr Inv in P]])</f>
        <v>106485255</v>
      </c>
      <c r="VI56" s="46">
        <f>SUM(Input[[#This Row],[Res E&amp;G]],Input[[#This Row],[Res Desg]],Input[[#This Row],[Res R Exp]],Input[[#This Row],[Res Loan]],Input[[#This Row],[Res Annuity]],Input[[#This Row],[Res Unexp]],Input[[#This Row],[Res R of Ind]],Input[[#This Row],[Res Inv in P]])</f>
        <v>1176090714</v>
      </c>
      <c r="VJ56" s="46">
        <f>SUM(Input[[#This Row],[Acad Sup E&amp;G]],Input[[#This Row],[Acad Sup Desg]],Input[[#This Row],[Acad Sup R Exp]],Input[[#This Row],[Acad Sup Loan]],Input[[#This Row],[Acad Sup Annuity]],Input[[#This Row],[Acad Sup Unexp]],Input[[#This Row],[Acad Sup R of Ind]],Input[[#This Row],[Acad Sup Inv in P]])</f>
        <v>201142998</v>
      </c>
      <c r="VK56" s="46">
        <f>SUM(Input[[#This Row],[Stu Svc E&amp;G]],Input[[#This Row],[Stu Svc Desg]],Input[[#This Row],[Stu Svc R Exp]],Input[[#This Row],[Stu Svc Loan]],Input[[#This Row],[Stu Svc Annuity]],Input[[#This Row],[Stu Svc Unexp]],Input[[#This Row],[Stu Svc R of Ind]],Input[[#This Row],[Stu Svc Inv in P]])</f>
        <v>3095503</v>
      </c>
      <c r="VL56" s="46">
        <f>SUM(Input[[#This Row],[Inst. Spt E&amp;G]],Input[[#This Row],[Inst. Spt Desg]],Input[[#This Row],[Inst. Spt R Exp]],Input[[#This Row],[Inst. Spt Loan]],Input[[#This Row],[Inst. Spt Annuity]],Input[[#This Row],[Inst. Spt Unexp]],Input[[#This Row],[Inst. Spt R of Ind]],Input[[#This Row],[Inst. Spt Inv in P]])</f>
        <v>200278550</v>
      </c>
      <c r="VM56" s="46">
        <f>SUM(Input[[#This Row],[M&amp;O Plnt E&amp;G]],Input[[#This Row],[M&amp;O Plnt Desg]],Input[[#This Row],[M&amp;O Plnt R Exp]],Input[[#This Row],[M&amp;O Plnt Loan]],Input[[#This Row],[M&amp;O Plnt Annuity]],Input[[#This Row],[M&amp;O Plnt Unexp]],Input[[#This Row],[M&amp;O Plnt R of Ind]],Input[[#This Row],[M&amp;O Plnt Inv in P]])</f>
        <v>296726031</v>
      </c>
      <c r="VN56" s="46">
        <f>SUM(Input[[#This Row],[Schl &amp; Fell E&amp;G]],Input[[#This Row],[Schl &amp; Fell Desg]],Input[[#This Row],[Schl &amp; Fell R Exp]],Input[[#This Row],[Schl &amp; Fell Loan]],Input[[#This Row],[Schl &amp; Fell Annuity]],Input[[#This Row],[Schl &amp; Fell Unexp]],Input[[#This Row],[Schl &amp; Fell R of Ind]],Input[[#This Row],[Schl &amp; Fell Inv in P]])</f>
        <v>3616284</v>
      </c>
      <c r="VO56" s="46">
        <f>SUM(Input[[#This Row],[Cap Out fund E&amp;G]],Input[[#This Row],[Cap Out fund Desg]],Input[[#This Row],[Cap Out fund R Exp]],Input[[#This Row],[Cap Out fund Loan]],Input[[#This Row],[Cap Out fund Annuity]],Input[[#This Row],[Cap Out fund Unexp]],Input[[#This Row],[Cap Out fund R of Ind]],Input[[#This Row],[Cap Out fund Inv in P]])</f>
        <v>100325442</v>
      </c>
      <c r="VP56" s="46">
        <f>SUM(Input[[#This Row],[Oth Exp E&amp;G]],Input[[#This Row],[Oth Exp Desg]],Input[[#This Row],[Oth Exp R Exp]],Input[[#This Row],[Oth Exp Loan]],Input[[#This Row],[Oth Exp Annuity]],Input[[#This Row],[Oth Exp Unexp]],Input[[#This Row],[Oth Exp R of Ind]],Input[[#This Row],[Oth Exp Inv in P]],Input[[#This Row],[Oth Exp Inv in P]])</f>
        <v>6779140.1600000001</v>
      </c>
    </row>
    <row r="57" spans="1:588" ht="30" customHeight="1" x14ac:dyDescent="0.3">
      <c r="A57" s="15" t="s">
        <v>34</v>
      </c>
      <c r="B57" s="36" t="s">
        <v>118</v>
      </c>
      <c r="C57" s="36" t="s">
        <v>117</v>
      </c>
      <c r="D57" s="36">
        <v>907</v>
      </c>
      <c r="E57" s="36" t="s">
        <v>134</v>
      </c>
      <c r="F57" s="95" cm="1">
        <f t="array" ref="F57">IFERROR(_xlfn.IFS(Input[[#This Row],[Type]]="HRI",SUMIFS('FTSE | FTFE'!$I$8:$I$77,'FTSE | FTFE'!$H$8:$H$77,A57),Input[[#This Row],[Type]]="UNIV",SUMIFS('FTSE | FTFE'!$I$104:$I$139,'FTSE | FTFE'!$H$104:$H$139,A57),OR(Input[[#This Row],[Type]]="TSTC",Input[[#This Row],[Type]]="LSC"),SUMIFS('FTSE | FTFE'!$I$88:$I$96,'FTSE | FTFE'!$H$88:$H$96,A57)),"N/A")</f>
        <v>42439</v>
      </c>
      <c r="G57" s="46">
        <v>66606887</v>
      </c>
      <c r="H57" s="46">
        <v>0</v>
      </c>
      <c r="I57" s="46">
        <v>0</v>
      </c>
      <c r="J57" s="46">
        <v>0</v>
      </c>
      <c r="K57" s="46">
        <v>0</v>
      </c>
      <c r="L57" s="46">
        <v>0</v>
      </c>
      <c r="M57" s="46">
        <v>0</v>
      </c>
      <c r="N57" s="46">
        <v>0</v>
      </c>
      <c r="O57" s="46">
        <v>0</v>
      </c>
      <c r="P57" s="46">
        <v>0</v>
      </c>
      <c r="Q57" s="46">
        <v>123125</v>
      </c>
      <c r="R57" s="46">
        <v>0</v>
      </c>
      <c r="S57" s="46">
        <v>23974335</v>
      </c>
      <c r="T57" s="46">
        <v>0</v>
      </c>
      <c r="U57" s="46">
        <v>0</v>
      </c>
      <c r="V57" s="46">
        <v>0</v>
      </c>
      <c r="W57" s="46">
        <v>0</v>
      </c>
      <c r="X57" s="46">
        <v>0</v>
      </c>
      <c r="Y57" s="46">
        <v>0</v>
      </c>
      <c r="Z57" s="46">
        <v>0</v>
      </c>
      <c r="AA57" s="46">
        <v>0</v>
      </c>
      <c r="AB57" s="46">
        <v>0</v>
      </c>
      <c r="AC57" s="46">
        <v>0</v>
      </c>
      <c r="AD57" s="46">
        <v>0</v>
      </c>
      <c r="AE57" s="46">
        <v>0</v>
      </c>
      <c r="AF57" s="46">
        <v>0</v>
      </c>
      <c r="AG57" s="46">
        <v>0</v>
      </c>
      <c r="AH57" s="46">
        <v>0</v>
      </c>
      <c r="AI57" s="46">
        <v>0</v>
      </c>
      <c r="AJ57" s="46">
        <v>0</v>
      </c>
      <c r="AK57" s="46">
        <v>0</v>
      </c>
      <c r="AL57" s="46">
        <v>0</v>
      </c>
      <c r="AM57" s="46">
        <v>0</v>
      </c>
      <c r="AN57" s="46">
        <v>0</v>
      </c>
      <c r="AO57" s="46">
        <v>0</v>
      </c>
      <c r="AP57" s="46">
        <v>0</v>
      </c>
      <c r="AQ57" s="46">
        <v>0</v>
      </c>
      <c r="AR57" s="46">
        <v>0</v>
      </c>
      <c r="AS57" s="46">
        <v>0</v>
      </c>
      <c r="AT57" s="46">
        <v>0</v>
      </c>
      <c r="AU57" s="46">
        <v>0</v>
      </c>
      <c r="AV57" s="46">
        <v>0</v>
      </c>
      <c r="AW57" s="46">
        <v>0</v>
      </c>
      <c r="AX57" s="46">
        <v>0</v>
      </c>
      <c r="AY57" s="46">
        <v>0</v>
      </c>
      <c r="AZ57" s="46">
        <v>0</v>
      </c>
      <c r="BA57" s="46">
        <v>0</v>
      </c>
      <c r="BB57" s="46">
        <v>0</v>
      </c>
      <c r="BC57" s="46">
        <v>0</v>
      </c>
      <c r="BD57" s="46">
        <v>0</v>
      </c>
      <c r="BE57" s="46">
        <v>0</v>
      </c>
      <c r="BF57" s="46">
        <v>0</v>
      </c>
      <c r="BG57" s="46">
        <v>0</v>
      </c>
      <c r="BH57" s="46">
        <v>0</v>
      </c>
      <c r="BI57" s="46">
        <v>0</v>
      </c>
      <c r="BJ57" s="46">
        <v>0</v>
      </c>
      <c r="BK57" s="46">
        <v>0</v>
      </c>
      <c r="BL57" s="46">
        <v>0</v>
      </c>
      <c r="BM57" s="46">
        <v>0</v>
      </c>
      <c r="BN57" s="46">
        <v>0</v>
      </c>
      <c r="BO57" s="46">
        <v>0</v>
      </c>
      <c r="BP57" s="46">
        <v>0</v>
      </c>
      <c r="BQ57" s="46">
        <v>0</v>
      </c>
      <c r="BR57" s="46">
        <v>0</v>
      </c>
      <c r="BS57" s="46">
        <v>0</v>
      </c>
      <c r="BT57" s="46">
        <v>0</v>
      </c>
      <c r="BU57" s="46">
        <v>0</v>
      </c>
      <c r="BV57" s="46">
        <v>0</v>
      </c>
      <c r="BW57" s="46">
        <v>0</v>
      </c>
      <c r="BX57" s="46">
        <v>0</v>
      </c>
      <c r="BY57" s="46">
        <v>0</v>
      </c>
      <c r="BZ57" s="46">
        <v>0</v>
      </c>
      <c r="CA57" s="46">
        <v>1526591</v>
      </c>
      <c r="CB57" s="46">
        <v>2755405</v>
      </c>
      <c r="CC57" s="46">
        <v>0</v>
      </c>
      <c r="CD57" s="46">
        <v>0</v>
      </c>
      <c r="CE57" s="46">
        <v>0</v>
      </c>
      <c r="CF57" s="46">
        <v>0</v>
      </c>
      <c r="CG57" s="46">
        <v>0</v>
      </c>
      <c r="CH57" s="46">
        <v>0</v>
      </c>
      <c r="CI57" s="46">
        <v>0</v>
      </c>
      <c r="CJ57" s="46">
        <v>0</v>
      </c>
      <c r="CK57" s="46">
        <v>0</v>
      </c>
      <c r="CL57" s="46">
        <v>0</v>
      </c>
      <c r="CM57" s="46">
        <v>0</v>
      </c>
      <c r="CN57" s="46">
        <v>0</v>
      </c>
      <c r="CO57" s="46">
        <v>0</v>
      </c>
      <c r="CP57" s="46">
        <v>0</v>
      </c>
      <c r="CQ57" s="46">
        <v>0</v>
      </c>
      <c r="CR57" s="46">
        <v>0</v>
      </c>
      <c r="CS57" s="46">
        <v>0</v>
      </c>
      <c r="CT57" s="46">
        <v>0</v>
      </c>
      <c r="CU57" s="46">
        <v>0</v>
      </c>
      <c r="CV57" s="46">
        <v>0</v>
      </c>
      <c r="CW57" s="46">
        <v>0</v>
      </c>
      <c r="CX57" s="46">
        <v>0</v>
      </c>
      <c r="CY57" s="46">
        <v>0</v>
      </c>
      <c r="CZ57" s="46">
        <v>0</v>
      </c>
      <c r="DA57" s="46">
        <v>0</v>
      </c>
      <c r="DB57" s="46">
        <v>0</v>
      </c>
      <c r="DC57" s="46">
        <v>0</v>
      </c>
      <c r="DD57" s="46">
        <v>0</v>
      </c>
      <c r="DE57" s="46">
        <v>0</v>
      </c>
      <c r="DF57" s="46">
        <v>0</v>
      </c>
      <c r="DG57" s="46">
        <v>0</v>
      </c>
      <c r="DH57" s="46">
        <v>0</v>
      </c>
      <c r="DI57" s="46">
        <v>0</v>
      </c>
      <c r="DJ57" s="46">
        <v>0</v>
      </c>
      <c r="DK57" s="46">
        <v>0</v>
      </c>
      <c r="DL57" s="46">
        <v>0</v>
      </c>
      <c r="DM57" s="46">
        <v>0</v>
      </c>
      <c r="DN57" s="46">
        <v>0</v>
      </c>
      <c r="DO57" s="46">
        <v>0</v>
      </c>
      <c r="DP57" s="46">
        <v>0</v>
      </c>
      <c r="DQ57" s="46">
        <v>0</v>
      </c>
      <c r="DR57" s="46">
        <v>0</v>
      </c>
      <c r="DS57" s="46">
        <v>0</v>
      </c>
      <c r="DT57" s="46">
        <v>0</v>
      </c>
      <c r="DU57" s="46">
        <v>0</v>
      </c>
      <c r="DV57" s="46">
        <v>0</v>
      </c>
      <c r="DW57" s="46">
        <v>0</v>
      </c>
      <c r="DX57" s="46">
        <v>0</v>
      </c>
      <c r="DY57" s="46">
        <v>0</v>
      </c>
      <c r="DZ57" s="46">
        <v>0</v>
      </c>
      <c r="EA57" s="46">
        <v>0</v>
      </c>
      <c r="EB57" s="46">
        <v>0</v>
      </c>
      <c r="EC57" s="46">
        <v>0</v>
      </c>
      <c r="ED57" s="46">
        <v>0</v>
      </c>
      <c r="EE57" s="46">
        <v>0</v>
      </c>
      <c r="EF57" s="46">
        <v>0</v>
      </c>
      <c r="EG57" s="46">
        <v>0</v>
      </c>
      <c r="EH57" s="46">
        <v>0</v>
      </c>
      <c r="EI57" s="46">
        <v>0</v>
      </c>
      <c r="EJ57" s="46">
        <v>0</v>
      </c>
      <c r="EK57" s="46">
        <v>0</v>
      </c>
      <c r="EL57" s="46">
        <v>0</v>
      </c>
      <c r="EM57" s="46">
        <v>0</v>
      </c>
      <c r="EN57" s="46">
        <v>0</v>
      </c>
      <c r="EO57" s="46">
        <v>0</v>
      </c>
      <c r="EP57" s="46">
        <v>0</v>
      </c>
      <c r="EQ57" s="46">
        <v>0</v>
      </c>
      <c r="ER57" s="46">
        <v>0</v>
      </c>
      <c r="ES57" s="46">
        <v>0</v>
      </c>
      <c r="ET57" s="46">
        <v>0</v>
      </c>
      <c r="EU57" s="46">
        <v>0</v>
      </c>
      <c r="EV57" s="46">
        <v>0</v>
      </c>
      <c r="EW57" s="46">
        <v>0</v>
      </c>
      <c r="EX57" s="46">
        <v>0</v>
      </c>
      <c r="EY57" s="46">
        <v>0</v>
      </c>
      <c r="EZ57" s="46">
        <v>0</v>
      </c>
      <c r="FA57" s="46">
        <v>0</v>
      </c>
      <c r="FB57" s="46">
        <v>0</v>
      </c>
      <c r="FC57" s="46">
        <v>0</v>
      </c>
      <c r="FD57" s="46">
        <v>0</v>
      </c>
      <c r="FE57" s="46">
        <v>0</v>
      </c>
      <c r="FF57" s="46">
        <v>0</v>
      </c>
      <c r="FG57" s="46">
        <v>0</v>
      </c>
      <c r="FH57" s="46">
        <v>0</v>
      </c>
      <c r="FI57" s="46">
        <v>0</v>
      </c>
      <c r="FJ57" s="46">
        <v>0</v>
      </c>
      <c r="FK57" s="46">
        <v>0</v>
      </c>
      <c r="FL57" s="46">
        <v>0</v>
      </c>
      <c r="FM57" s="46">
        <v>0</v>
      </c>
      <c r="FN57" s="46">
        <v>0</v>
      </c>
      <c r="FO57" s="46">
        <v>0</v>
      </c>
      <c r="FP57" s="46">
        <v>0</v>
      </c>
      <c r="FQ57" s="46">
        <v>0</v>
      </c>
      <c r="FR57" s="46">
        <v>0</v>
      </c>
      <c r="FS57" s="46">
        <v>0</v>
      </c>
      <c r="FT57" s="46">
        <v>0</v>
      </c>
      <c r="FU57" s="46">
        <v>0</v>
      </c>
      <c r="FV57" s="46">
        <v>0</v>
      </c>
      <c r="FW57" s="46">
        <v>0</v>
      </c>
      <c r="FX57" s="46">
        <v>0</v>
      </c>
      <c r="FY57" s="46">
        <v>0</v>
      </c>
      <c r="FZ57" s="46">
        <v>0</v>
      </c>
      <c r="GA57" s="46">
        <v>0</v>
      </c>
      <c r="GB57" s="46">
        <v>0</v>
      </c>
      <c r="GC57" s="46">
        <v>0</v>
      </c>
      <c r="GD57" s="46">
        <v>0</v>
      </c>
      <c r="GE57" s="46">
        <v>0</v>
      </c>
      <c r="GF57" s="46">
        <v>0</v>
      </c>
      <c r="GG57" s="46">
        <v>0</v>
      </c>
      <c r="GH57" s="46">
        <v>0</v>
      </c>
      <c r="GI57" s="46">
        <v>0</v>
      </c>
      <c r="GJ57" s="46">
        <v>0</v>
      </c>
      <c r="GK57" s="46">
        <v>0</v>
      </c>
      <c r="GL57" s="46">
        <v>0</v>
      </c>
      <c r="GM57" s="46">
        <v>0</v>
      </c>
      <c r="GN57" s="46">
        <v>0</v>
      </c>
      <c r="GO57" s="46">
        <v>0</v>
      </c>
      <c r="GP57" s="46">
        <v>0</v>
      </c>
      <c r="GQ57" s="46">
        <v>0</v>
      </c>
      <c r="GR57" s="46">
        <v>0</v>
      </c>
      <c r="GS57" s="46">
        <v>0</v>
      </c>
      <c r="GT57" s="46">
        <v>0</v>
      </c>
      <c r="GU57" s="46">
        <v>0</v>
      </c>
      <c r="GV57" s="46">
        <v>0</v>
      </c>
      <c r="GW57" s="46">
        <v>0</v>
      </c>
      <c r="GX57" s="46">
        <v>0</v>
      </c>
      <c r="GY57" s="46">
        <v>0</v>
      </c>
      <c r="GZ57" s="46">
        <v>0</v>
      </c>
      <c r="HA57" s="46">
        <v>0</v>
      </c>
      <c r="HB57" s="46">
        <v>0</v>
      </c>
      <c r="HC57" s="46">
        <v>0</v>
      </c>
      <c r="HD57" s="46">
        <v>0</v>
      </c>
      <c r="HE57" s="46">
        <v>0</v>
      </c>
      <c r="HF57" s="46">
        <v>0</v>
      </c>
      <c r="HG57" s="46">
        <v>0</v>
      </c>
      <c r="HH57" s="46">
        <v>0</v>
      </c>
      <c r="HI57" s="46">
        <v>0</v>
      </c>
      <c r="HJ57" s="46">
        <v>0</v>
      </c>
      <c r="HK57" s="46">
        <v>0</v>
      </c>
      <c r="HL57" s="46">
        <v>0</v>
      </c>
      <c r="HM57" s="46">
        <v>0</v>
      </c>
      <c r="HN57" s="46">
        <v>0</v>
      </c>
      <c r="HO57" s="46">
        <v>0</v>
      </c>
      <c r="HP57" s="46">
        <v>2661654</v>
      </c>
      <c r="HQ57" s="46">
        <v>0</v>
      </c>
      <c r="HR57" s="46">
        <v>7892488</v>
      </c>
      <c r="HS57" s="46">
        <v>0</v>
      </c>
      <c r="HT57" s="46">
        <v>0</v>
      </c>
      <c r="HU57" s="46">
        <v>0</v>
      </c>
      <c r="HV57" s="46">
        <v>0</v>
      </c>
      <c r="HW57" s="46">
        <v>0</v>
      </c>
      <c r="HX57" s="46">
        <v>0</v>
      </c>
      <c r="HY57" s="46">
        <v>25015935</v>
      </c>
      <c r="HZ57" s="46">
        <v>0</v>
      </c>
      <c r="IA57" s="46">
        <v>0</v>
      </c>
      <c r="IB57" s="46">
        <v>0</v>
      </c>
      <c r="IC57" s="46">
        <v>0</v>
      </c>
      <c r="ID57" s="46">
        <v>0</v>
      </c>
      <c r="IE57" s="46">
        <v>0</v>
      </c>
      <c r="IF57" s="46">
        <v>0</v>
      </c>
      <c r="IG57" s="46">
        <v>190636611</v>
      </c>
      <c r="IH57" s="46">
        <v>341807</v>
      </c>
      <c r="II57" s="46">
        <v>0</v>
      </c>
      <c r="IJ57" s="46">
        <v>0</v>
      </c>
      <c r="IK57" s="46">
        <v>0</v>
      </c>
      <c r="IL57" s="46">
        <v>0</v>
      </c>
      <c r="IM57" s="46">
        <v>0</v>
      </c>
      <c r="IN57" s="46">
        <v>0</v>
      </c>
      <c r="IO57" s="46">
        <v>0</v>
      </c>
      <c r="IP57" s="46">
        <v>-1116</v>
      </c>
      <c r="IQ57" s="46">
        <v>3944350</v>
      </c>
      <c r="IR57" s="46">
        <v>0</v>
      </c>
      <c r="IS57" s="46">
        <v>1724984</v>
      </c>
      <c r="IT57" s="46">
        <v>0</v>
      </c>
      <c r="IU57" s="46">
        <v>-2322</v>
      </c>
      <c r="IV57" s="46">
        <v>0</v>
      </c>
      <c r="IW57" s="46">
        <v>0</v>
      </c>
      <c r="IX57" s="46">
        <v>0</v>
      </c>
      <c r="IY57" s="46">
        <v>0</v>
      </c>
      <c r="IZ57" s="46">
        <v>0</v>
      </c>
      <c r="JA57" s="46">
        <v>0</v>
      </c>
      <c r="JB57" s="46">
        <v>0</v>
      </c>
      <c r="JC57" s="46">
        <v>0</v>
      </c>
      <c r="JD57" s="46">
        <v>0</v>
      </c>
      <c r="JE57" s="46">
        <v>0</v>
      </c>
      <c r="JF57" s="46">
        <v>0</v>
      </c>
      <c r="JG57" s="46">
        <v>0</v>
      </c>
      <c r="JH57" s="46">
        <v>889137</v>
      </c>
      <c r="JI57" s="46">
        <v>108908314</v>
      </c>
      <c r="JJ57" s="46">
        <v>0</v>
      </c>
      <c r="JK57" s="46">
        <v>16637552</v>
      </c>
      <c r="JL57" s="46">
        <v>0</v>
      </c>
      <c r="JM57" s="46">
        <v>0</v>
      </c>
      <c r="JN57" s="46">
        <v>0</v>
      </c>
      <c r="JO57" s="46">
        <v>0</v>
      </c>
      <c r="JP57" s="46">
        <v>0</v>
      </c>
      <c r="JQ57" s="46">
        <v>10121888</v>
      </c>
      <c r="JR57" s="46">
        <v>4170734</v>
      </c>
      <c r="JS57" s="46">
        <v>0</v>
      </c>
      <c r="JT57" s="46">
        <v>2421</v>
      </c>
      <c r="JU57" s="46">
        <v>0</v>
      </c>
      <c r="JV57" s="46">
        <v>0</v>
      </c>
      <c r="JW57" s="46">
        <v>0</v>
      </c>
      <c r="JX57" s="46">
        <v>0</v>
      </c>
      <c r="JY57" s="46">
        <v>0</v>
      </c>
      <c r="JZ57" s="46">
        <v>0</v>
      </c>
      <c r="KA57" s="46">
        <v>0</v>
      </c>
      <c r="KB57" s="46">
        <v>107792</v>
      </c>
      <c r="KC57" s="46">
        <v>0</v>
      </c>
      <c r="KD57" s="46">
        <v>0</v>
      </c>
      <c r="KE57" s="46">
        <v>0</v>
      </c>
      <c r="KF57" s="46">
        <v>0</v>
      </c>
      <c r="KG57" s="46">
        <v>0</v>
      </c>
      <c r="KH57" s="46">
        <v>0</v>
      </c>
      <c r="KI57" s="46">
        <v>637918</v>
      </c>
      <c r="KJ57" s="46">
        <v>10757221</v>
      </c>
      <c r="KK57" s="46">
        <v>0</v>
      </c>
      <c r="KL57" s="46">
        <v>143899</v>
      </c>
      <c r="KM57" s="46">
        <v>0</v>
      </c>
      <c r="KN57" s="46">
        <v>0</v>
      </c>
      <c r="KO57" s="46">
        <v>0</v>
      </c>
      <c r="KP57" s="46">
        <v>0</v>
      </c>
      <c r="KQ57" s="46">
        <v>0</v>
      </c>
      <c r="KR57" s="46">
        <v>31155122</v>
      </c>
      <c r="KS57" s="46">
        <v>102814842</v>
      </c>
      <c r="KT57" s="46">
        <v>0</v>
      </c>
      <c r="KU57" s="46">
        <v>10504793</v>
      </c>
      <c r="KV57" s="46">
        <v>0</v>
      </c>
      <c r="KW57" s="46">
        <v>0</v>
      </c>
      <c r="KX57" s="46">
        <v>0</v>
      </c>
      <c r="KY57" s="46">
        <v>0</v>
      </c>
      <c r="KZ57" s="46">
        <v>0</v>
      </c>
      <c r="LA57" s="46">
        <v>9666214</v>
      </c>
      <c r="LB57" s="46">
        <v>3297491</v>
      </c>
      <c r="LC57" s="46">
        <v>0</v>
      </c>
      <c r="LD57" s="46">
        <v>10512734</v>
      </c>
      <c r="LE57" s="46">
        <v>0</v>
      </c>
      <c r="LF57" s="46">
        <v>0</v>
      </c>
      <c r="LG57" s="46">
        <v>0</v>
      </c>
      <c r="LH57" s="46">
        <v>0</v>
      </c>
      <c r="LI57" s="46">
        <v>0</v>
      </c>
      <c r="LJ57" s="46">
        <v>0</v>
      </c>
      <c r="LK57" s="46">
        <v>0</v>
      </c>
      <c r="LL57" s="46">
        <v>0</v>
      </c>
      <c r="LM57" s="46">
        <v>226511</v>
      </c>
      <c r="LN57" s="46">
        <v>0</v>
      </c>
      <c r="LO57" s="46">
        <v>0</v>
      </c>
      <c r="LP57" s="46">
        <v>0</v>
      </c>
      <c r="LQ57" s="46">
        <v>0</v>
      </c>
      <c r="LR57" s="46">
        <v>0</v>
      </c>
      <c r="LS57" s="46">
        <v>193729056</v>
      </c>
      <c r="LT57" s="46">
        <v>42315057</v>
      </c>
      <c r="LU57" s="46">
        <v>0</v>
      </c>
      <c r="LV57" s="46">
        <v>5973204</v>
      </c>
      <c r="LW57" s="46">
        <v>0</v>
      </c>
      <c r="LX57" s="46">
        <v>0</v>
      </c>
      <c r="LY57" s="46">
        <v>0</v>
      </c>
      <c r="LZ57" s="46">
        <v>0</v>
      </c>
      <c r="MA57" s="46">
        <v>0</v>
      </c>
      <c r="MB57" s="46">
        <v>2945930</v>
      </c>
      <c r="MC57" s="46">
        <v>212530</v>
      </c>
      <c r="MD57" s="46">
        <v>0</v>
      </c>
      <c r="ME57" s="46">
        <v>2690606</v>
      </c>
      <c r="MF57" s="46">
        <v>0</v>
      </c>
      <c r="MG57" s="46">
        <v>0</v>
      </c>
      <c r="MH57" s="46">
        <v>0</v>
      </c>
      <c r="MI57" s="46">
        <v>0</v>
      </c>
      <c r="MJ57" s="46">
        <v>0</v>
      </c>
      <c r="MK57" s="46">
        <v>1597398</v>
      </c>
      <c r="ML57" s="46">
        <v>511743</v>
      </c>
      <c r="MM57" s="46">
        <v>0</v>
      </c>
      <c r="MN57" s="46">
        <v>2706</v>
      </c>
      <c r="MO57" s="46">
        <v>0</v>
      </c>
      <c r="MP57" s="46">
        <v>0</v>
      </c>
      <c r="MQ57" s="46">
        <v>0</v>
      </c>
      <c r="MR57" s="46">
        <v>0</v>
      </c>
      <c r="MS57" s="46">
        <v>0</v>
      </c>
      <c r="MT57" s="46">
        <v>14683328</v>
      </c>
      <c r="MU57" s="46">
        <v>3316838</v>
      </c>
      <c r="MV57" s="46">
        <v>0</v>
      </c>
      <c r="MW57" s="46">
        <v>51053</v>
      </c>
      <c r="MX57" s="46">
        <v>0</v>
      </c>
      <c r="MY57" s="46">
        <v>0</v>
      </c>
      <c r="MZ57" s="46">
        <v>0</v>
      </c>
      <c r="NA57" s="46">
        <v>0</v>
      </c>
      <c r="NB57" s="46">
        <v>0</v>
      </c>
      <c r="NC57" s="46">
        <v>11644996</v>
      </c>
      <c r="ND57" s="46">
        <v>0</v>
      </c>
      <c r="NE57" s="46">
        <v>0</v>
      </c>
      <c r="NF57" s="46">
        <v>0</v>
      </c>
      <c r="NG57" s="46">
        <v>0</v>
      </c>
      <c r="NH57" s="46">
        <v>0</v>
      </c>
      <c r="NI57" s="46">
        <v>249704</v>
      </c>
      <c r="NJ57" s="46">
        <v>0</v>
      </c>
      <c r="NK57" s="46">
        <v>0</v>
      </c>
      <c r="NL57" s="46">
        <v>0</v>
      </c>
      <c r="NM57" s="46">
        <v>0</v>
      </c>
      <c r="NN57" s="46">
        <v>0</v>
      </c>
      <c r="NO57" s="46">
        <v>121609</v>
      </c>
      <c r="NP57" s="46">
        <v>0</v>
      </c>
      <c r="NQ57" s="46">
        <v>0</v>
      </c>
      <c r="NR57" s="46">
        <v>0</v>
      </c>
      <c r="NS57" s="46">
        <v>0</v>
      </c>
      <c r="NT57" s="46">
        <v>0</v>
      </c>
      <c r="NU57" s="46">
        <v>0</v>
      </c>
      <c r="NV57" s="46">
        <v>0</v>
      </c>
      <c r="NW57" s="46">
        <v>331991</v>
      </c>
      <c r="NX57" s="46">
        <v>0</v>
      </c>
      <c r="NY57" s="46">
        <v>0</v>
      </c>
      <c r="NZ57" s="46">
        <v>0</v>
      </c>
      <c r="OA57" s="46">
        <v>0</v>
      </c>
      <c r="OB57" s="46">
        <v>0</v>
      </c>
      <c r="OC57" s="46">
        <v>0</v>
      </c>
      <c r="OD57" s="46">
        <v>1512249</v>
      </c>
      <c r="OE57" s="46">
        <v>358458</v>
      </c>
      <c r="OF57" s="46">
        <v>0</v>
      </c>
      <c r="OG57" s="46">
        <v>407550</v>
      </c>
      <c r="OH57" s="46">
        <v>0</v>
      </c>
      <c r="OI57" s="46">
        <v>0</v>
      </c>
      <c r="OJ57" s="46">
        <v>0</v>
      </c>
      <c r="OK57" s="46">
        <v>0</v>
      </c>
      <c r="OL57" s="46">
        <v>0</v>
      </c>
      <c r="OM57" s="46">
        <v>79052</v>
      </c>
      <c r="ON57" s="46">
        <v>0</v>
      </c>
      <c r="OO57" s="46">
        <v>0</v>
      </c>
      <c r="OP57" s="46">
        <v>0</v>
      </c>
      <c r="OQ57" s="46">
        <v>0</v>
      </c>
      <c r="OR57" s="46">
        <v>0</v>
      </c>
      <c r="OS57" s="46">
        <v>0</v>
      </c>
      <c r="OT57" s="46">
        <v>0</v>
      </c>
      <c r="OU57" s="46">
        <v>0</v>
      </c>
      <c r="OV57" s="46">
        <v>0</v>
      </c>
      <c r="OW57" s="46">
        <v>0</v>
      </c>
      <c r="OX57" s="46">
        <v>0</v>
      </c>
      <c r="OY57" s="46">
        <v>0</v>
      </c>
      <c r="OZ57" s="46">
        <v>0</v>
      </c>
      <c r="PA57" s="46">
        <v>0</v>
      </c>
      <c r="PB57" s="46">
        <v>-120919394</v>
      </c>
      <c r="PC57" s="46">
        <v>0</v>
      </c>
      <c r="PD57" s="46">
        <v>123197651</v>
      </c>
      <c r="PE57" s="46">
        <v>10414332</v>
      </c>
      <c r="PF57" s="46">
        <v>-1492042</v>
      </c>
      <c r="PG57" s="46">
        <v>0</v>
      </c>
      <c r="PH57" s="46">
        <v>-1359246</v>
      </c>
      <c r="PI57" s="46">
        <v>0</v>
      </c>
      <c r="PJ57" s="46">
        <v>271631</v>
      </c>
      <c r="PK57" s="46">
        <v>3762699</v>
      </c>
      <c r="PL57" s="46">
        <v>0</v>
      </c>
      <c r="PM57" s="46">
        <v>1151348</v>
      </c>
      <c r="PN57" s="46">
        <v>0</v>
      </c>
      <c r="PO57" s="46">
        <v>0</v>
      </c>
      <c r="PP57" s="46">
        <v>0</v>
      </c>
      <c r="PQ57" s="46">
        <v>0</v>
      </c>
      <c r="PR57" s="46">
        <v>0</v>
      </c>
      <c r="PS57" s="46">
        <v>0</v>
      </c>
      <c r="PT57" s="46">
        <v>121805254</v>
      </c>
      <c r="PU57" s="46">
        <v>0</v>
      </c>
      <c r="PV57" s="46">
        <v>0</v>
      </c>
      <c r="PW57" s="46">
        <v>-14003458</v>
      </c>
      <c r="PX57" s="46">
        <v>0</v>
      </c>
      <c r="PY57" s="46">
        <v>0</v>
      </c>
      <c r="PZ57" s="46">
        <v>0</v>
      </c>
      <c r="QA57" s="46">
        <v>0</v>
      </c>
      <c r="QB57" s="46">
        <v>0</v>
      </c>
      <c r="QC57" s="46">
        <v>-895303</v>
      </c>
      <c r="QD57" s="46">
        <v>0</v>
      </c>
      <c r="QE57" s="46">
        <v>0</v>
      </c>
      <c r="QF57" s="46">
        <v>0</v>
      </c>
      <c r="QG57" s="46">
        <v>-578119</v>
      </c>
      <c r="QH57" s="46">
        <v>0</v>
      </c>
      <c r="QI57" s="46">
        <v>2316</v>
      </c>
      <c r="QJ57" s="46">
        <v>0</v>
      </c>
      <c r="QK57" s="46">
        <v>4574471</v>
      </c>
      <c r="QL57" s="46">
        <v>0</v>
      </c>
      <c r="QM57" s="46">
        <v>0</v>
      </c>
      <c r="QN57" s="46">
        <v>-54189</v>
      </c>
      <c r="QO57" s="46">
        <v>0</v>
      </c>
      <c r="QP57" s="46">
        <v>0</v>
      </c>
      <c r="QQ57" s="46">
        <v>0</v>
      </c>
      <c r="QR57" s="46">
        <v>0</v>
      </c>
      <c r="QS57" s="46">
        <v>0</v>
      </c>
      <c r="QT57" s="46">
        <v>5066051</v>
      </c>
      <c r="QU57" s="46">
        <v>0</v>
      </c>
      <c r="QV57" s="46">
        <v>0</v>
      </c>
      <c r="QW57" s="46">
        <v>0</v>
      </c>
      <c r="QX57" s="46">
        <v>0</v>
      </c>
      <c r="QY57" s="46">
        <v>0</v>
      </c>
      <c r="QZ57" s="46">
        <v>0</v>
      </c>
      <c r="RA57" s="46">
        <v>0</v>
      </c>
      <c r="RB57" s="46">
        <v>0</v>
      </c>
      <c r="RC57" s="46">
        <v>0</v>
      </c>
      <c r="RD57" s="46">
        <v>0</v>
      </c>
      <c r="RE57" s="46">
        <v>0</v>
      </c>
      <c r="RF57" s="46">
        <v>0</v>
      </c>
      <c r="RG57" s="46">
        <v>0</v>
      </c>
      <c r="RH57" s="46">
        <v>0</v>
      </c>
      <c r="RI57" s="46">
        <v>0</v>
      </c>
      <c r="RJ57" s="46">
        <v>0</v>
      </c>
      <c r="RK57" s="46">
        <v>0</v>
      </c>
      <c r="RL57" s="46">
        <v>0</v>
      </c>
      <c r="RM57" s="46">
        <v>0</v>
      </c>
      <c r="RN57" s="46">
        <v>0</v>
      </c>
      <c r="RO57" s="46">
        <v>-16184380</v>
      </c>
      <c r="RP57" s="46">
        <v>0</v>
      </c>
      <c r="RQ57" s="46">
        <v>0</v>
      </c>
      <c r="RR57" s="46">
        <v>0</v>
      </c>
      <c r="RS57" s="46">
        <v>0</v>
      </c>
      <c r="RT57" s="46">
        <v>0</v>
      </c>
      <c r="RU57" s="46">
        <v>0</v>
      </c>
      <c r="RV57" s="46">
        <v>0</v>
      </c>
      <c r="RW57" s="46">
        <v>0</v>
      </c>
      <c r="RX57" s="46">
        <v>0</v>
      </c>
      <c r="RY57" s="46">
        <v>0</v>
      </c>
      <c r="RZ57" s="46">
        <v>0</v>
      </c>
      <c r="SA57" s="46">
        <v>0</v>
      </c>
      <c r="SB57" s="46">
        <v>0</v>
      </c>
      <c r="SC57" s="46">
        <v>0</v>
      </c>
      <c r="SD57" s="46">
        <v>0</v>
      </c>
      <c r="SE57" s="46">
        <v>0</v>
      </c>
      <c r="SF57" s="46">
        <v>0</v>
      </c>
      <c r="SG57" s="46">
        <v>0</v>
      </c>
      <c r="SH57" s="46">
        <v>0</v>
      </c>
      <c r="SI57" s="46">
        <v>0</v>
      </c>
      <c r="SJ57" s="46">
        <v>0</v>
      </c>
      <c r="SK57" s="46">
        <v>0</v>
      </c>
      <c r="SL57" s="46">
        <v>0</v>
      </c>
      <c r="SM57" s="46">
        <v>0</v>
      </c>
      <c r="SN57" s="46">
        <v>0</v>
      </c>
      <c r="SO57" s="46">
        <v>0</v>
      </c>
      <c r="SP57" s="46">
        <v>0</v>
      </c>
      <c r="SQ57" s="46">
        <v>0</v>
      </c>
      <c r="SR57" s="46">
        <v>0</v>
      </c>
      <c r="SS57" s="46">
        <v>0</v>
      </c>
      <c r="ST57" s="46">
        <v>0</v>
      </c>
      <c r="SU57" s="46">
        <v>0</v>
      </c>
      <c r="SV57" s="46">
        <v>0</v>
      </c>
      <c r="SW57" s="46">
        <v>0</v>
      </c>
      <c r="SX57" s="46">
        <v>0</v>
      </c>
      <c r="SY57" s="46">
        <v>0</v>
      </c>
      <c r="SZ57" s="46">
        <v>193502</v>
      </c>
      <c r="TA57" s="46">
        <v>573648</v>
      </c>
      <c r="TB57" s="46">
        <v>0</v>
      </c>
      <c r="TC57" s="46">
        <v>1503551</v>
      </c>
      <c r="TD57" s="46">
        <v>7556</v>
      </c>
      <c r="TE57" s="46">
        <v>0</v>
      </c>
      <c r="TF57" s="46">
        <v>0</v>
      </c>
      <c r="TG57" s="46">
        <v>0</v>
      </c>
      <c r="TH57" s="46">
        <v>0</v>
      </c>
      <c r="TI57" s="46">
        <v>0</v>
      </c>
      <c r="TJ57" s="46">
        <v>0</v>
      </c>
      <c r="TK57" s="46">
        <v>0</v>
      </c>
      <c r="TL57" s="46">
        <v>0</v>
      </c>
      <c r="TM57" s="46">
        <v>0</v>
      </c>
      <c r="TN57" s="46">
        <v>0</v>
      </c>
      <c r="TO57" s="46">
        <v>0</v>
      </c>
      <c r="TP57" s="46">
        <v>0</v>
      </c>
      <c r="TQ57" s="46">
        <v>0</v>
      </c>
      <c r="TR57" s="46">
        <v>0</v>
      </c>
      <c r="TS57" s="46">
        <v>0</v>
      </c>
      <c r="TT57" s="46">
        <v>0</v>
      </c>
      <c r="TU57" s="46">
        <v>0</v>
      </c>
      <c r="TV57" s="46">
        <v>0</v>
      </c>
      <c r="TW57" s="46">
        <v>0</v>
      </c>
      <c r="TX57" s="46">
        <v>0</v>
      </c>
      <c r="TY57" s="46">
        <v>0</v>
      </c>
      <c r="TZ57" s="46">
        <v>0</v>
      </c>
      <c r="UA57" s="46">
        <v>0</v>
      </c>
      <c r="UB57" s="46">
        <v>0</v>
      </c>
      <c r="UC57" s="46">
        <v>0</v>
      </c>
      <c r="UD57" s="46">
        <v>0</v>
      </c>
      <c r="UE57" s="46">
        <v>144474757</v>
      </c>
      <c r="UF57" s="46">
        <v>23476439</v>
      </c>
      <c r="UG57" s="46">
        <v>226511</v>
      </c>
      <c r="UH57" s="46">
        <v>242017317</v>
      </c>
      <c r="UI57" s="46">
        <v>5849066</v>
      </c>
      <c r="UJ57" s="46">
        <v>2111847</v>
      </c>
      <c r="UK57" s="46">
        <v>18051219</v>
      </c>
      <c r="UL57" s="46">
        <v>11894700</v>
      </c>
      <c r="UM57" s="46">
        <v>121609</v>
      </c>
      <c r="UN57" s="46">
        <v>331991</v>
      </c>
      <c r="UO57"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2278257</v>
      </c>
      <c r="UP57" s="46">
        <f>SUM(Input[[#This Row],[Oth Exp E&amp;G]],Input[[#This Row],[Oth Exp Desg]],Input[[#This Row],[Oth Exp Aux]],Input[[#This Row],[Oth Exp R Exp]],Input[[#This Row],[Oth Exp Loan]],Input[[#This Row],[Oth Exp Annuity]],Input[[#This Row],[Oth Exp Unexp]],Input[[#This Row],[Oth Exp R of Ind]],Input[[#This Row],[Oth Exp Inv in P]])</f>
        <v>79052</v>
      </c>
      <c r="UQ57" s="46"/>
      <c r="UR57" s="46"/>
      <c r="US57" s="8" t="s">
        <v>840</v>
      </c>
      <c r="UT57" s="47" t="s">
        <v>1310</v>
      </c>
      <c r="UU57" s="8" t="s">
        <v>70</v>
      </c>
      <c r="UV57" s="8" t="s">
        <v>846</v>
      </c>
      <c r="UW57" s="47" t="s">
        <v>1310</v>
      </c>
      <c r="UX57" s="8" t="s">
        <v>847</v>
      </c>
      <c r="UY57" s="51" cm="1">
        <f t="array" ref="UY57">IFERROR(_xlfn.IFS(Input[[#This Row],[Type]]="HRI",SUMIFS('FTSE | FTFE'!$P$8:$P$77,'FTSE | FTFE'!$H$8:$H$77,A57),Input[[#This Row],[Type]]="UNIV",SUMIFS('FTSE | FTFE'!$P$104:$P$139,'FTSE | FTFE'!$H$104:$H$139,A57),OR(Input[[#This Row],[Type]]="TSTC",Input[[#This Row],[Type]]="LSC"),SUMIFS('FTSE | FTFE'!$O$88:$O$96,'FTSE | FTFE'!$H$88:$H$96,A57),Input[[#This Row],[Type]]="AHM",SUMIFS(Hidden!$H$42:$H$45,Hidden!$G$42:$G$45,A57)),"N/A")</f>
        <v>196</v>
      </c>
      <c r="UZ57" s="51" cm="1">
        <f t="array" ref="UZ57">IFERROR(_xlfn.IFS(Input[[#This Row],[Type]]="HRI",SUMIFS('FTSE | FTFE'!$Q$8:$Q$77,'FTSE | FTFE'!$H$8:$H$77,A57),Input[[#This Row],[Type]]="UNIV",SUMIFS('FTSE | FTFE'!$Q$104:$Q$139,'FTSE | FTFE'!$H$104:$H$139,A57),OR(Input[[#This Row],[Type]]="TSTC",Input[[#This Row],[Type]]="LSC"),SUMIFS('FTSE | FTFE'!$P$88:$P$96,'FTSE | FTFE'!$H$88:$H$96,A57)),"N/A")</f>
        <v>7</v>
      </c>
      <c r="VA5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90704347</v>
      </c>
      <c r="VB5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57" s="46">
        <f>SUM(Input[[#This Row],[Fed G&amp;C E&amp;G]],Input[[#This Row],[Fed G&amp;C Desg]],Input[[#This Row],[Fed G&amp;C R Exp]],Input[[#This Row],[Fed G&amp;C Loan]],Input[[#This Row],[Fed G&amp;C Annuity]],Input[[#This Row],[Fed G&amp;C Unexp]],Input[[#This Row],[Fed G&amp;C R of Ind]],Input[[#This Row],[Fed G&amp;C Inv in P]])</f>
        <v>10554142</v>
      </c>
      <c r="VD5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157934980</v>
      </c>
      <c r="VE5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4281996</v>
      </c>
      <c r="VF5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57" s="46">
        <f>SUM(Input[[#This Row],[Oth Inc E&amp;G]],Input[[#This Row],[Oth Exp Desg]],Input[[#This Row],[Oth Exp R Exp]],Input[[#This Row],[Oth Exp Loan]],Input[[#This Row],[Oth Exp Annuity]],Input[[#This Row],[Oth Exp Unexp]],Input[[#This Row],[Oth Exp R of Ind]],Input[[#This Row],[Oth Exp Inv in P]])</f>
        <v>637918</v>
      </c>
      <c r="VH57" s="46">
        <f>SUM(Input[[#This Row],[Instr E&amp;G]],Input[[#This Row],[Instr Desg]],Input[[#This Row],[Instr R Exp]],Input[[#This Row],[Instr Loan]],Input[[#This Row],[Instr Annuity]],Input[[#This Row],[Instr Unexp]],Input[[#This Row],[Instr R of Ind]],Input[[#This Row],[Instr Inv in P]])</f>
        <v>144474757</v>
      </c>
      <c r="VI57" s="46">
        <f>SUM(Input[[#This Row],[Res E&amp;G]],Input[[#This Row],[Res Desg]],Input[[#This Row],[Res R Exp]],Input[[#This Row],[Res Loan]],Input[[#This Row],[Res Annuity]],Input[[#This Row],[Res Unexp]],Input[[#This Row],[Res R of Ind]],Input[[#This Row],[Res Inv in P]])</f>
        <v>23476439</v>
      </c>
      <c r="VJ57" s="46">
        <f>SUM(Input[[#This Row],[Acad Sup E&amp;G]],Input[[#This Row],[Acad Sup Desg]],Input[[#This Row],[Acad Sup R Exp]],Input[[#This Row],[Acad Sup Loan]],Input[[#This Row],[Acad Sup Annuity]],Input[[#This Row],[Acad Sup Unexp]],Input[[#This Row],[Acad Sup R of Ind]],Input[[#This Row],[Acad Sup Inv in P]])</f>
        <v>5849066</v>
      </c>
      <c r="VK57" s="46">
        <f>SUM(Input[[#This Row],[Stu Svc E&amp;G]],Input[[#This Row],[Stu Svc Desg]],Input[[#This Row],[Stu Svc R Exp]],Input[[#This Row],[Stu Svc Loan]],Input[[#This Row],[Stu Svc Annuity]],Input[[#This Row],[Stu Svc Unexp]],Input[[#This Row],[Stu Svc R of Ind]],Input[[#This Row],[Stu Svc Inv in P]])</f>
        <v>2111847</v>
      </c>
      <c r="VL57" s="46">
        <f>SUM(Input[[#This Row],[Inst. Spt E&amp;G]],Input[[#This Row],[Inst. Spt Desg]],Input[[#This Row],[Inst. Spt R Exp]],Input[[#This Row],[Inst. Spt Loan]],Input[[#This Row],[Inst. Spt Annuity]],Input[[#This Row],[Inst. Spt Unexp]],Input[[#This Row],[Inst. Spt R of Ind]],Input[[#This Row],[Inst. Spt Inv in P]])</f>
        <v>18051219</v>
      </c>
      <c r="VM57" s="46">
        <f>SUM(Input[[#This Row],[M&amp;O Plnt E&amp;G]],Input[[#This Row],[M&amp;O Plnt Desg]],Input[[#This Row],[M&amp;O Plnt R Exp]],Input[[#This Row],[M&amp;O Plnt Loan]],Input[[#This Row],[M&amp;O Plnt Annuity]],Input[[#This Row],[M&amp;O Plnt Unexp]],Input[[#This Row],[M&amp;O Plnt R of Ind]],Input[[#This Row],[M&amp;O Plnt Inv in P]])</f>
        <v>11894700</v>
      </c>
      <c r="VN57" s="46">
        <f>SUM(Input[[#This Row],[Schl &amp; Fell E&amp;G]],Input[[#This Row],[Schl &amp; Fell Desg]],Input[[#This Row],[Schl &amp; Fell R Exp]],Input[[#This Row],[Schl &amp; Fell Loan]],Input[[#This Row],[Schl &amp; Fell Annuity]],Input[[#This Row],[Schl &amp; Fell Unexp]],Input[[#This Row],[Schl &amp; Fell R of Ind]],Input[[#This Row],[Schl &amp; Fell Inv in P]])</f>
        <v>121609</v>
      </c>
      <c r="VO57" s="46">
        <f>SUM(Input[[#This Row],[Cap Out fund E&amp;G]],Input[[#This Row],[Cap Out fund Desg]],Input[[#This Row],[Cap Out fund R Exp]],Input[[#This Row],[Cap Out fund Loan]],Input[[#This Row],[Cap Out fund Annuity]],Input[[#This Row],[Cap Out fund Unexp]],Input[[#This Row],[Cap Out fund R of Ind]],Input[[#This Row],[Cap Out fund Inv in P]])</f>
        <v>2278257</v>
      </c>
      <c r="VP57" s="46">
        <f>SUM(Input[[#This Row],[Oth Exp E&amp;G]],Input[[#This Row],[Oth Exp Desg]],Input[[#This Row],[Oth Exp R Exp]],Input[[#This Row],[Oth Exp Loan]],Input[[#This Row],[Oth Exp Annuity]],Input[[#This Row],[Oth Exp Unexp]],Input[[#This Row],[Oth Exp R of Ind]],Input[[#This Row],[Oth Exp Inv in P]],Input[[#This Row],[Oth Exp Inv in P]])</f>
        <v>79052</v>
      </c>
    </row>
    <row r="58" spans="1:588" ht="30" customHeight="1" x14ac:dyDescent="0.3">
      <c r="A58" s="15" t="s">
        <v>41</v>
      </c>
      <c r="B58" s="36" t="s">
        <v>106</v>
      </c>
      <c r="C58" s="36" t="s">
        <v>117</v>
      </c>
      <c r="D58" s="36">
        <v>908</v>
      </c>
      <c r="E58" s="36" t="s">
        <v>132</v>
      </c>
      <c r="F58" s="95" cm="1">
        <f t="array" ref="F58">IFERROR(_xlfn.IFS(Input[[#This Row],[Type]]="HRI",SUMIFS('FTSE | FTFE'!$I$8:$I$77,'FTSE | FTFE'!$H$8:$H$77,A58),Input[[#This Row],[Type]]="UNIV",SUMIFS('FTSE | FTFE'!$I$104:$I$139,'FTSE | FTFE'!$H$104:$H$139,A58),OR(Input[[#This Row],[Type]]="TSTC",Input[[#This Row],[Type]]="LSC"),SUMIFS('FTSE | FTFE'!$I$88:$I$96,'FTSE | FTFE'!$H$88:$H$96,A58)),"N/A")</f>
        <v>203658</v>
      </c>
      <c r="G58" s="46">
        <v>17583108</v>
      </c>
      <c r="H58" s="46">
        <v>0</v>
      </c>
      <c r="I58" s="46">
        <v>0</v>
      </c>
      <c r="J58" s="46">
        <v>0</v>
      </c>
      <c r="K58" s="46">
        <v>0</v>
      </c>
      <c r="L58" s="46">
        <v>0</v>
      </c>
      <c r="M58" s="46">
        <v>0</v>
      </c>
      <c r="N58" s="46">
        <v>0</v>
      </c>
      <c r="O58" s="46">
        <v>0</v>
      </c>
      <c r="P58" s="46">
        <v>0</v>
      </c>
      <c r="Q58" s="46">
        <v>340201</v>
      </c>
      <c r="R58" s="46">
        <v>0</v>
      </c>
      <c r="S58" s="46">
        <v>4750754</v>
      </c>
      <c r="T58" s="46">
        <v>0</v>
      </c>
      <c r="U58" s="46">
        <v>0</v>
      </c>
      <c r="V58" s="46">
        <v>0</v>
      </c>
      <c r="W58" s="46">
        <v>0</v>
      </c>
      <c r="X58" s="46">
        <v>0</v>
      </c>
      <c r="Y58" s="46">
        <v>0</v>
      </c>
      <c r="Z58" s="46">
        <v>0</v>
      </c>
      <c r="AA58" s="46">
        <v>0</v>
      </c>
      <c r="AB58" s="46">
        <v>0</v>
      </c>
      <c r="AC58" s="46">
        <v>0</v>
      </c>
      <c r="AD58" s="46">
        <v>0</v>
      </c>
      <c r="AE58" s="46">
        <v>0</v>
      </c>
      <c r="AF58" s="46">
        <v>0</v>
      </c>
      <c r="AG58" s="46">
        <v>0</v>
      </c>
      <c r="AH58" s="46">
        <v>29049892</v>
      </c>
      <c r="AI58" s="46">
        <v>0</v>
      </c>
      <c r="AJ58" s="46">
        <v>0</v>
      </c>
      <c r="AK58" s="46">
        <v>0</v>
      </c>
      <c r="AL58" s="46">
        <v>0</v>
      </c>
      <c r="AM58" s="46">
        <v>0</v>
      </c>
      <c r="AN58" s="46">
        <v>0</v>
      </c>
      <c r="AO58" s="46">
        <v>0</v>
      </c>
      <c r="AP58" s="46">
        <v>0</v>
      </c>
      <c r="AQ58" s="46">
        <v>0</v>
      </c>
      <c r="AR58" s="46">
        <v>0</v>
      </c>
      <c r="AS58" s="46">
        <v>0</v>
      </c>
      <c r="AT58" s="46">
        <v>0</v>
      </c>
      <c r="AU58" s="46">
        <v>0</v>
      </c>
      <c r="AV58" s="46">
        <v>0</v>
      </c>
      <c r="AW58" s="46">
        <v>0</v>
      </c>
      <c r="AX58" s="46">
        <v>0</v>
      </c>
      <c r="AY58" s="46">
        <v>0</v>
      </c>
      <c r="AZ58" s="46">
        <v>0</v>
      </c>
      <c r="BA58" s="46">
        <v>0</v>
      </c>
      <c r="BB58" s="46">
        <v>0</v>
      </c>
      <c r="BC58" s="46">
        <v>0</v>
      </c>
      <c r="BD58" s="46">
        <v>0</v>
      </c>
      <c r="BE58" s="46">
        <v>0</v>
      </c>
      <c r="BF58" s="46">
        <v>0</v>
      </c>
      <c r="BG58" s="46">
        <v>0</v>
      </c>
      <c r="BH58" s="46">
        <v>0</v>
      </c>
      <c r="BI58" s="46">
        <v>0</v>
      </c>
      <c r="BJ58" s="46">
        <v>0</v>
      </c>
      <c r="BK58" s="46">
        <v>0</v>
      </c>
      <c r="BL58" s="46">
        <v>0</v>
      </c>
      <c r="BM58" s="46">
        <v>0</v>
      </c>
      <c r="BN58" s="46">
        <v>0</v>
      </c>
      <c r="BO58" s="46">
        <v>0</v>
      </c>
      <c r="BP58" s="46">
        <v>0</v>
      </c>
      <c r="BQ58" s="46">
        <v>0</v>
      </c>
      <c r="BR58" s="46">
        <v>0</v>
      </c>
      <c r="BS58" s="46">
        <v>0</v>
      </c>
      <c r="BT58" s="46">
        <v>0</v>
      </c>
      <c r="BU58" s="46">
        <v>0</v>
      </c>
      <c r="BV58" s="46">
        <v>0</v>
      </c>
      <c r="BW58" s="46">
        <v>0</v>
      </c>
      <c r="BX58" s="46">
        <v>0</v>
      </c>
      <c r="BY58" s="46">
        <v>0</v>
      </c>
      <c r="BZ58" s="46">
        <v>0</v>
      </c>
      <c r="CA58" s="46">
        <v>1421700</v>
      </c>
      <c r="CB58" s="46">
        <v>2564034</v>
      </c>
      <c r="CC58" s="46">
        <v>0</v>
      </c>
      <c r="CD58" s="46">
        <v>0</v>
      </c>
      <c r="CE58" s="46">
        <v>0</v>
      </c>
      <c r="CF58" s="46">
        <v>0</v>
      </c>
      <c r="CG58" s="46">
        <v>0</v>
      </c>
      <c r="CH58" s="46">
        <v>0</v>
      </c>
      <c r="CI58" s="46">
        <v>0</v>
      </c>
      <c r="CJ58" s="46">
        <v>0</v>
      </c>
      <c r="CK58" s="46">
        <v>0</v>
      </c>
      <c r="CL58" s="46">
        <v>0</v>
      </c>
      <c r="CM58" s="46">
        <v>0</v>
      </c>
      <c r="CN58" s="46">
        <v>0</v>
      </c>
      <c r="CO58" s="46">
        <v>0</v>
      </c>
      <c r="CP58" s="46">
        <v>0</v>
      </c>
      <c r="CQ58" s="46">
        <v>0</v>
      </c>
      <c r="CR58" s="46">
        <v>0</v>
      </c>
      <c r="CS58" s="46">
        <v>0</v>
      </c>
      <c r="CT58" s="46">
        <v>0</v>
      </c>
      <c r="CU58" s="46">
        <v>0</v>
      </c>
      <c r="CV58" s="46">
        <v>0</v>
      </c>
      <c r="CW58" s="46">
        <v>0</v>
      </c>
      <c r="CX58" s="46">
        <v>0</v>
      </c>
      <c r="CY58" s="46">
        <v>0</v>
      </c>
      <c r="CZ58" s="46">
        <v>0</v>
      </c>
      <c r="DA58" s="46">
        <v>0</v>
      </c>
      <c r="DB58" s="46">
        <v>0</v>
      </c>
      <c r="DC58" s="46">
        <v>0</v>
      </c>
      <c r="DD58" s="46">
        <v>0</v>
      </c>
      <c r="DE58" s="46">
        <v>0</v>
      </c>
      <c r="DF58" s="46">
        <v>0</v>
      </c>
      <c r="DG58" s="46">
        <v>0</v>
      </c>
      <c r="DH58" s="46">
        <v>0</v>
      </c>
      <c r="DI58" s="46">
        <v>0</v>
      </c>
      <c r="DJ58" s="46">
        <v>0</v>
      </c>
      <c r="DK58" s="46">
        <v>0</v>
      </c>
      <c r="DL58" s="46">
        <v>0</v>
      </c>
      <c r="DM58" s="46">
        <v>0</v>
      </c>
      <c r="DN58" s="46">
        <v>0</v>
      </c>
      <c r="DO58" s="46">
        <v>0</v>
      </c>
      <c r="DP58" s="46">
        <v>0</v>
      </c>
      <c r="DQ58" s="46">
        <v>0</v>
      </c>
      <c r="DR58" s="46">
        <v>0</v>
      </c>
      <c r="DS58" s="46">
        <v>0</v>
      </c>
      <c r="DT58" s="46">
        <v>-1396888</v>
      </c>
      <c r="DU58" s="46">
        <v>-1099721</v>
      </c>
      <c r="DV58" s="46">
        <v>0</v>
      </c>
      <c r="DW58" s="46">
        <v>0</v>
      </c>
      <c r="DX58" s="46">
        <v>0</v>
      </c>
      <c r="DY58" s="46">
        <v>0</v>
      </c>
      <c r="DZ58" s="46">
        <v>0</v>
      </c>
      <c r="EA58" s="46">
        <v>0</v>
      </c>
      <c r="EB58" s="46">
        <v>0</v>
      </c>
      <c r="EC58" s="46">
        <v>0</v>
      </c>
      <c r="ED58" s="46">
        <v>0</v>
      </c>
      <c r="EE58" s="46">
        <v>0</v>
      </c>
      <c r="EF58" s="46">
        <v>0</v>
      </c>
      <c r="EG58" s="46">
        <v>0</v>
      </c>
      <c r="EH58" s="46">
        <v>0</v>
      </c>
      <c r="EI58" s="46">
        <v>0</v>
      </c>
      <c r="EJ58" s="46">
        <v>0</v>
      </c>
      <c r="EK58" s="46">
        <v>0</v>
      </c>
      <c r="EL58" s="46">
        <v>0</v>
      </c>
      <c r="EM58" s="46">
        <v>0</v>
      </c>
      <c r="EN58" s="46">
        <v>0</v>
      </c>
      <c r="EO58" s="46">
        <v>0</v>
      </c>
      <c r="EP58" s="46">
        <v>0</v>
      </c>
      <c r="EQ58" s="46">
        <v>0</v>
      </c>
      <c r="ER58" s="46">
        <v>0</v>
      </c>
      <c r="ES58" s="46">
        <v>0</v>
      </c>
      <c r="ET58" s="46">
        <v>0</v>
      </c>
      <c r="EU58" s="46">
        <v>0</v>
      </c>
      <c r="EV58" s="46">
        <v>0</v>
      </c>
      <c r="EW58" s="46">
        <v>0</v>
      </c>
      <c r="EX58" s="46">
        <v>0</v>
      </c>
      <c r="EY58" s="46">
        <v>0</v>
      </c>
      <c r="EZ58" s="46">
        <v>0</v>
      </c>
      <c r="FA58" s="46">
        <v>0</v>
      </c>
      <c r="FB58" s="46">
        <v>0</v>
      </c>
      <c r="FC58" s="46">
        <v>0</v>
      </c>
      <c r="FD58" s="46">
        <v>0</v>
      </c>
      <c r="FE58" s="46">
        <v>0</v>
      </c>
      <c r="FF58" s="46">
        <v>0</v>
      </c>
      <c r="FG58" s="46">
        <v>0</v>
      </c>
      <c r="FH58" s="46">
        <v>0</v>
      </c>
      <c r="FI58" s="46">
        <v>0</v>
      </c>
      <c r="FJ58" s="46">
        <v>0</v>
      </c>
      <c r="FK58" s="46">
        <v>0</v>
      </c>
      <c r="FL58" s="46">
        <v>0</v>
      </c>
      <c r="FM58" s="46">
        <v>0</v>
      </c>
      <c r="FN58" s="46">
        <v>825000</v>
      </c>
      <c r="FO58" s="46">
        <v>0</v>
      </c>
      <c r="FP58" s="46">
        <v>0</v>
      </c>
      <c r="FQ58" s="46">
        <v>0</v>
      </c>
      <c r="FR58" s="46">
        <v>0</v>
      </c>
      <c r="FS58" s="46">
        <v>0</v>
      </c>
      <c r="FT58" s="46">
        <v>0</v>
      </c>
      <c r="FU58" s="46">
        <v>0</v>
      </c>
      <c r="FV58" s="46">
        <v>0</v>
      </c>
      <c r="FW58" s="46">
        <v>0</v>
      </c>
      <c r="FX58" s="46">
        <v>0</v>
      </c>
      <c r="FY58" s="46">
        <v>0</v>
      </c>
      <c r="FZ58" s="46">
        <v>0</v>
      </c>
      <c r="GA58" s="46">
        <v>0</v>
      </c>
      <c r="GB58" s="46">
        <v>0</v>
      </c>
      <c r="GC58" s="46">
        <v>0</v>
      </c>
      <c r="GD58" s="46">
        <v>0</v>
      </c>
      <c r="GE58" s="46">
        <v>0</v>
      </c>
      <c r="GF58" s="46">
        <v>0</v>
      </c>
      <c r="GG58" s="46">
        <v>0</v>
      </c>
      <c r="GH58" s="46">
        <v>0</v>
      </c>
      <c r="GI58" s="46">
        <v>0</v>
      </c>
      <c r="GJ58" s="46">
        <v>0</v>
      </c>
      <c r="GK58" s="46">
        <v>0</v>
      </c>
      <c r="GL58" s="46">
        <v>0</v>
      </c>
      <c r="GM58" s="46">
        <v>0</v>
      </c>
      <c r="GN58" s="46">
        <v>0</v>
      </c>
      <c r="GO58" s="46">
        <v>0</v>
      </c>
      <c r="GP58" s="46">
        <v>0</v>
      </c>
      <c r="GQ58" s="46">
        <v>0</v>
      </c>
      <c r="GR58" s="46">
        <v>0</v>
      </c>
      <c r="GS58" s="46">
        <v>0</v>
      </c>
      <c r="GT58" s="46">
        <v>0</v>
      </c>
      <c r="GU58" s="46">
        <v>0</v>
      </c>
      <c r="GV58" s="46">
        <v>0</v>
      </c>
      <c r="GW58" s="46">
        <v>0</v>
      </c>
      <c r="GX58" s="46">
        <v>0</v>
      </c>
      <c r="GY58" s="46">
        <v>0</v>
      </c>
      <c r="GZ58" s="46">
        <v>0</v>
      </c>
      <c r="HA58" s="46">
        <v>0</v>
      </c>
      <c r="HB58" s="46">
        <v>0</v>
      </c>
      <c r="HC58" s="46">
        <v>0</v>
      </c>
      <c r="HD58" s="46">
        <v>0</v>
      </c>
      <c r="HE58" s="46">
        <v>0</v>
      </c>
      <c r="HF58" s="46">
        <v>0</v>
      </c>
      <c r="HG58" s="46">
        <v>-353845</v>
      </c>
      <c r="HH58" s="46">
        <v>0</v>
      </c>
      <c r="HI58" s="46">
        <v>0</v>
      </c>
      <c r="HJ58" s="46">
        <v>0</v>
      </c>
      <c r="HK58" s="46">
        <v>0</v>
      </c>
      <c r="HL58" s="46">
        <v>0</v>
      </c>
      <c r="HM58" s="46">
        <v>0</v>
      </c>
      <c r="HN58" s="46">
        <v>0</v>
      </c>
      <c r="HO58" s="46">
        <v>0</v>
      </c>
      <c r="HP58" s="46">
        <v>0</v>
      </c>
      <c r="HQ58" s="46">
        <v>0</v>
      </c>
      <c r="HR58" s="46">
        <v>22049832</v>
      </c>
      <c r="HS58" s="46">
        <v>0</v>
      </c>
      <c r="HT58" s="46">
        <v>0</v>
      </c>
      <c r="HU58" s="46">
        <v>0</v>
      </c>
      <c r="HV58" s="46">
        <v>0</v>
      </c>
      <c r="HW58" s="46">
        <v>0</v>
      </c>
      <c r="HX58" s="46">
        <v>0</v>
      </c>
      <c r="HY58" s="46">
        <v>17431185</v>
      </c>
      <c r="HZ58" s="46">
        <v>0</v>
      </c>
      <c r="IA58" s="46">
        <v>0</v>
      </c>
      <c r="IB58" s="46">
        <v>0</v>
      </c>
      <c r="IC58" s="46">
        <v>0</v>
      </c>
      <c r="ID58" s="46">
        <v>0</v>
      </c>
      <c r="IE58" s="46">
        <v>0</v>
      </c>
      <c r="IF58" s="46">
        <v>0</v>
      </c>
      <c r="IG58" s="46">
        <v>0</v>
      </c>
      <c r="IH58" s="46">
        <v>5534717</v>
      </c>
      <c r="II58" s="46">
        <v>0</v>
      </c>
      <c r="IJ58" s="46">
        <v>0</v>
      </c>
      <c r="IK58" s="46">
        <v>0</v>
      </c>
      <c r="IL58" s="46">
        <v>0</v>
      </c>
      <c r="IM58" s="46">
        <v>0</v>
      </c>
      <c r="IN58" s="46">
        <v>0</v>
      </c>
      <c r="IO58" s="46">
        <v>0</v>
      </c>
      <c r="IP58" s="46">
        <v>0</v>
      </c>
      <c r="IQ58" s="46">
        <v>2017959</v>
      </c>
      <c r="IR58" s="46">
        <v>0</v>
      </c>
      <c r="IS58" s="46">
        <v>3379156</v>
      </c>
      <c r="IT58" s="46">
        <v>0</v>
      </c>
      <c r="IU58" s="46">
        <v>-520</v>
      </c>
      <c r="IV58" s="46">
        <v>0</v>
      </c>
      <c r="IW58" s="46">
        <v>0</v>
      </c>
      <c r="IX58" s="46">
        <v>0</v>
      </c>
      <c r="IY58" s="46">
        <v>0</v>
      </c>
      <c r="IZ58" s="46">
        <v>35000000</v>
      </c>
      <c r="JA58" s="46">
        <v>0</v>
      </c>
      <c r="JB58" s="46">
        <v>178332</v>
      </c>
      <c r="JC58" s="46">
        <v>0</v>
      </c>
      <c r="JD58" s="46">
        <v>0</v>
      </c>
      <c r="JE58" s="46">
        <v>0</v>
      </c>
      <c r="JF58" s="46">
        <v>0</v>
      </c>
      <c r="JG58" s="46">
        <v>0</v>
      </c>
      <c r="JH58" s="46">
        <v>0</v>
      </c>
      <c r="JI58" s="46">
        <v>166076888</v>
      </c>
      <c r="JJ58" s="46">
        <v>0</v>
      </c>
      <c r="JK58" s="46">
        <v>47168382</v>
      </c>
      <c r="JL58" s="46">
        <v>0</v>
      </c>
      <c r="JM58" s="46">
        <v>0</v>
      </c>
      <c r="JN58" s="46">
        <v>0</v>
      </c>
      <c r="JO58" s="46">
        <v>0</v>
      </c>
      <c r="JP58" s="46">
        <v>0</v>
      </c>
      <c r="JQ58" s="46">
        <v>0</v>
      </c>
      <c r="JR58" s="46">
        <v>2818405</v>
      </c>
      <c r="JS58" s="46">
        <v>0</v>
      </c>
      <c r="JT58" s="46">
        <v>0</v>
      </c>
      <c r="JU58" s="46">
        <v>0</v>
      </c>
      <c r="JV58" s="46">
        <v>0</v>
      </c>
      <c r="JW58" s="46">
        <v>0</v>
      </c>
      <c r="JX58" s="46">
        <v>0</v>
      </c>
      <c r="JY58" s="46">
        <v>0</v>
      </c>
      <c r="JZ58" s="46">
        <v>0</v>
      </c>
      <c r="KA58" s="46">
        <v>0</v>
      </c>
      <c r="KB58" s="46">
        <v>6162926</v>
      </c>
      <c r="KC58" s="46">
        <v>0</v>
      </c>
      <c r="KD58" s="46">
        <v>0</v>
      </c>
      <c r="KE58" s="46">
        <v>0</v>
      </c>
      <c r="KF58" s="46">
        <v>0</v>
      </c>
      <c r="KG58" s="46">
        <v>0</v>
      </c>
      <c r="KH58" s="46">
        <v>0</v>
      </c>
      <c r="KI58" s="46">
        <v>0</v>
      </c>
      <c r="KJ58" s="46">
        <v>1166392</v>
      </c>
      <c r="KK58" s="46">
        <v>0</v>
      </c>
      <c r="KL58" s="46">
        <v>0</v>
      </c>
      <c r="KM58" s="46">
        <v>0</v>
      </c>
      <c r="KN58" s="46">
        <v>0</v>
      </c>
      <c r="KO58" s="46">
        <v>0</v>
      </c>
      <c r="KP58" s="46">
        <v>0</v>
      </c>
      <c r="KQ58" s="46">
        <v>43160</v>
      </c>
      <c r="KR58" s="46">
        <v>688267</v>
      </c>
      <c r="KS58" s="46">
        <v>6799300</v>
      </c>
      <c r="KT58" s="46">
        <v>0</v>
      </c>
      <c r="KU58" s="46">
        <v>1007434</v>
      </c>
      <c r="KV58" s="46">
        <v>0</v>
      </c>
      <c r="KW58" s="46">
        <v>0</v>
      </c>
      <c r="KX58" s="46">
        <v>0</v>
      </c>
      <c r="KY58" s="46">
        <v>0</v>
      </c>
      <c r="KZ58" s="46">
        <v>0</v>
      </c>
      <c r="LA58" s="46">
        <v>8688986</v>
      </c>
      <c r="LB58" s="46">
        <v>9494491</v>
      </c>
      <c r="LC58" s="46">
        <v>0</v>
      </c>
      <c r="LD58" s="46">
        <v>30885073</v>
      </c>
      <c r="LE58" s="46">
        <v>0</v>
      </c>
      <c r="LF58" s="46">
        <v>0</v>
      </c>
      <c r="LG58" s="46">
        <v>0</v>
      </c>
      <c r="LH58" s="46">
        <v>0</v>
      </c>
      <c r="LI58" s="46">
        <v>0</v>
      </c>
      <c r="LJ58" s="46">
        <v>2182122</v>
      </c>
      <c r="LK58" s="46">
        <v>917074</v>
      </c>
      <c r="LL58" s="46">
        <v>0</v>
      </c>
      <c r="LM58" s="46">
        <v>8555411</v>
      </c>
      <c r="LN58" s="46">
        <v>0</v>
      </c>
      <c r="LO58" s="46">
        <v>0</v>
      </c>
      <c r="LP58" s="46">
        <v>0</v>
      </c>
      <c r="LQ58" s="46">
        <v>0</v>
      </c>
      <c r="LR58" s="46">
        <v>0</v>
      </c>
      <c r="LS58" s="46">
        <v>14393763</v>
      </c>
      <c r="LT58" s="46">
        <v>189772234</v>
      </c>
      <c r="LU58" s="46">
        <v>0</v>
      </c>
      <c r="LV58" s="46">
        <v>908643</v>
      </c>
      <c r="LW58" s="46">
        <v>0</v>
      </c>
      <c r="LX58" s="46">
        <v>0</v>
      </c>
      <c r="LY58" s="46">
        <v>0</v>
      </c>
      <c r="LZ58" s="46">
        <v>0</v>
      </c>
      <c r="MA58" s="46">
        <v>0</v>
      </c>
      <c r="MB58" s="46">
        <v>28349049</v>
      </c>
      <c r="MC58" s="46">
        <v>35586353</v>
      </c>
      <c r="MD58" s="46">
        <v>0</v>
      </c>
      <c r="ME58" s="46">
        <v>1721095</v>
      </c>
      <c r="MF58" s="46">
        <v>0</v>
      </c>
      <c r="MG58" s="46">
        <v>0</v>
      </c>
      <c r="MH58" s="46">
        <v>0</v>
      </c>
      <c r="MI58" s="46">
        <v>0</v>
      </c>
      <c r="MJ58" s="46">
        <v>0</v>
      </c>
      <c r="MK58" s="46">
        <v>0</v>
      </c>
      <c r="ML58" s="46">
        <v>0</v>
      </c>
      <c r="MM58" s="46">
        <v>0</v>
      </c>
      <c r="MN58" s="46">
        <v>9767</v>
      </c>
      <c r="MO58" s="46">
        <v>0</v>
      </c>
      <c r="MP58" s="46">
        <v>0</v>
      </c>
      <c r="MQ58" s="46">
        <v>0</v>
      </c>
      <c r="MR58" s="46">
        <v>0</v>
      </c>
      <c r="MS58" s="46">
        <v>0</v>
      </c>
      <c r="MT58" s="46">
        <v>11058970</v>
      </c>
      <c r="MU58" s="46">
        <v>20926771</v>
      </c>
      <c r="MV58" s="46">
        <v>0</v>
      </c>
      <c r="MW58" s="46">
        <v>1157770</v>
      </c>
      <c r="MX58" s="46">
        <v>0</v>
      </c>
      <c r="MY58" s="46">
        <v>0</v>
      </c>
      <c r="MZ58" s="46">
        <v>0</v>
      </c>
      <c r="NA58" s="46">
        <v>0</v>
      </c>
      <c r="NB58" s="46">
        <v>0</v>
      </c>
      <c r="NC58" s="46">
        <v>5360970</v>
      </c>
      <c r="ND58" s="46">
        <v>0</v>
      </c>
      <c r="NE58" s="46">
        <v>0</v>
      </c>
      <c r="NF58" s="46">
        <v>0</v>
      </c>
      <c r="NG58" s="46">
        <v>0</v>
      </c>
      <c r="NH58" s="46">
        <v>0</v>
      </c>
      <c r="NI58" s="46">
        <v>235698</v>
      </c>
      <c r="NJ58" s="46">
        <v>0</v>
      </c>
      <c r="NK58" s="46">
        <v>0</v>
      </c>
      <c r="NL58" s="46">
        <v>224238</v>
      </c>
      <c r="NM58" s="46">
        <v>555283</v>
      </c>
      <c r="NN58" s="46">
        <v>0</v>
      </c>
      <c r="NO58" s="46">
        <v>1579029</v>
      </c>
      <c r="NP58" s="46">
        <v>0</v>
      </c>
      <c r="NQ58" s="46">
        <v>0</v>
      </c>
      <c r="NR58" s="46">
        <v>0</v>
      </c>
      <c r="NS58" s="46">
        <v>0</v>
      </c>
      <c r="NT58" s="46">
        <v>0</v>
      </c>
      <c r="NU58" s="46">
        <v>0</v>
      </c>
      <c r="NV58" s="46">
        <v>0</v>
      </c>
      <c r="NW58" s="46">
        <v>1370713</v>
      </c>
      <c r="NX58" s="46">
        <v>0</v>
      </c>
      <c r="NY58" s="46">
        <v>0</v>
      </c>
      <c r="NZ58" s="46">
        <v>0</v>
      </c>
      <c r="OA58" s="46">
        <v>0</v>
      </c>
      <c r="OB58" s="46">
        <v>0</v>
      </c>
      <c r="OC58" s="46">
        <v>0</v>
      </c>
      <c r="OD58" s="46">
        <v>465774</v>
      </c>
      <c r="OE58" s="46">
        <v>359136</v>
      </c>
      <c r="OF58" s="46">
        <v>0</v>
      </c>
      <c r="OG58" s="46">
        <v>262581</v>
      </c>
      <c r="OH58" s="46">
        <v>0</v>
      </c>
      <c r="OI58" s="46">
        <v>0</v>
      </c>
      <c r="OJ58" s="46">
        <v>0</v>
      </c>
      <c r="OK58" s="46">
        <v>0</v>
      </c>
      <c r="OL58" s="46">
        <v>0</v>
      </c>
      <c r="OM58" s="46">
        <v>0</v>
      </c>
      <c r="ON58" s="46">
        <v>0</v>
      </c>
      <c r="OO58" s="46">
        <v>0</v>
      </c>
      <c r="OP58" s="46">
        <v>0</v>
      </c>
      <c r="OQ58" s="46">
        <v>0</v>
      </c>
      <c r="OR58" s="46">
        <v>0</v>
      </c>
      <c r="OS58" s="46">
        <v>0</v>
      </c>
      <c r="OT58" s="46">
        <v>0</v>
      </c>
      <c r="OU58" s="46">
        <v>0</v>
      </c>
      <c r="OV58" s="46">
        <v>0</v>
      </c>
      <c r="OW58" s="46">
        <v>0</v>
      </c>
      <c r="OX58" s="46">
        <v>0</v>
      </c>
      <c r="OY58" s="46">
        <v>0</v>
      </c>
      <c r="OZ58" s="46">
        <v>0</v>
      </c>
      <c r="PA58" s="46">
        <v>0</v>
      </c>
      <c r="PB58" s="46">
        <v>-4460602</v>
      </c>
      <c r="PC58" s="46">
        <v>0</v>
      </c>
      <c r="PD58" s="46">
        <v>0</v>
      </c>
      <c r="PE58" s="46">
        <v>-2608879</v>
      </c>
      <c r="PF58" s="46">
        <v>37129176</v>
      </c>
      <c r="PG58" s="46">
        <v>0</v>
      </c>
      <c r="PH58" s="46">
        <v>66013</v>
      </c>
      <c r="PI58" s="46">
        <v>0</v>
      </c>
      <c r="PJ58" s="46">
        <v>157750</v>
      </c>
      <c r="PK58" s="46">
        <v>0</v>
      </c>
      <c r="PL58" s="46">
        <v>0</v>
      </c>
      <c r="PM58" s="46">
        <v>0</v>
      </c>
      <c r="PN58" s="46">
        <v>0</v>
      </c>
      <c r="PO58" s="46">
        <v>0</v>
      </c>
      <c r="PP58" s="46">
        <v>0</v>
      </c>
      <c r="PQ58" s="46">
        <v>0</v>
      </c>
      <c r="PR58" s="46">
        <v>0</v>
      </c>
      <c r="PS58" s="46">
        <v>0</v>
      </c>
      <c r="PT58" s="46">
        <v>3010000</v>
      </c>
      <c r="PU58" s="46">
        <v>0</v>
      </c>
      <c r="PV58" s="46">
        <v>0</v>
      </c>
      <c r="PW58" s="46">
        <v>-6521313</v>
      </c>
      <c r="PX58" s="46">
        <v>-5387339</v>
      </c>
      <c r="PY58" s="46">
        <v>-2456665</v>
      </c>
      <c r="PZ58" s="46">
        <v>0</v>
      </c>
      <c r="QA58" s="46">
        <v>0</v>
      </c>
      <c r="QB58" s="46">
        <v>0</v>
      </c>
      <c r="QC58" s="46">
        <v>0</v>
      </c>
      <c r="QD58" s="46">
        <v>0</v>
      </c>
      <c r="QE58" s="46">
        <v>0</v>
      </c>
      <c r="QF58" s="46">
        <v>0</v>
      </c>
      <c r="QG58" s="46">
        <v>0</v>
      </c>
      <c r="QH58" s="46">
        <v>0</v>
      </c>
      <c r="QI58" s="46">
        <v>0</v>
      </c>
      <c r="QJ58" s="46">
        <v>0</v>
      </c>
      <c r="QK58" s="46">
        <v>3350688</v>
      </c>
      <c r="QL58" s="46">
        <v>0</v>
      </c>
      <c r="QM58" s="46">
        <v>0</v>
      </c>
      <c r="QN58" s="46">
        <v>0</v>
      </c>
      <c r="QO58" s="46">
        <v>0</v>
      </c>
      <c r="QP58" s="46">
        <v>0</v>
      </c>
      <c r="QQ58" s="46">
        <v>0</v>
      </c>
      <c r="QR58" s="46">
        <v>0</v>
      </c>
      <c r="QS58" s="46">
        <v>0</v>
      </c>
      <c r="QT58" s="46">
        <v>2624878</v>
      </c>
      <c r="QU58" s="46">
        <v>0</v>
      </c>
      <c r="QV58" s="46">
        <v>0</v>
      </c>
      <c r="QW58" s="46">
        <v>0</v>
      </c>
      <c r="QX58" s="46">
        <v>0</v>
      </c>
      <c r="QY58" s="46">
        <v>0</v>
      </c>
      <c r="QZ58" s="46">
        <v>0</v>
      </c>
      <c r="RA58" s="46">
        <v>0</v>
      </c>
      <c r="RB58" s="46">
        <v>0</v>
      </c>
      <c r="RC58" s="46">
        <v>0</v>
      </c>
      <c r="RD58" s="46">
        <v>0</v>
      </c>
      <c r="RE58" s="46">
        <v>0</v>
      </c>
      <c r="RF58" s="46">
        <v>0</v>
      </c>
      <c r="RG58" s="46">
        <v>0</v>
      </c>
      <c r="RH58" s="46">
        <v>0</v>
      </c>
      <c r="RI58" s="46">
        <v>0</v>
      </c>
      <c r="RJ58" s="46">
        <v>0</v>
      </c>
      <c r="RK58" s="46">
        <v>0</v>
      </c>
      <c r="RL58" s="46">
        <v>0</v>
      </c>
      <c r="RM58" s="46">
        <v>0</v>
      </c>
      <c r="RN58" s="46">
        <v>0</v>
      </c>
      <c r="RO58" s="46">
        <v>-23455038</v>
      </c>
      <c r="RP58" s="46">
        <v>0</v>
      </c>
      <c r="RQ58" s="46">
        <v>0</v>
      </c>
      <c r="RR58" s="46">
        <v>0</v>
      </c>
      <c r="RS58" s="46">
        <v>0</v>
      </c>
      <c r="RT58" s="46">
        <v>0</v>
      </c>
      <c r="RU58" s="46">
        <v>0</v>
      </c>
      <c r="RV58" s="46">
        <v>0</v>
      </c>
      <c r="RW58" s="46">
        <v>0</v>
      </c>
      <c r="RX58" s="46">
        <v>0</v>
      </c>
      <c r="RY58" s="46">
        <v>0</v>
      </c>
      <c r="RZ58" s="46">
        <v>0</v>
      </c>
      <c r="SA58" s="46">
        <v>0</v>
      </c>
      <c r="SB58" s="46">
        <v>0</v>
      </c>
      <c r="SC58" s="46">
        <v>0</v>
      </c>
      <c r="SD58" s="46">
        <v>0</v>
      </c>
      <c r="SE58" s="46">
        <v>0</v>
      </c>
      <c r="SF58" s="46">
        <v>0</v>
      </c>
      <c r="SG58" s="46">
        <v>0</v>
      </c>
      <c r="SH58" s="46">
        <v>0</v>
      </c>
      <c r="SI58" s="46">
        <v>0</v>
      </c>
      <c r="SJ58" s="46">
        <v>0</v>
      </c>
      <c r="SK58" s="46">
        <v>0</v>
      </c>
      <c r="SL58" s="46">
        <v>0</v>
      </c>
      <c r="SM58" s="46">
        <v>0</v>
      </c>
      <c r="SN58" s="46">
        <v>0</v>
      </c>
      <c r="SO58" s="46">
        <v>0</v>
      </c>
      <c r="SP58" s="46">
        <v>0</v>
      </c>
      <c r="SQ58" s="46">
        <v>0</v>
      </c>
      <c r="SR58" s="46">
        <v>0</v>
      </c>
      <c r="SS58" s="46">
        <v>0</v>
      </c>
      <c r="ST58" s="46">
        <v>0</v>
      </c>
      <c r="SU58" s="46">
        <v>0</v>
      </c>
      <c r="SV58" s="46">
        <v>0</v>
      </c>
      <c r="SW58" s="46">
        <v>0</v>
      </c>
      <c r="SX58" s="46">
        <v>0</v>
      </c>
      <c r="SY58" s="46">
        <v>5548094</v>
      </c>
      <c r="SZ58" s="46">
        <v>0</v>
      </c>
      <c r="TA58" s="46">
        <v>197718</v>
      </c>
      <c r="TB58" s="46">
        <v>0</v>
      </c>
      <c r="TC58" s="46">
        <v>745563</v>
      </c>
      <c r="TD58" s="46">
        <v>129156</v>
      </c>
      <c r="TE58" s="46">
        <v>0</v>
      </c>
      <c r="TF58" s="46">
        <v>15054</v>
      </c>
      <c r="TG58" s="46">
        <v>0</v>
      </c>
      <c r="TH58" s="46">
        <v>0</v>
      </c>
      <c r="TI58" s="46">
        <v>0</v>
      </c>
      <c r="TJ58" s="46">
        <v>0</v>
      </c>
      <c r="TK58" s="46">
        <v>32400</v>
      </c>
      <c r="TL58" s="46">
        <v>17788701</v>
      </c>
      <c r="TM58" s="46">
        <v>4869462</v>
      </c>
      <c r="TN58" s="46">
        <v>0</v>
      </c>
      <c r="TO58" s="46">
        <v>0</v>
      </c>
      <c r="TP58" s="46">
        <v>0</v>
      </c>
      <c r="TQ58" s="46">
        <v>0</v>
      </c>
      <c r="TR58" s="46">
        <v>0</v>
      </c>
      <c r="TS58" s="46">
        <v>0</v>
      </c>
      <c r="TT58" s="46">
        <v>0</v>
      </c>
      <c r="TU58" s="46">
        <v>0</v>
      </c>
      <c r="TV58" s="46">
        <v>0</v>
      </c>
      <c r="TW58" s="46">
        <v>0</v>
      </c>
      <c r="TX58" s="46">
        <v>0</v>
      </c>
      <c r="TY58" s="46">
        <v>0</v>
      </c>
      <c r="TZ58" s="46">
        <v>0</v>
      </c>
      <c r="UA58" s="46">
        <v>0</v>
      </c>
      <c r="UB58" s="46">
        <v>0</v>
      </c>
      <c r="UC58" s="46">
        <v>0</v>
      </c>
      <c r="UD58" s="46">
        <v>0</v>
      </c>
      <c r="UE58" s="46">
        <v>8495001</v>
      </c>
      <c r="UF58" s="46">
        <v>49068550</v>
      </c>
      <c r="UG58" s="46">
        <v>11654607</v>
      </c>
      <c r="UH58" s="46">
        <v>205074640</v>
      </c>
      <c r="UI58" s="46">
        <v>65656497</v>
      </c>
      <c r="UJ58" s="46">
        <v>9767</v>
      </c>
      <c r="UK58" s="46">
        <v>33143511</v>
      </c>
      <c r="UL58" s="46">
        <v>5596668</v>
      </c>
      <c r="UM58" s="46">
        <v>2358550</v>
      </c>
      <c r="UN58" s="46">
        <v>1370713</v>
      </c>
      <c r="UO5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1087491</v>
      </c>
      <c r="UP58" s="46">
        <f>SUM(Input[[#This Row],[Oth Exp E&amp;G]],Input[[#This Row],[Oth Exp Desg]],Input[[#This Row],[Oth Exp Aux]],Input[[#This Row],[Oth Exp R Exp]],Input[[#This Row],[Oth Exp Loan]],Input[[#This Row],[Oth Exp Annuity]],Input[[#This Row],[Oth Exp Unexp]],Input[[#This Row],[Oth Exp R of Ind]],Input[[#This Row],[Oth Exp Inv in P]])</f>
        <v>0</v>
      </c>
      <c r="UQ58" s="46"/>
      <c r="UR58" s="46"/>
      <c r="US58" s="8" t="s">
        <v>826</v>
      </c>
      <c r="UT58" s="47">
        <v>5124716527</v>
      </c>
      <c r="UU58" s="8" t="s">
        <v>93</v>
      </c>
      <c r="UV58" s="8" t="s">
        <v>827</v>
      </c>
      <c r="UW58" s="47">
        <v>5122323566</v>
      </c>
      <c r="UX58" s="8" t="s">
        <v>828</v>
      </c>
      <c r="UY58" s="51" cm="1">
        <f t="array" ref="UY58">IFERROR(_xlfn.IFS(Input[[#This Row],[Type]]="HRI",SUMIFS('FTSE | FTFE'!$P$8:$P$77,'FTSE | FTFE'!$H$8:$H$77,A58),Input[[#This Row],[Type]]="UNIV",SUMIFS('FTSE | FTFE'!$P$104:$P$139,'FTSE | FTFE'!$H$104:$H$139,A58),OR(Input[[#This Row],[Type]]="TSTC",Input[[#This Row],[Type]]="LSC"),SUMIFS('FTSE | FTFE'!$O$88:$O$96,'FTSE | FTFE'!$H$88:$H$96,A58),Input[[#This Row],[Type]]="AHM",SUMIFS(Hidden!$H$42:$H$45,Hidden!$G$42:$G$45,A58)),"N/A")</f>
        <v>203</v>
      </c>
      <c r="UZ58" s="51" cm="1">
        <f t="array" ref="UZ58">IFERROR(_xlfn.IFS(Input[[#This Row],[Type]]="HRI",SUMIFS('FTSE | FTFE'!$Q$8:$Q$77,'FTSE | FTFE'!$H$8:$H$77,A58),Input[[#This Row],[Type]]="UNIV",SUMIFS('FTSE | FTFE'!$Q$104:$Q$139,'FTSE | FTFE'!$H$104:$H$139,A58),OR(Input[[#This Row],[Type]]="TSTC",Input[[#This Row],[Type]]="LSC"),SUMIFS('FTSE | FTFE'!$P$88:$P$96,'FTSE | FTFE'!$H$88:$H$96,A58)),"N/A")</f>
        <v>40.590000000000003</v>
      </c>
      <c r="VA5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22674063</v>
      </c>
      <c r="VB5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29049892</v>
      </c>
      <c r="VC58" s="46">
        <f>SUM(Input[[#This Row],[Fed G&amp;C E&amp;G]],Input[[#This Row],[Fed G&amp;C Desg]],Input[[#This Row],[Fed G&amp;C R Exp]],Input[[#This Row],[Fed G&amp;C Loan]],Input[[#This Row],[Fed G&amp;C Annuity]],Input[[#This Row],[Fed G&amp;C Unexp]],Input[[#This Row],[Fed G&amp;C R of Ind]],Input[[#This Row],[Fed G&amp;C Inv in P]])</f>
        <v>22049832</v>
      </c>
      <c r="VD5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257848154</v>
      </c>
      <c r="VE5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1489125</v>
      </c>
      <c r="VF5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471155</v>
      </c>
      <c r="VG58" s="46">
        <f>SUM(Input[[#This Row],[Oth Inc E&amp;G]],Input[[#This Row],[Oth Exp Desg]],Input[[#This Row],[Oth Exp R Exp]],Input[[#This Row],[Oth Exp Loan]],Input[[#This Row],[Oth Exp Annuity]],Input[[#This Row],[Oth Exp Unexp]],Input[[#This Row],[Oth Exp R of Ind]],Input[[#This Row],[Oth Exp Inv in P]])</f>
        <v>0</v>
      </c>
      <c r="VH58" s="46">
        <f>SUM(Input[[#This Row],[Instr E&amp;G]],Input[[#This Row],[Instr Desg]],Input[[#This Row],[Instr R Exp]],Input[[#This Row],[Instr Loan]],Input[[#This Row],[Instr Annuity]],Input[[#This Row],[Instr Unexp]],Input[[#This Row],[Instr R of Ind]],Input[[#This Row],[Instr Inv in P]])</f>
        <v>8495001</v>
      </c>
      <c r="VI58" s="46">
        <f>SUM(Input[[#This Row],[Res E&amp;G]],Input[[#This Row],[Res Desg]],Input[[#This Row],[Res R Exp]],Input[[#This Row],[Res Loan]],Input[[#This Row],[Res Annuity]],Input[[#This Row],[Res Unexp]],Input[[#This Row],[Res R of Ind]],Input[[#This Row],[Res Inv in P]])</f>
        <v>49068550</v>
      </c>
      <c r="VJ58" s="46">
        <f>SUM(Input[[#This Row],[Acad Sup E&amp;G]],Input[[#This Row],[Acad Sup Desg]],Input[[#This Row],[Acad Sup R Exp]],Input[[#This Row],[Acad Sup Loan]],Input[[#This Row],[Acad Sup Annuity]],Input[[#This Row],[Acad Sup Unexp]],Input[[#This Row],[Acad Sup R of Ind]],Input[[#This Row],[Acad Sup Inv in P]])</f>
        <v>65656497</v>
      </c>
      <c r="VK58" s="46">
        <f>SUM(Input[[#This Row],[Stu Svc E&amp;G]],Input[[#This Row],[Stu Svc Desg]],Input[[#This Row],[Stu Svc R Exp]],Input[[#This Row],[Stu Svc Loan]],Input[[#This Row],[Stu Svc Annuity]],Input[[#This Row],[Stu Svc Unexp]],Input[[#This Row],[Stu Svc R of Ind]],Input[[#This Row],[Stu Svc Inv in P]])</f>
        <v>9767</v>
      </c>
      <c r="VL58" s="46">
        <f>SUM(Input[[#This Row],[Inst. Spt E&amp;G]],Input[[#This Row],[Inst. Spt Desg]],Input[[#This Row],[Inst. Spt R Exp]],Input[[#This Row],[Inst. Spt Loan]],Input[[#This Row],[Inst. Spt Annuity]],Input[[#This Row],[Inst. Spt Unexp]],Input[[#This Row],[Inst. Spt R of Ind]],Input[[#This Row],[Inst. Spt Inv in P]])</f>
        <v>33143511</v>
      </c>
      <c r="VM58" s="46">
        <f>SUM(Input[[#This Row],[M&amp;O Plnt E&amp;G]],Input[[#This Row],[M&amp;O Plnt Desg]],Input[[#This Row],[M&amp;O Plnt R Exp]],Input[[#This Row],[M&amp;O Plnt Loan]],Input[[#This Row],[M&amp;O Plnt Annuity]],Input[[#This Row],[M&amp;O Plnt Unexp]],Input[[#This Row],[M&amp;O Plnt R of Ind]],Input[[#This Row],[M&amp;O Plnt Inv in P]])</f>
        <v>5596668</v>
      </c>
      <c r="VN58" s="46">
        <f>SUM(Input[[#This Row],[Schl &amp; Fell E&amp;G]],Input[[#This Row],[Schl &amp; Fell Desg]],Input[[#This Row],[Schl &amp; Fell R Exp]],Input[[#This Row],[Schl &amp; Fell Loan]],Input[[#This Row],[Schl &amp; Fell Annuity]],Input[[#This Row],[Schl &amp; Fell Unexp]],Input[[#This Row],[Schl &amp; Fell R of Ind]],Input[[#This Row],[Schl &amp; Fell Inv in P]])</f>
        <v>2358550</v>
      </c>
      <c r="VO58" s="46">
        <f>SUM(Input[[#This Row],[Cap Out fund E&amp;G]],Input[[#This Row],[Cap Out fund Desg]],Input[[#This Row],[Cap Out fund R Exp]],Input[[#This Row],[Cap Out fund Loan]],Input[[#This Row],[Cap Out fund Annuity]],Input[[#This Row],[Cap Out fund Unexp]],Input[[#This Row],[Cap Out fund R of Ind]],Input[[#This Row],[Cap Out fund Inv in P]])</f>
        <v>1087491</v>
      </c>
      <c r="VP58" s="46">
        <f>SUM(Input[[#This Row],[Oth Exp E&amp;G]],Input[[#This Row],[Oth Exp Desg]],Input[[#This Row],[Oth Exp R Exp]],Input[[#This Row],[Oth Exp Loan]],Input[[#This Row],[Oth Exp Annuity]],Input[[#This Row],[Oth Exp Unexp]],Input[[#This Row],[Oth Exp R of Ind]],Input[[#This Row],[Oth Exp Inv in P]],Input[[#This Row],[Oth Exp Inv in P]])</f>
        <v>0</v>
      </c>
    </row>
    <row r="59" spans="1:588" ht="30" customHeight="1" x14ac:dyDescent="0.3">
      <c r="A59" s="15" t="s">
        <v>60</v>
      </c>
      <c r="B59" s="36" t="s">
        <v>111</v>
      </c>
      <c r="C59" s="36" t="s">
        <v>117</v>
      </c>
      <c r="D59" s="36">
        <v>909</v>
      </c>
      <c r="E59" s="36" t="s">
        <v>132</v>
      </c>
      <c r="F59" s="95" cm="1">
        <f t="array" ref="F59">IFERROR(_xlfn.IFS(Input[[#This Row],[Type]]="HRI",SUMIFS('FTSE | FTFE'!$I$8:$I$77,'FTSE | FTFE'!$H$8:$H$77,A59),Input[[#This Row],[Type]]="UNIV",SUMIFS('FTSE | FTFE'!$I$104:$I$139,'FTSE | FTFE'!$H$104:$H$139,A59),OR(Input[[#This Row],[Type]]="TSTC",Input[[#This Row],[Type]]="LSC"),SUMIFS('FTSE | FTFE'!$I$88:$I$96,'FTSE | FTFE'!$H$88:$H$96,A59)),"N/A")</f>
        <v>89</v>
      </c>
      <c r="G59" s="46">
        <v>222060635</v>
      </c>
      <c r="H59" s="46">
        <v>0</v>
      </c>
      <c r="I59" s="46">
        <v>0</v>
      </c>
      <c r="J59" s="46">
        <v>0</v>
      </c>
      <c r="K59" s="46">
        <v>0</v>
      </c>
      <c r="L59" s="46">
        <v>0</v>
      </c>
      <c r="M59" s="46">
        <v>0</v>
      </c>
      <c r="N59" s="46">
        <v>0</v>
      </c>
      <c r="O59" s="46">
        <v>0</v>
      </c>
      <c r="P59" s="46">
        <v>3904447</v>
      </c>
      <c r="Q59" s="46">
        <v>875102</v>
      </c>
      <c r="R59" s="46">
        <v>0</v>
      </c>
      <c r="S59" s="46">
        <v>9915168</v>
      </c>
      <c r="T59" s="46">
        <v>0</v>
      </c>
      <c r="U59" s="46">
        <v>0</v>
      </c>
      <c r="V59" s="46">
        <v>0</v>
      </c>
      <c r="W59" s="46">
        <v>0</v>
      </c>
      <c r="X59" s="46">
        <v>0</v>
      </c>
      <c r="Y59" s="46">
        <v>0</v>
      </c>
      <c r="Z59" s="46">
        <v>0</v>
      </c>
      <c r="AA59" s="46">
        <v>0</v>
      </c>
      <c r="AB59" s="46">
        <v>0</v>
      </c>
      <c r="AC59" s="46">
        <v>0</v>
      </c>
      <c r="AD59" s="46">
        <v>0</v>
      </c>
      <c r="AE59" s="46">
        <v>0</v>
      </c>
      <c r="AF59" s="46">
        <v>0</v>
      </c>
      <c r="AG59" s="46">
        <v>0</v>
      </c>
      <c r="AH59" s="46">
        <v>0</v>
      </c>
      <c r="AI59" s="46">
        <v>29199508</v>
      </c>
      <c r="AJ59" s="46">
        <v>0</v>
      </c>
      <c r="AK59" s="46">
        <v>0</v>
      </c>
      <c r="AL59" s="46">
        <v>0</v>
      </c>
      <c r="AM59" s="46">
        <v>0</v>
      </c>
      <c r="AN59" s="46">
        <v>0</v>
      </c>
      <c r="AO59" s="46">
        <v>0</v>
      </c>
      <c r="AP59" s="46">
        <v>0</v>
      </c>
      <c r="AQ59" s="46">
        <v>-3865802</v>
      </c>
      <c r="AR59" s="46">
        <v>0</v>
      </c>
      <c r="AS59" s="46">
        <v>0</v>
      </c>
      <c r="AT59" s="46">
        <v>0</v>
      </c>
      <c r="AU59" s="46">
        <v>0</v>
      </c>
      <c r="AV59" s="46">
        <v>0</v>
      </c>
      <c r="AW59" s="46">
        <v>0</v>
      </c>
      <c r="AX59" s="46">
        <v>0</v>
      </c>
      <c r="AY59" s="46">
        <v>0</v>
      </c>
      <c r="AZ59" s="46">
        <v>0</v>
      </c>
      <c r="BA59" s="46">
        <v>0</v>
      </c>
      <c r="BB59" s="46">
        <v>0</v>
      </c>
      <c r="BC59" s="46">
        <v>0</v>
      </c>
      <c r="BD59" s="46">
        <v>0</v>
      </c>
      <c r="BE59" s="46">
        <v>0</v>
      </c>
      <c r="BF59" s="46">
        <v>0</v>
      </c>
      <c r="BG59" s="46">
        <v>0</v>
      </c>
      <c r="BH59" s="46">
        <v>0</v>
      </c>
      <c r="BI59" s="46">
        <v>0</v>
      </c>
      <c r="BJ59" s="46">
        <v>0</v>
      </c>
      <c r="BK59" s="46">
        <v>0</v>
      </c>
      <c r="BL59" s="46">
        <v>0</v>
      </c>
      <c r="BM59" s="46">
        <v>0</v>
      </c>
      <c r="BN59" s="46">
        <v>0</v>
      </c>
      <c r="BO59" s="46">
        <v>0</v>
      </c>
      <c r="BP59" s="46">
        <v>0</v>
      </c>
      <c r="BQ59" s="46">
        <v>0</v>
      </c>
      <c r="BR59" s="46">
        <v>0</v>
      </c>
      <c r="BS59" s="46">
        <v>0</v>
      </c>
      <c r="BT59" s="46">
        <v>0</v>
      </c>
      <c r="BU59" s="46">
        <v>0</v>
      </c>
      <c r="BV59" s="46">
        <v>0</v>
      </c>
      <c r="BW59" s="46">
        <v>0</v>
      </c>
      <c r="BX59" s="46">
        <v>0</v>
      </c>
      <c r="BY59" s="46">
        <v>0</v>
      </c>
      <c r="BZ59" s="46">
        <v>0</v>
      </c>
      <c r="CA59" s="46">
        <v>23325216</v>
      </c>
      <c r="CB59" s="46">
        <v>25840517</v>
      </c>
      <c r="CC59" s="46">
        <v>0</v>
      </c>
      <c r="CD59" s="46">
        <v>0</v>
      </c>
      <c r="CE59" s="46">
        <v>0</v>
      </c>
      <c r="CF59" s="46">
        <v>0</v>
      </c>
      <c r="CG59" s="46">
        <v>0</v>
      </c>
      <c r="CH59" s="46">
        <v>0</v>
      </c>
      <c r="CI59" s="46">
        <v>0</v>
      </c>
      <c r="CJ59" s="46">
        <v>0</v>
      </c>
      <c r="CK59" s="46">
        <v>0</v>
      </c>
      <c r="CL59" s="46">
        <v>0</v>
      </c>
      <c r="CM59" s="46">
        <v>0</v>
      </c>
      <c r="CN59" s="46">
        <v>0</v>
      </c>
      <c r="CO59" s="46">
        <v>0</v>
      </c>
      <c r="CP59" s="46">
        <v>0</v>
      </c>
      <c r="CQ59" s="46">
        <v>0</v>
      </c>
      <c r="CR59" s="46">
        <v>0</v>
      </c>
      <c r="CS59" s="46">
        <v>0</v>
      </c>
      <c r="CT59" s="46">
        <v>0</v>
      </c>
      <c r="CU59" s="46">
        <v>0</v>
      </c>
      <c r="CV59" s="46">
        <v>0</v>
      </c>
      <c r="CW59" s="46">
        <v>0</v>
      </c>
      <c r="CX59" s="46">
        <v>0</v>
      </c>
      <c r="CY59" s="46">
        <v>0</v>
      </c>
      <c r="CZ59" s="46">
        <v>0</v>
      </c>
      <c r="DA59" s="46">
        <v>0</v>
      </c>
      <c r="DB59" s="46">
        <v>-434792</v>
      </c>
      <c r="DC59" s="46">
        <v>-1079243</v>
      </c>
      <c r="DD59" s="46">
        <v>0</v>
      </c>
      <c r="DE59" s="46">
        <v>0</v>
      </c>
      <c r="DF59" s="46">
        <v>0</v>
      </c>
      <c r="DG59" s="46">
        <v>0</v>
      </c>
      <c r="DH59" s="46">
        <v>0</v>
      </c>
      <c r="DI59" s="46">
        <v>0</v>
      </c>
      <c r="DJ59" s="46">
        <v>0</v>
      </c>
      <c r="DK59" s="46">
        <v>0</v>
      </c>
      <c r="DL59" s="46">
        <v>0</v>
      </c>
      <c r="DM59" s="46">
        <v>0</v>
      </c>
      <c r="DN59" s="46">
        <v>0</v>
      </c>
      <c r="DO59" s="46">
        <v>0</v>
      </c>
      <c r="DP59" s="46">
        <v>0</v>
      </c>
      <c r="DQ59" s="46">
        <v>0</v>
      </c>
      <c r="DR59" s="46">
        <v>0</v>
      </c>
      <c r="DS59" s="46">
        <v>0</v>
      </c>
      <c r="DT59" s="46">
        <v>-2540815</v>
      </c>
      <c r="DU59" s="46">
        <v>-2217242</v>
      </c>
      <c r="DV59" s="46">
        <v>0</v>
      </c>
      <c r="DW59" s="46">
        <v>0</v>
      </c>
      <c r="DX59" s="46">
        <v>0</v>
      </c>
      <c r="DY59" s="46">
        <v>0</v>
      </c>
      <c r="DZ59" s="46">
        <v>0</v>
      </c>
      <c r="EA59" s="46">
        <v>0</v>
      </c>
      <c r="EB59" s="46">
        <v>0</v>
      </c>
      <c r="EC59" s="46">
        <v>0</v>
      </c>
      <c r="ED59" s="46">
        <v>0</v>
      </c>
      <c r="EE59" s="46">
        <v>0</v>
      </c>
      <c r="EF59" s="46">
        <v>0</v>
      </c>
      <c r="EG59" s="46">
        <v>0</v>
      </c>
      <c r="EH59" s="46">
        <v>0</v>
      </c>
      <c r="EI59" s="46">
        <v>0</v>
      </c>
      <c r="EJ59" s="46">
        <v>0</v>
      </c>
      <c r="EK59" s="46">
        <v>0</v>
      </c>
      <c r="EL59" s="46">
        <v>0</v>
      </c>
      <c r="EM59" s="46">
        <v>0</v>
      </c>
      <c r="EN59" s="46">
        <v>0</v>
      </c>
      <c r="EO59" s="46">
        <v>0</v>
      </c>
      <c r="EP59" s="46">
        <v>0</v>
      </c>
      <c r="EQ59" s="46">
        <v>0</v>
      </c>
      <c r="ER59" s="46">
        <v>0</v>
      </c>
      <c r="ES59" s="46">
        <v>0</v>
      </c>
      <c r="ET59" s="46">
        <v>0</v>
      </c>
      <c r="EU59" s="46">
        <v>0</v>
      </c>
      <c r="EV59" s="46">
        <v>0</v>
      </c>
      <c r="EW59" s="46">
        <v>0</v>
      </c>
      <c r="EX59" s="46">
        <v>0</v>
      </c>
      <c r="EY59" s="46">
        <v>0</v>
      </c>
      <c r="EZ59" s="46">
        <v>0</v>
      </c>
      <c r="FA59" s="46">
        <v>0</v>
      </c>
      <c r="FB59" s="46">
        <v>0</v>
      </c>
      <c r="FC59" s="46">
        <v>0</v>
      </c>
      <c r="FD59" s="46">
        <v>0</v>
      </c>
      <c r="FE59" s="46">
        <v>0</v>
      </c>
      <c r="FF59" s="46">
        <v>0</v>
      </c>
      <c r="FG59" s="46">
        <v>0</v>
      </c>
      <c r="FH59" s="46">
        <v>0</v>
      </c>
      <c r="FI59" s="46">
        <v>0</v>
      </c>
      <c r="FJ59" s="46">
        <v>0</v>
      </c>
      <c r="FK59" s="46">
        <v>0</v>
      </c>
      <c r="FL59" s="46">
        <v>0</v>
      </c>
      <c r="FM59" s="46">
        <v>53472</v>
      </c>
      <c r="FN59" s="46">
        <v>19721987</v>
      </c>
      <c r="FO59" s="46">
        <v>1945305</v>
      </c>
      <c r="FP59" s="46">
        <v>0</v>
      </c>
      <c r="FQ59" s="46">
        <v>0</v>
      </c>
      <c r="FR59" s="46">
        <v>0</v>
      </c>
      <c r="FS59" s="46">
        <v>0</v>
      </c>
      <c r="FT59" s="46">
        <v>0</v>
      </c>
      <c r="FU59" s="46">
        <v>0</v>
      </c>
      <c r="FV59" s="46">
        <v>0</v>
      </c>
      <c r="FW59" s="46">
        <v>0</v>
      </c>
      <c r="FX59" s="46">
        <v>0</v>
      </c>
      <c r="FY59" s="46">
        <v>0</v>
      </c>
      <c r="FZ59" s="46">
        <v>0</v>
      </c>
      <c r="GA59" s="46">
        <v>0</v>
      </c>
      <c r="GB59" s="46">
        <v>0</v>
      </c>
      <c r="GC59" s="46">
        <v>0</v>
      </c>
      <c r="GD59" s="46">
        <v>0</v>
      </c>
      <c r="GE59" s="46">
        <v>0</v>
      </c>
      <c r="GF59" s="46">
        <v>0</v>
      </c>
      <c r="GG59" s="46">
        <v>0</v>
      </c>
      <c r="GH59" s="46">
        <v>0</v>
      </c>
      <c r="GI59" s="46">
        <v>0</v>
      </c>
      <c r="GJ59" s="46">
        <v>0</v>
      </c>
      <c r="GK59" s="46">
        <v>0</v>
      </c>
      <c r="GL59" s="46">
        <v>0</v>
      </c>
      <c r="GM59" s="46">
        <v>0</v>
      </c>
      <c r="GN59" s="46">
        <v>-660</v>
      </c>
      <c r="GO59" s="46">
        <v>-480139</v>
      </c>
      <c r="GP59" s="46">
        <v>-70322</v>
      </c>
      <c r="GQ59" s="46">
        <v>0</v>
      </c>
      <c r="GR59" s="46">
        <v>0</v>
      </c>
      <c r="GS59" s="46">
        <v>0</v>
      </c>
      <c r="GT59" s="46">
        <v>0</v>
      </c>
      <c r="GU59" s="46">
        <v>0</v>
      </c>
      <c r="GV59" s="46">
        <v>0</v>
      </c>
      <c r="GW59" s="46">
        <v>0</v>
      </c>
      <c r="GX59" s="46">
        <v>0</v>
      </c>
      <c r="GY59" s="46">
        <v>0</v>
      </c>
      <c r="GZ59" s="46">
        <v>0</v>
      </c>
      <c r="HA59" s="46">
        <v>0</v>
      </c>
      <c r="HB59" s="46">
        <v>0</v>
      </c>
      <c r="HC59" s="46">
        <v>0</v>
      </c>
      <c r="HD59" s="46">
        <v>0</v>
      </c>
      <c r="HE59" s="46">
        <v>0</v>
      </c>
      <c r="HF59" s="46">
        <v>-6161</v>
      </c>
      <c r="HG59" s="46">
        <v>-2035802</v>
      </c>
      <c r="HH59" s="46">
        <v>-177841</v>
      </c>
      <c r="HI59" s="46">
        <v>0</v>
      </c>
      <c r="HJ59" s="46">
        <v>0</v>
      </c>
      <c r="HK59" s="46">
        <v>0</v>
      </c>
      <c r="HL59" s="46">
        <v>0</v>
      </c>
      <c r="HM59" s="46">
        <v>0</v>
      </c>
      <c r="HN59" s="46">
        <v>0</v>
      </c>
      <c r="HO59" s="46">
        <v>0</v>
      </c>
      <c r="HP59" s="46">
        <v>15913767</v>
      </c>
      <c r="HQ59" s="46">
        <v>0</v>
      </c>
      <c r="HR59" s="46">
        <v>48152540</v>
      </c>
      <c r="HS59" s="46">
        <v>0</v>
      </c>
      <c r="HT59" s="46">
        <v>0</v>
      </c>
      <c r="HU59" s="46">
        <v>0</v>
      </c>
      <c r="HV59" s="46">
        <v>0</v>
      </c>
      <c r="HW59" s="46">
        <v>0</v>
      </c>
      <c r="HX59" s="46">
        <v>0</v>
      </c>
      <c r="HY59" s="46">
        <v>0</v>
      </c>
      <c r="HZ59" s="46">
        <v>0</v>
      </c>
      <c r="IA59" s="46">
        <v>0</v>
      </c>
      <c r="IB59" s="46">
        <v>0</v>
      </c>
      <c r="IC59" s="46">
        <v>0</v>
      </c>
      <c r="ID59" s="46">
        <v>0</v>
      </c>
      <c r="IE59" s="46">
        <v>0</v>
      </c>
      <c r="IF59" s="46">
        <v>0</v>
      </c>
      <c r="IG59" s="46">
        <v>0</v>
      </c>
      <c r="IH59" s="46">
        <v>0</v>
      </c>
      <c r="II59" s="46">
        <v>0</v>
      </c>
      <c r="IJ59" s="46">
        <v>0</v>
      </c>
      <c r="IK59" s="46">
        <v>0</v>
      </c>
      <c r="IL59" s="46">
        <v>0</v>
      </c>
      <c r="IM59" s="46">
        <v>0</v>
      </c>
      <c r="IN59" s="46">
        <v>0</v>
      </c>
      <c r="IO59" s="46">
        <v>0</v>
      </c>
      <c r="IP59" s="46">
        <v>5267817</v>
      </c>
      <c r="IQ59" s="46">
        <v>29523246</v>
      </c>
      <c r="IR59" s="46">
        <v>0</v>
      </c>
      <c r="IS59" s="46">
        <v>194292</v>
      </c>
      <c r="IT59" s="46">
        <v>90227</v>
      </c>
      <c r="IU59" s="46">
        <v>340193</v>
      </c>
      <c r="IV59" s="46">
        <v>0</v>
      </c>
      <c r="IW59" s="46">
        <v>0</v>
      </c>
      <c r="IX59" s="46">
        <v>0</v>
      </c>
      <c r="IY59" s="46">
        <v>0</v>
      </c>
      <c r="IZ59" s="46">
        <v>0</v>
      </c>
      <c r="JA59" s="46">
        <v>0</v>
      </c>
      <c r="JB59" s="46">
        <v>0</v>
      </c>
      <c r="JC59" s="46">
        <v>0</v>
      </c>
      <c r="JD59" s="46">
        <v>0</v>
      </c>
      <c r="JE59" s="46">
        <v>0</v>
      </c>
      <c r="JF59" s="46">
        <v>0</v>
      </c>
      <c r="JG59" s="46">
        <v>0</v>
      </c>
      <c r="JH59" s="46">
        <v>0</v>
      </c>
      <c r="JI59" s="46">
        <v>3167393</v>
      </c>
      <c r="JJ59" s="46">
        <v>0</v>
      </c>
      <c r="JK59" s="46">
        <v>16753600</v>
      </c>
      <c r="JL59" s="46">
        <v>0</v>
      </c>
      <c r="JM59" s="46">
        <v>0</v>
      </c>
      <c r="JN59" s="46">
        <v>0</v>
      </c>
      <c r="JO59" s="46">
        <v>0</v>
      </c>
      <c r="JP59" s="46">
        <v>0</v>
      </c>
      <c r="JQ59" s="46">
        <v>7561514</v>
      </c>
      <c r="JR59" s="46">
        <v>61975480</v>
      </c>
      <c r="JS59" s="46">
        <v>0</v>
      </c>
      <c r="JT59" s="46">
        <v>28860</v>
      </c>
      <c r="JU59" s="46">
        <v>0</v>
      </c>
      <c r="JV59" s="46">
        <v>0</v>
      </c>
      <c r="JW59" s="46">
        <v>0</v>
      </c>
      <c r="JX59" s="46">
        <v>0</v>
      </c>
      <c r="JY59" s="46">
        <v>0</v>
      </c>
      <c r="JZ59" s="46">
        <v>0</v>
      </c>
      <c r="KA59" s="46">
        <v>0</v>
      </c>
      <c r="KB59" s="46">
        <v>4700669</v>
      </c>
      <c r="KC59" s="46">
        <v>0</v>
      </c>
      <c r="KD59" s="46">
        <v>0</v>
      </c>
      <c r="KE59" s="46">
        <v>0</v>
      </c>
      <c r="KF59" s="46">
        <v>0</v>
      </c>
      <c r="KG59" s="46">
        <v>0</v>
      </c>
      <c r="KH59" s="46">
        <v>0</v>
      </c>
      <c r="KI59" s="46">
        <v>0</v>
      </c>
      <c r="KJ59" s="46">
        <v>3863230</v>
      </c>
      <c r="KK59" s="46">
        <v>131697</v>
      </c>
      <c r="KL59" s="46">
        <v>31438</v>
      </c>
      <c r="KM59" s="46">
        <v>157432</v>
      </c>
      <c r="KN59" s="46">
        <v>0</v>
      </c>
      <c r="KO59" s="46">
        <v>0</v>
      </c>
      <c r="KP59" s="46">
        <v>0</v>
      </c>
      <c r="KQ59" s="46">
        <v>-78186</v>
      </c>
      <c r="KR59" s="46">
        <v>113267784</v>
      </c>
      <c r="KS59" s="46">
        <v>66690408</v>
      </c>
      <c r="KT59" s="46">
        <v>0</v>
      </c>
      <c r="KU59" s="46">
        <v>2589086</v>
      </c>
      <c r="KV59" s="46">
        <v>0</v>
      </c>
      <c r="KW59" s="46">
        <v>0</v>
      </c>
      <c r="KX59" s="46">
        <v>0</v>
      </c>
      <c r="KY59" s="46">
        <v>0</v>
      </c>
      <c r="KZ59" s="46">
        <v>0</v>
      </c>
      <c r="LA59" s="46">
        <v>30839964</v>
      </c>
      <c r="LB59" s="46">
        <v>26067038</v>
      </c>
      <c r="LC59" s="46">
        <v>0</v>
      </c>
      <c r="LD59" s="46">
        <v>61756952</v>
      </c>
      <c r="LE59" s="46">
        <v>0</v>
      </c>
      <c r="LF59" s="46">
        <v>0</v>
      </c>
      <c r="LG59" s="46">
        <v>0</v>
      </c>
      <c r="LH59" s="46">
        <v>0</v>
      </c>
      <c r="LI59" s="46">
        <v>0</v>
      </c>
      <c r="LJ59" s="46">
        <v>22870523</v>
      </c>
      <c r="LK59" s="46">
        <v>4702932</v>
      </c>
      <c r="LL59" s="46">
        <v>0</v>
      </c>
      <c r="LM59" s="46">
        <v>2114962</v>
      </c>
      <c r="LN59" s="46">
        <v>0</v>
      </c>
      <c r="LO59" s="46">
        <v>0</v>
      </c>
      <c r="LP59" s="46">
        <v>0</v>
      </c>
      <c r="LQ59" s="46">
        <v>0</v>
      </c>
      <c r="LR59" s="46">
        <v>0</v>
      </c>
      <c r="LS59" s="46">
        <v>0</v>
      </c>
      <c r="LT59" s="46">
        <v>0</v>
      </c>
      <c r="LU59" s="46">
        <v>0</v>
      </c>
      <c r="LV59" s="46">
        <v>0</v>
      </c>
      <c r="LW59" s="46">
        <v>0</v>
      </c>
      <c r="LX59" s="46">
        <v>0</v>
      </c>
      <c r="LY59" s="46">
        <v>0</v>
      </c>
      <c r="LZ59" s="46">
        <v>0</v>
      </c>
      <c r="MA59" s="46">
        <v>0</v>
      </c>
      <c r="MB59" s="46">
        <v>38145450</v>
      </c>
      <c r="MC59" s="46">
        <v>11386100</v>
      </c>
      <c r="MD59" s="46">
        <v>0</v>
      </c>
      <c r="ME59" s="46">
        <v>948136</v>
      </c>
      <c r="MF59" s="46">
        <v>0</v>
      </c>
      <c r="MG59" s="46">
        <v>0</v>
      </c>
      <c r="MH59" s="46">
        <v>0</v>
      </c>
      <c r="MI59" s="46">
        <v>0</v>
      </c>
      <c r="MJ59" s="46">
        <v>0</v>
      </c>
      <c r="MK59" s="46">
        <v>4318743</v>
      </c>
      <c r="ML59" s="46">
        <v>8177852</v>
      </c>
      <c r="MM59" s="46">
        <v>0</v>
      </c>
      <c r="MN59" s="46">
        <v>285872</v>
      </c>
      <c r="MO59" s="46">
        <v>9301</v>
      </c>
      <c r="MP59" s="46">
        <v>0</v>
      </c>
      <c r="MQ59" s="46">
        <v>0</v>
      </c>
      <c r="MR59" s="46">
        <v>0</v>
      </c>
      <c r="MS59" s="46">
        <v>0</v>
      </c>
      <c r="MT59" s="46">
        <v>15408221</v>
      </c>
      <c r="MU59" s="46">
        <v>5242953</v>
      </c>
      <c r="MV59" s="46">
        <v>0</v>
      </c>
      <c r="MW59" s="46">
        <v>996842</v>
      </c>
      <c r="MX59" s="46">
        <v>0</v>
      </c>
      <c r="MY59" s="46">
        <v>0</v>
      </c>
      <c r="MZ59" s="46">
        <v>0</v>
      </c>
      <c r="NA59" s="46">
        <v>0</v>
      </c>
      <c r="NB59" s="46">
        <v>0</v>
      </c>
      <c r="NC59" s="46">
        <v>25633543</v>
      </c>
      <c r="ND59" s="46">
        <v>15474226</v>
      </c>
      <c r="NE59" s="46">
        <v>0</v>
      </c>
      <c r="NF59" s="46">
        <v>0</v>
      </c>
      <c r="NG59" s="46">
        <v>0</v>
      </c>
      <c r="NH59" s="46">
        <v>0</v>
      </c>
      <c r="NI59" s="46">
        <v>447502</v>
      </c>
      <c r="NJ59" s="46">
        <v>0</v>
      </c>
      <c r="NK59" s="46">
        <v>0</v>
      </c>
      <c r="NL59" s="46">
        <v>858347</v>
      </c>
      <c r="NM59" s="46">
        <v>5266867</v>
      </c>
      <c r="NN59" s="46">
        <v>0</v>
      </c>
      <c r="NO59" s="46">
        <v>1038453</v>
      </c>
      <c r="NP59" s="46">
        <v>0</v>
      </c>
      <c r="NQ59" s="46">
        <v>0</v>
      </c>
      <c r="NR59" s="46">
        <v>0</v>
      </c>
      <c r="NS59" s="46">
        <v>0</v>
      </c>
      <c r="NT59" s="46">
        <v>0</v>
      </c>
      <c r="NU59" s="46">
        <v>0</v>
      </c>
      <c r="NV59" s="46">
        <v>0</v>
      </c>
      <c r="NW59" s="46">
        <v>7106887</v>
      </c>
      <c r="NX59" s="46">
        <v>0</v>
      </c>
      <c r="NY59" s="46">
        <v>0</v>
      </c>
      <c r="NZ59" s="46">
        <v>0</v>
      </c>
      <c r="OA59" s="46">
        <v>0</v>
      </c>
      <c r="OB59" s="46">
        <v>0</v>
      </c>
      <c r="OC59" s="46">
        <v>0</v>
      </c>
      <c r="OD59" s="46">
        <v>2865378</v>
      </c>
      <c r="OE59" s="46">
        <v>11847097</v>
      </c>
      <c r="OF59" s="46">
        <v>0</v>
      </c>
      <c r="OG59" s="46">
        <v>1689874</v>
      </c>
      <c r="OH59" s="46">
        <v>0</v>
      </c>
      <c r="OI59" s="46">
        <v>0</v>
      </c>
      <c r="OJ59" s="46">
        <v>0</v>
      </c>
      <c r="OK59" s="46">
        <v>0</v>
      </c>
      <c r="OL59" s="46">
        <v>0</v>
      </c>
      <c r="OM59" s="46">
        <v>193912</v>
      </c>
      <c r="ON59" s="46">
        <v>1503709</v>
      </c>
      <c r="OO59" s="46">
        <v>0</v>
      </c>
      <c r="OP59" s="46">
        <v>0</v>
      </c>
      <c r="OQ59" s="46">
        <v>0</v>
      </c>
      <c r="OR59" s="46">
        <v>0</v>
      </c>
      <c r="OS59" s="46">
        <v>0</v>
      </c>
      <c r="OT59" s="46">
        <v>0</v>
      </c>
      <c r="OU59" s="46">
        <v>260013</v>
      </c>
      <c r="OV59" s="46">
        <v>0</v>
      </c>
      <c r="OW59" s="46">
        <v>0</v>
      </c>
      <c r="OX59" s="46">
        <v>0</v>
      </c>
      <c r="OY59" s="46">
        <v>0</v>
      </c>
      <c r="OZ59" s="46">
        <v>0</v>
      </c>
      <c r="PA59" s="46">
        <v>0</v>
      </c>
      <c r="PB59" s="46">
        <v>57733</v>
      </c>
      <c r="PC59" s="46">
        <v>0</v>
      </c>
      <c r="PD59" s="46">
        <v>0</v>
      </c>
      <c r="PE59" s="46">
        <v>-1439328</v>
      </c>
      <c r="PF59" s="46">
        <v>15374324</v>
      </c>
      <c r="PG59" s="46">
        <v>635975</v>
      </c>
      <c r="PH59" s="46">
        <v>-1694560</v>
      </c>
      <c r="PI59" s="46">
        <v>0</v>
      </c>
      <c r="PJ59" s="46">
        <v>497459</v>
      </c>
      <c r="PK59" s="46">
        <v>2375874</v>
      </c>
      <c r="PL59" s="46">
        <v>0</v>
      </c>
      <c r="PM59" s="46">
        <v>161803</v>
      </c>
      <c r="PN59" s="46">
        <v>0</v>
      </c>
      <c r="PO59" s="46">
        <v>0</v>
      </c>
      <c r="PP59" s="46">
        <v>0</v>
      </c>
      <c r="PQ59" s="46">
        <v>0</v>
      </c>
      <c r="PR59" s="46">
        <v>0</v>
      </c>
      <c r="PS59" s="46">
        <v>0</v>
      </c>
      <c r="PT59" s="46">
        <v>0</v>
      </c>
      <c r="PU59" s="46">
        <v>0</v>
      </c>
      <c r="PV59" s="46">
        <v>0</v>
      </c>
      <c r="PW59" s="46">
        <v>-27592276</v>
      </c>
      <c r="PX59" s="46">
        <v>-373099</v>
      </c>
      <c r="PY59" s="46">
        <v>0</v>
      </c>
      <c r="PZ59" s="46">
        <v>0</v>
      </c>
      <c r="QA59" s="46">
        <v>0</v>
      </c>
      <c r="QB59" s="46">
        <v>0</v>
      </c>
      <c r="QC59" s="46">
        <v>0</v>
      </c>
      <c r="QD59" s="46">
        <v>0</v>
      </c>
      <c r="QE59" s="46">
        <v>0</v>
      </c>
      <c r="QF59" s="46">
        <v>-134063</v>
      </c>
      <c r="QG59" s="46">
        <v>16157202</v>
      </c>
      <c r="QH59" s="46">
        <v>0</v>
      </c>
      <c r="QI59" s="46">
        <v>0</v>
      </c>
      <c r="QJ59" s="46">
        <v>0</v>
      </c>
      <c r="QK59" s="46">
        <v>-100982</v>
      </c>
      <c r="QL59" s="46">
        <v>0</v>
      </c>
      <c r="QM59" s="46">
        <v>0</v>
      </c>
      <c r="QN59" s="46">
        <v>0</v>
      </c>
      <c r="QO59" s="46">
        <v>0</v>
      </c>
      <c r="QP59" s="46">
        <v>0</v>
      </c>
      <c r="QQ59" s="46">
        <v>0</v>
      </c>
      <c r="QR59" s="46">
        <v>0</v>
      </c>
      <c r="QS59" s="46">
        <v>0</v>
      </c>
      <c r="QT59" s="46">
        <v>0</v>
      </c>
      <c r="QU59" s="46">
        <v>0</v>
      </c>
      <c r="QV59" s="46">
        <v>0</v>
      </c>
      <c r="QW59" s="46">
        <v>0</v>
      </c>
      <c r="QX59" s="46">
        <v>0</v>
      </c>
      <c r="QY59" s="46">
        <v>0</v>
      </c>
      <c r="QZ59" s="46">
        <v>0</v>
      </c>
      <c r="RA59" s="46">
        <v>0</v>
      </c>
      <c r="RB59" s="46">
        <v>0</v>
      </c>
      <c r="RC59" s="46">
        <v>0</v>
      </c>
      <c r="RD59" s="46">
        <v>0</v>
      </c>
      <c r="RE59" s="46">
        <v>0</v>
      </c>
      <c r="RF59" s="46">
        <v>0</v>
      </c>
      <c r="RG59" s="46">
        <v>0</v>
      </c>
      <c r="RH59" s="46">
        <v>0</v>
      </c>
      <c r="RI59" s="46">
        <v>0</v>
      </c>
      <c r="RJ59" s="46">
        <v>0</v>
      </c>
      <c r="RK59" s="46">
        <v>0</v>
      </c>
      <c r="RL59" s="46">
        <v>0</v>
      </c>
      <c r="RM59" s="46">
        <v>0</v>
      </c>
      <c r="RN59" s="46">
        <v>0</v>
      </c>
      <c r="RO59" s="46">
        <v>-34966162</v>
      </c>
      <c r="RP59" s="46">
        <v>0</v>
      </c>
      <c r="RQ59" s="46">
        <v>0</v>
      </c>
      <c r="RR59" s="46">
        <v>0</v>
      </c>
      <c r="RS59" s="46">
        <v>0</v>
      </c>
      <c r="RT59" s="46">
        <v>0</v>
      </c>
      <c r="RU59" s="46">
        <v>0</v>
      </c>
      <c r="RV59" s="46">
        <v>0</v>
      </c>
      <c r="RW59" s="46">
        <v>0</v>
      </c>
      <c r="RX59" s="46">
        <v>-616988</v>
      </c>
      <c r="RY59" s="46">
        <v>0</v>
      </c>
      <c r="RZ59" s="46">
        <v>0</v>
      </c>
      <c r="SA59" s="46">
        <v>0</v>
      </c>
      <c r="SB59" s="46">
        <v>0</v>
      </c>
      <c r="SC59" s="46">
        <v>0</v>
      </c>
      <c r="SD59" s="46">
        <v>0</v>
      </c>
      <c r="SE59" s="46">
        <v>0</v>
      </c>
      <c r="SF59" s="46">
        <v>0</v>
      </c>
      <c r="SG59" s="46">
        <v>0</v>
      </c>
      <c r="SH59" s="46">
        <v>0</v>
      </c>
      <c r="SI59" s="46">
        <v>0</v>
      </c>
      <c r="SJ59" s="46">
        <v>0</v>
      </c>
      <c r="SK59" s="46">
        <v>0</v>
      </c>
      <c r="SL59" s="46">
        <v>0</v>
      </c>
      <c r="SM59" s="46">
        <v>0</v>
      </c>
      <c r="SN59" s="46">
        <v>0</v>
      </c>
      <c r="SO59" s="46">
        <v>0</v>
      </c>
      <c r="SP59" s="46">
        <v>159999</v>
      </c>
      <c r="SQ59" s="46">
        <v>2865378</v>
      </c>
      <c r="SR59" s="46">
        <v>11847097</v>
      </c>
      <c r="SS59" s="46">
        <v>0</v>
      </c>
      <c r="ST59" s="46">
        <v>1689874</v>
      </c>
      <c r="SU59" s="46">
        <v>0</v>
      </c>
      <c r="SV59" s="46">
        <v>0</v>
      </c>
      <c r="SW59" s="46">
        <v>-57733</v>
      </c>
      <c r="SX59" s="46">
        <v>0</v>
      </c>
      <c r="SY59" s="46">
        <v>0</v>
      </c>
      <c r="SZ59" s="46">
        <v>1824323</v>
      </c>
      <c r="TA59" s="46">
        <v>4705768</v>
      </c>
      <c r="TB59" s="46">
        <v>437649</v>
      </c>
      <c r="TC59" s="46">
        <v>0</v>
      </c>
      <c r="TD59" s="46">
        <v>210448</v>
      </c>
      <c r="TE59" s="46">
        <v>20258</v>
      </c>
      <c r="TF59" s="46">
        <v>108845</v>
      </c>
      <c r="TG59" s="46">
        <v>9095058</v>
      </c>
      <c r="TH59" s="46">
        <v>0</v>
      </c>
      <c r="TI59" s="46">
        <v>0</v>
      </c>
      <c r="TJ59" s="46">
        <v>0</v>
      </c>
      <c r="TK59" s="46">
        <v>0</v>
      </c>
      <c r="TL59" s="46">
        <v>1696153</v>
      </c>
      <c r="TM59" s="46">
        <v>0</v>
      </c>
      <c r="TN59" s="46">
        <v>0</v>
      </c>
      <c r="TO59" s="46">
        <v>0</v>
      </c>
      <c r="TP59" s="46">
        <v>0</v>
      </c>
      <c r="TQ59" s="46">
        <v>0</v>
      </c>
      <c r="TR59" s="46">
        <v>0</v>
      </c>
      <c r="TS59" s="46">
        <v>0</v>
      </c>
      <c r="TT59" s="46">
        <v>0</v>
      </c>
      <c r="TU59" s="46">
        <v>409854</v>
      </c>
      <c r="TV59" s="46">
        <v>0</v>
      </c>
      <c r="TW59" s="46">
        <v>0</v>
      </c>
      <c r="TX59" s="46">
        <v>0</v>
      </c>
      <c r="TY59" s="46">
        <v>0</v>
      </c>
      <c r="TZ59" s="46">
        <v>0</v>
      </c>
      <c r="UA59" s="46">
        <v>0</v>
      </c>
      <c r="UB59" s="46">
        <v>0</v>
      </c>
      <c r="UC59" s="46">
        <v>0</v>
      </c>
      <c r="UD59" s="46">
        <v>0</v>
      </c>
      <c r="UE59" s="46">
        <v>182547278</v>
      </c>
      <c r="UF59" s="46">
        <v>118663954</v>
      </c>
      <c r="UG59" s="46">
        <v>29688417</v>
      </c>
      <c r="UH59" s="46">
        <v>0</v>
      </c>
      <c r="UI59" s="46">
        <v>50479686</v>
      </c>
      <c r="UJ59" s="46">
        <v>12791768</v>
      </c>
      <c r="UK59" s="46">
        <v>21648016</v>
      </c>
      <c r="UL59" s="46">
        <v>41555271</v>
      </c>
      <c r="UM59" s="46">
        <v>7163667</v>
      </c>
      <c r="UN59" s="46">
        <v>7106887</v>
      </c>
      <c r="UO5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16402349</v>
      </c>
      <c r="UP59" s="46">
        <f>SUM(Input[[#This Row],[Oth Exp E&amp;G]],Input[[#This Row],[Oth Exp Desg]],Input[[#This Row],[Oth Exp Aux]],Input[[#This Row],[Oth Exp R Exp]],Input[[#This Row],[Oth Exp Loan]],Input[[#This Row],[Oth Exp Annuity]],Input[[#This Row],[Oth Exp Unexp]],Input[[#This Row],[Oth Exp R of Ind]],Input[[#This Row],[Oth Exp Inv in P]])</f>
        <v>1957634</v>
      </c>
      <c r="UQ59" s="46"/>
      <c r="UR59" s="46"/>
      <c r="US59" s="8" t="s">
        <v>742</v>
      </c>
      <c r="UT59" s="47">
        <v>9798459761</v>
      </c>
      <c r="UU59" s="8" t="s">
        <v>71</v>
      </c>
      <c r="UV59" s="8" t="s">
        <v>798</v>
      </c>
      <c r="UW59" s="47">
        <v>9794369239</v>
      </c>
      <c r="UX59" s="8" t="s">
        <v>799</v>
      </c>
      <c r="UY59" s="51" cm="1">
        <f t="array" ref="UY59">IFERROR(_xlfn.IFS(Input[[#This Row],[Type]]="HRI",SUMIFS('FTSE | FTFE'!$P$8:$P$77,'FTSE | FTFE'!$H$8:$H$77,A59),Input[[#This Row],[Type]]="UNIV",SUMIFS('FTSE | FTFE'!$P$104:$P$139,'FTSE | FTFE'!$H$104:$H$139,A59),OR(Input[[#This Row],[Type]]="TSTC",Input[[#This Row],[Type]]="LSC"),SUMIFS('FTSE | FTFE'!$O$88:$O$96,'FTSE | FTFE'!$H$88:$H$96,A59),Input[[#This Row],[Type]]="AHM",SUMIFS(Hidden!$H$42:$H$45,Hidden!$G$42:$G$45,A59)),"N/A")</f>
        <v>4236</v>
      </c>
      <c r="UZ59" s="51" cm="1">
        <f t="array" ref="UZ59">IFERROR(_xlfn.IFS(Input[[#This Row],[Type]]="HRI",SUMIFS('FTSE | FTFE'!$Q$8:$Q$77,'FTSE | FTFE'!$H$8:$H$77,A59),Input[[#This Row],[Type]]="UNIV",SUMIFS('FTSE | FTFE'!$Q$104:$Q$139,'FTSE | FTFE'!$H$104:$H$139,A59),OR(Input[[#This Row],[Type]]="TSTC",Input[[#This Row],[Type]]="LSC"),SUMIFS('FTSE | FTFE'!$P$88:$P$96,'FTSE | FTFE'!$H$88:$H$96,A59)),"N/A")</f>
        <v>264.66000000000003</v>
      </c>
      <c r="VA5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236755352</v>
      </c>
      <c r="VB5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29199508</v>
      </c>
      <c r="VC59" s="46">
        <f>SUM(Input[[#This Row],[Fed G&amp;C E&amp;G]],Input[[#This Row],[Fed G&amp;C Desg]],Input[[#This Row],[Fed G&amp;C R Exp]],Input[[#This Row],[Fed G&amp;C Loan]],Input[[#This Row],[Fed G&amp;C Annuity]],Input[[#This Row],[Fed G&amp;C Unexp]],Input[[#This Row],[Fed G&amp;C R of Ind]],Input[[#This Row],[Fed G&amp;C Inv in P]])</f>
        <v>64066307</v>
      </c>
      <c r="VD5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128876536</v>
      </c>
      <c r="VE5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42893641</v>
      </c>
      <c r="VF5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17252697</v>
      </c>
      <c r="VG59" s="46">
        <f>SUM(Input[[#This Row],[Oth Inc E&amp;G]],Input[[#This Row],[Oth Exp Desg]],Input[[#This Row],[Oth Exp R Exp]],Input[[#This Row],[Oth Exp Loan]],Input[[#This Row],[Oth Exp Annuity]],Input[[#This Row],[Oth Exp Unexp]],Input[[#This Row],[Oth Exp R of Ind]],Input[[#This Row],[Oth Exp Inv in P]])</f>
        <v>1763722</v>
      </c>
      <c r="VH59" s="46">
        <f>SUM(Input[[#This Row],[Instr E&amp;G]],Input[[#This Row],[Instr Desg]],Input[[#This Row],[Instr R Exp]],Input[[#This Row],[Instr Loan]],Input[[#This Row],[Instr Annuity]],Input[[#This Row],[Instr Unexp]],Input[[#This Row],[Instr R of Ind]],Input[[#This Row],[Instr Inv in P]])</f>
        <v>182547278</v>
      </c>
      <c r="VI59" s="46">
        <f>SUM(Input[[#This Row],[Res E&amp;G]],Input[[#This Row],[Res Desg]],Input[[#This Row],[Res R Exp]],Input[[#This Row],[Res Loan]],Input[[#This Row],[Res Annuity]],Input[[#This Row],[Res Unexp]],Input[[#This Row],[Res R of Ind]],Input[[#This Row],[Res Inv in P]])</f>
        <v>118663954</v>
      </c>
      <c r="VJ59" s="46">
        <f>SUM(Input[[#This Row],[Acad Sup E&amp;G]],Input[[#This Row],[Acad Sup Desg]],Input[[#This Row],[Acad Sup R Exp]],Input[[#This Row],[Acad Sup Loan]],Input[[#This Row],[Acad Sup Annuity]],Input[[#This Row],[Acad Sup Unexp]],Input[[#This Row],[Acad Sup R of Ind]],Input[[#This Row],[Acad Sup Inv in P]])</f>
        <v>50479686</v>
      </c>
      <c r="VK59" s="46">
        <f>SUM(Input[[#This Row],[Stu Svc E&amp;G]],Input[[#This Row],[Stu Svc Desg]],Input[[#This Row],[Stu Svc R Exp]],Input[[#This Row],[Stu Svc Loan]],Input[[#This Row],[Stu Svc Annuity]],Input[[#This Row],[Stu Svc Unexp]],Input[[#This Row],[Stu Svc R of Ind]],Input[[#This Row],[Stu Svc Inv in P]])</f>
        <v>12791768</v>
      </c>
      <c r="VL59" s="46">
        <f>SUM(Input[[#This Row],[Inst. Spt E&amp;G]],Input[[#This Row],[Inst. Spt Desg]],Input[[#This Row],[Inst. Spt R Exp]],Input[[#This Row],[Inst. Spt Loan]],Input[[#This Row],[Inst. Spt Annuity]],Input[[#This Row],[Inst. Spt Unexp]],Input[[#This Row],[Inst. Spt R of Ind]],Input[[#This Row],[Inst. Spt Inv in P]])</f>
        <v>21648016</v>
      </c>
      <c r="VM59" s="46">
        <f>SUM(Input[[#This Row],[M&amp;O Plnt E&amp;G]],Input[[#This Row],[M&amp;O Plnt Desg]],Input[[#This Row],[M&amp;O Plnt R Exp]],Input[[#This Row],[M&amp;O Plnt Loan]],Input[[#This Row],[M&amp;O Plnt Annuity]],Input[[#This Row],[M&amp;O Plnt Unexp]],Input[[#This Row],[M&amp;O Plnt R of Ind]],Input[[#This Row],[M&amp;O Plnt Inv in P]])</f>
        <v>41555271</v>
      </c>
      <c r="VN59" s="46">
        <f>SUM(Input[[#This Row],[Schl &amp; Fell E&amp;G]],Input[[#This Row],[Schl &amp; Fell Desg]],Input[[#This Row],[Schl &amp; Fell R Exp]],Input[[#This Row],[Schl &amp; Fell Loan]],Input[[#This Row],[Schl &amp; Fell Annuity]],Input[[#This Row],[Schl &amp; Fell Unexp]],Input[[#This Row],[Schl &amp; Fell R of Ind]],Input[[#This Row],[Schl &amp; Fell Inv in P]])</f>
        <v>7163667</v>
      </c>
      <c r="VO59" s="46">
        <f>SUM(Input[[#This Row],[Cap Out fund E&amp;G]],Input[[#This Row],[Cap Out fund Desg]],Input[[#This Row],[Cap Out fund R Exp]],Input[[#This Row],[Cap Out fund Loan]],Input[[#This Row],[Cap Out fund Annuity]],Input[[#This Row],[Cap Out fund Unexp]],Input[[#This Row],[Cap Out fund R of Ind]],Input[[#This Row],[Cap Out fund Inv in P]])</f>
        <v>16402349</v>
      </c>
      <c r="VP59" s="46">
        <f>SUM(Input[[#This Row],[Oth Exp E&amp;G]],Input[[#This Row],[Oth Exp Desg]],Input[[#This Row],[Oth Exp R Exp]],Input[[#This Row],[Oth Exp Loan]],Input[[#This Row],[Oth Exp Annuity]],Input[[#This Row],[Oth Exp Unexp]],Input[[#This Row],[Oth Exp R of Ind]],Input[[#This Row],[Oth Exp Inv in P]],Input[[#This Row],[Oth Exp Inv in P]])</f>
        <v>2217647</v>
      </c>
    </row>
    <row r="60" spans="1:588" ht="30" customHeight="1" x14ac:dyDescent="0.3">
      <c r="A60" s="15" t="s">
        <v>35</v>
      </c>
      <c r="B60" s="36" t="s">
        <v>123</v>
      </c>
      <c r="C60" s="36" t="s">
        <v>117</v>
      </c>
      <c r="D60" s="36">
        <v>910</v>
      </c>
      <c r="E60" s="36" t="s">
        <v>132</v>
      </c>
      <c r="F60" s="95" cm="1">
        <f t="array" ref="F60">IFERROR(_xlfn.IFS(Input[[#This Row],[Type]]="HRI",SUMIFS('FTSE | FTFE'!$I$8:$I$77,'FTSE | FTFE'!$H$8:$H$77,A60),Input[[#This Row],[Type]]="UNIV",SUMIFS('FTSE | FTFE'!$I$104:$I$139,'FTSE | FTFE'!$H$104:$H$139,A60),OR(Input[[#This Row],[Type]]="TSTC",Input[[#This Row],[Type]]="LSC"),SUMIFS('FTSE | FTFE'!$I$88:$I$96,'FTSE | FTFE'!$H$88:$H$96,A60)),"N/A")</f>
        <v>130</v>
      </c>
      <c r="G60" s="46">
        <v>132721508</v>
      </c>
      <c r="H60" s="46">
        <v>0</v>
      </c>
      <c r="I60" s="46">
        <v>0</v>
      </c>
      <c r="J60" s="46">
        <v>0</v>
      </c>
      <c r="K60" s="46">
        <v>0</v>
      </c>
      <c r="L60" s="46">
        <v>0</v>
      </c>
      <c r="M60" s="46">
        <v>0</v>
      </c>
      <c r="N60" s="46">
        <v>0</v>
      </c>
      <c r="O60" s="46">
        <v>0</v>
      </c>
      <c r="P60" s="46">
        <v>2129060</v>
      </c>
      <c r="Q60" s="46">
        <v>0</v>
      </c>
      <c r="R60" s="46">
        <v>0</v>
      </c>
      <c r="S60" s="46">
        <v>2585630</v>
      </c>
      <c r="T60" s="46">
        <v>0</v>
      </c>
      <c r="U60" s="46">
        <v>0</v>
      </c>
      <c r="V60" s="46">
        <v>0</v>
      </c>
      <c r="W60" s="46">
        <v>0</v>
      </c>
      <c r="X60" s="46">
        <v>0</v>
      </c>
      <c r="Y60" s="46">
        <v>15581837</v>
      </c>
      <c r="Z60" s="46">
        <v>0</v>
      </c>
      <c r="AA60" s="46">
        <v>0</v>
      </c>
      <c r="AB60" s="46">
        <v>0</v>
      </c>
      <c r="AC60" s="46">
        <v>0</v>
      </c>
      <c r="AD60" s="46">
        <v>0</v>
      </c>
      <c r="AE60" s="46">
        <v>0</v>
      </c>
      <c r="AF60" s="46">
        <v>0</v>
      </c>
      <c r="AG60" s="46">
        <v>0</v>
      </c>
      <c r="AH60" s="46">
        <v>0</v>
      </c>
      <c r="AI60" s="46">
        <v>0</v>
      </c>
      <c r="AJ60" s="46">
        <v>0</v>
      </c>
      <c r="AK60" s="46">
        <v>0</v>
      </c>
      <c r="AL60" s="46">
        <v>0</v>
      </c>
      <c r="AM60" s="46">
        <v>0</v>
      </c>
      <c r="AN60" s="46">
        <v>0</v>
      </c>
      <c r="AO60" s="46">
        <v>0</v>
      </c>
      <c r="AP60" s="46">
        <v>0</v>
      </c>
      <c r="AQ60" s="46">
        <v>0</v>
      </c>
      <c r="AR60" s="46">
        <v>0</v>
      </c>
      <c r="AS60" s="46">
        <v>0</v>
      </c>
      <c r="AT60" s="46">
        <v>0</v>
      </c>
      <c r="AU60" s="46">
        <v>0</v>
      </c>
      <c r="AV60" s="46">
        <v>0</v>
      </c>
      <c r="AW60" s="46">
        <v>0</v>
      </c>
      <c r="AX60" s="46">
        <v>0</v>
      </c>
      <c r="AY60" s="46">
        <v>0</v>
      </c>
      <c r="AZ60" s="46">
        <v>-1205600</v>
      </c>
      <c r="BA60" s="46">
        <v>-364016</v>
      </c>
      <c r="BB60" s="46">
        <v>0</v>
      </c>
      <c r="BC60" s="46">
        <v>0</v>
      </c>
      <c r="BD60" s="46">
        <v>0</v>
      </c>
      <c r="BE60" s="46">
        <v>0</v>
      </c>
      <c r="BF60" s="46">
        <v>0</v>
      </c>
      <c r="BG60" s="46">
        <v>0</v>
      </c>
      <c r="BH60" s="46">
        <v>0</v>
      </c>
      <c r="BI60" s="46">
        <v>0</v>
      </c>
      <c r="BJ60" s="46">
        <v>0</v>
      </c>
      <c r="BK60" s="46">
        <v>0</v>
      </c>
      <c r="BL60" s="46">
        <v>0</v>
      </c>
      <c r="BM60" s="46">
        <v>0</v>
      </c>
      <c r="BN60" s="46">
        <v>0</v>
      </c>
      <c r="BO60" s="46">
        <v>0</v>
      </c>
      <c r="BP60" s="46">
        <v>0</v>
      </c>
      <c r="BQ60" s="46">
        <v>0</v>
      </c>
      <c r="BR60" s="46">
        <v>0</v>
      </c>
      <c r="BS60" s="46">
        <v>0</v>
      </c>
      <c r="BT60" s="46">
        <v>0</v>
      </c>
      <c r="BU60" s="46">
        <v>0</v>
      </c>
      <c r="BV60" s="46">
        <v>0</v>
      </c>
      <c r="BW60" s="46">
        <v>0</v>
      </c>
      <c r="BX60" s="46">
        <v>0</v>
      </c>
      <c r="BY60" s="46">
        <v>0</v>
      </c>
      <c r="BZ60" s="46">
        <v>0</v>
      </c>
      <c r="CA60" s="46">
        <v>11522446</v>
      </c>
      <c r="CB60" s="46">
        <v>12207792</v>
      </c>
      <c r="CC60" s="46">
        <v>0</v>
      </c>
      <c r="CD60" s="46">
        <v>0</v>
      </c>
      <c r="CE60" s="46">
        <v>0</v>
      </c>
      <c r="CF60" s="46">
        <v>0</v>
      </c>
      <c r="CG60" s="46">
        <v>0</v>
      </c>
      <c r="CH60" s="46">
        <v>0</v>
      </c>
      <c r="CI60" s="46">
        <v>0</v>
      </c>
      <c r="CJ60" s="46">
        <v>0</v>
      </c>
      <c r="CK60" s="46">
        <v>0</v>
      </c>
      <c r="CL60" s="46">
        <v>0</v>
      </c>
      <c r="CM60" s="46">
        <v>0</v>
      </c>
      <c r="CN60" s="46">
        <v>0</v>
      </c>
      <c r="CO60" s="46">
        <v>0</v>
      </c>
      <c r="CP60" s="46">
        <v>0</v>
      </c>
      <c r="CQ60" s="46">
        <v>0</v>
      </c>
      <c r="CR60" s="46">
        <v>0</v>
      </c>
      <c r="CS60" s="46">
        <v>0</v>
      </c>
      <c r="CT60" s="46">
        <v>0</v>
      </c>
      <c r="CU60" s="46">
        <v>0</v>
      </c>
      <c r="CV60" s="46">
        <v>0</v>
      </c>
      <c r="CW60" s="46">
        <v>0</v>
      </c>
      <c r="CX60" s="46">
        <v>0</v>
      </c>
      <c r="CY60" s="46">
        <v>0</v>
      </c>
      <c r="CZ60" s="46">
        <v>0</v>
      </c>
      <c r="DA60" s="46">
        <v>0</v>
      </c>
      <c r="DB60" s="46">
        <v>0</v>
      </c>
      <c r="DC60" s="46">
        <v>0</v>
      </c>
      <c r="DD60" s="46">
        <v>0</v>
      </c>
      <c r="DE60" s="46">
        <v>0</v>
      </c>
      <c r="DF60" s="46">
        <v>0</v>
      </c>
      <c r="DG60" s="46">
        <v>0</v>
      </c>
      <c r="DH60" s="46">
        <v>0</v>
      </c>
      <c r="DI60" s="46">
        <v>0</v>
      </c>
      <c r="DJ60" s="46">
        <v>0</v>
      </c>
      <c r="DK60" s="46">
        <v>0</v>
      </c>
      <c r="DL60" s="46">
        <v>0</v>
      </c>
      <c r="DM60" s="46">
        <v>0</v>
      </c>
      <c r="DN60" s="46">
        <v>0</v>
      </c>
      <c r="DO60" s="46">
        <v>0</v>
      </c>
      <c r="DP60" s="46">
        <v>0</v>
      </c>
      <c r="DQ60" s="46">
        <v>0</v>
      </c>
      <c r="DR60" s="46">
        <v>0</v>
      </c>
      <c r="DS60" s="46">
        <v>0</v>
      </c>
      <c r="DT60" s="46">
        <v>-1246639</v>
      </c>
      <c r="DU60" s="46">
        <v>-2000062</v>
      </c>
      <c r="DV60" s="46">
        <v>0</v>
      </c>
      <c r="DW60" s="46">
        <v>0</v>
      </c>
      <c r="DX60" s="46">
        <v>0</v>
      </c>
      <c r="DY60" s="46">
        <v>0</v>
      </c>
      <c r="DZ60" s="46">
        <v>0</v>
      </c>
      <c r="EA60" s="46">
        <v>0</v>
      </c>
      <c r="EB60" s="46">
        <v>0</v>
      </c>
      <c r="EC60" s="46">
        <v>0</v>
      </c>
      <c r="ED60" s="46">
        <v>0</v>
      </c>
      <c r="EE60" s="46">
        <v>0</v>
      </c>
      <c r="EF60" s="46">
        <v>0</v>
      </c>
      <c r="EG60" s="46">
        <v>0</v>
      </c>
      <c r="EH60" s="46">
        <v>0</v>
      </c>
      <c r="EI60" s="46">
        <v>0</v>
      </c>
      <c r="EJ60" s="46">
        <v>0</v>
      </c>
      <c r="EK60" s="46">
        <v>0</v>
      </c>
      <c r="EL60" s="46">
        <v>0</v>
      </c>
      <c r="EM60" s="46">
        <v>0</v>
      </c>
      <c r="EN60" s="46">
        <v>0</v>
      </c>
      <c r="EO60" s="46">
        <v>0</v>
      </c>
      <c r="EP60" s="46">
        <v>0</v>
      </c>
      <c r="EQ60" s="46">
        <v>0</v>
      </c>
      <c r="ER60" s="46">
        <v>0</v>
      </c>
      <c r="ES60" s="46">
        <v>0</v>
      </c>
      <c r="ET60" s="46">
        <v>0</v>
      </c>
      <c r="EU60" s="46">
        <v>0</v>
      </c>
      <c r="EV60" s="46">
        <v>0</v>
      </c>
      <c r="EW60" s="46">
        <v>0</v>
      </c>
      <c r="EX60" s="46">
        <v>0</v>
      </c>
      <c r="EY60" s="46">
        <v>0</v>
      </c>
      <c r="EZ60" s="46">
        <v>0</v>
      </c>
      <c r="FA60" s="46">
        <v>0</v>
      </c>
      <c r="FB60" s="46">
        <v>0</v>
      </c>
      <c r="FC60" s="46">
        <v>0</v>
      </c>
      <c r="FD60" s="46">
        <v>0</v>
      </c>
      <c r="FE60" s="46">
        <v>0</v>
      </c>
      <c r="FF60" s="46">
        <v>0</v>
      </c>
      <c r="FG60" s="46">
        <v>0</v>
      </c>
      <c r="FH60" s="46">
        <v>0</v>
      </c>
      <c r="FI60" s="46">
        <v>0</v>
      </c>
      <c r="FJ60" s="46">
        <v>0</v>
      </c>
      <c r="FK60" s="46">
        <v>0</v>
      </c>
      <c r="FL60" s="46">
        <v>0</v>
      </c>
      <c r="FM60" s="46">
        <v>23083</v>
      </c>
      <c r="FN60" s="46">
        <v>11079241</v>
      </c>
      <c r="FO60" s="46">
        <v>0</v>
      </c>
      <c r="FP60" s="46">
        <v>0</v>
      </c>
      <c r="FQ60" s="46">
        <v>0</v>
      </c>
      <c r="FR60" s="46">
        <v>0</v>
      </c>
      <c r="FS60" s="46">
        <v>0</v>
      </c>
      <c r="FT60" s="46">
        <v>0</v>
      </c>
      <c r="FU60" s="46">
        <v>0</v>
      </c>
      <c r="FV60" s="46">
        <v>0</v>
      </c>
      <c r="FW60" s="46">
        <v>0</v>
      </c>
      <c r="FX60" s="46">
        <v>0</v>
      </c>
      <c r="FY60" s="46">
        <v>0</v>
      </c>
      <c r="FZ60" s="46">
        <v>0</v>
      </c>
      <c r="GA60" s="46">
        <v>0</v>
      </c>
      <c r="GB60" s="46">
        <v>0</v>
      </c>
      <c r="GC60" s="46">
        <v>0</v>
      </c>
      <c r="GD60" s="46">
        <v>0</v>
      </c>
      <c r="GE60" s="46">
        <v>0</v>
      </c>
      <c r="GF60" s="46">
        <v>0</v>
      </c>
      <c r="GG60" s="46">
        <v>0</v>
      </c>
      <c r="GH60" s="46">
        <v>0</v>
      </c>
      <c r="GI60" s="46">
        <v>0</v>
      </c>
      <c r="GJ60" s="46">
        <v>0</v>
      </c>
      <c r="GK60" s="46">
        <v>0</v>
      </c>
      <c r="GL60" s="46">
        <v>0</v>
      </c>
      <c r="GM60" s="46">
        <v>0</v>
      </c>
      <c r="GN60" s="46">
        <v>0</v>
      </c>
      <c r="GO60" s="46">
        <v>0</v>
      </c>
      <c r="GP60" s="46">
        <v>0</v>
      </c>
      <c r="GQ60" s="46">
        <v>0</v>
      </c>
      <c r="GR60" s="46">
        <v>0</v>
      </c>
      <c r="GS60" s="46">
        <v>0</v>
      </c>
      <c r="GT60" s="46">
        <v>0</v>
      </c>
      <c r="GU60" s="46">
        <v>0</v>
      </c>
      <c r="GV60" s="46">
        <v>0</v>
      </c>
      <c r="GW60" s="46">
        <v>0</v>
      </c>
      <c r="GX60" s="46">
        <v>0</v>
      </c>
      <c r="GY60" s="46">
        <v>0</v>
      </c>
      <c r="GZ60" s="46">
        <v>0</v>
      </c>
      <c r="HA60" s="46">
        <v>0</v>
      </c>
      <c r="HB60" s="46">
        <v>0</v>
      </c>
      <c r="HC60" s="46">
        <v>0</v>
      </c>
      <c r="HD60" s="46">
        <v>0</v>
      </c>
      <c r="HE60" s="46">
        <v>0</v>
      </c>
      <c r="HF60" s="46">
        <v>0</v>
      </c>
      <c r="HG60" s="46">
        <v>-878215</v>
      </c>
      <c r="HH60" s="46">
        <v>0</v>
      </c>
      <c r="HI60" s="46">
        <v>0</v>
      </c>
      <c r="HJ60" s="46">
        <v>0</v>
      </c>
      <c r="HK60" s="46">
        <v>0</v>
      </c>
      <c r="HL60" s="46">
        <v>0</v>
      </c>
      <c r="HM60" s="46">
        <v>0</v>
      </c>
      <c r="HN60" s="46">
        <v>0</v>
      </c>
      <c r="HO60" s="46">
        <v>0</v>
      </c>
      <c r="HP60" s="46">
        <v>120</v>
      </c>
      <c r="HQ60" s="46">
        <v>0</v>
      </c>
      <c r="HR60" s="46">
        <v>120414789</v>
      </c>
      <c r="HS60" s="46">
        <v>0</v>
      </c>
      <c r="HT60" s="46">
        <v>0</v>
      </c>
      <c r="HU60" s="46">
        <v>0</v>
      </c>
      <c r="HV60" s="46">
        <v>0</v>
      </c>
      <c r="HW60" s="46">
        <v>0</v>
      </c>
      <c r="HX60" s="46">
        <v>0</v>
      </c>
      <c r="HY60" s="46">
        <v>17166283</v>
      </c>
      <c r="HZ60" s="46">
        <v>0</v>
      </c>
      <c r="IA60" s="46">
        <v>0</v>
      </c>
      <c r="IB60" s="46">
        <v>0</v>
      </c>
      <c r="IC60" s="46">
        <v>0</v>
      </c>
      <c r="ID60" s="46">
        <v>0</v>
      </c>
      <c r="IE60" s="46">
        <v>0</v>
      </c>
      <c r="IF60" s="46">
        <v>0</v>
      </c>
      <c r="IG60" s="46">
        <v>0</v>
      </c>
      <c r="IH60" s="46">
        <v>0</v>
      </c>
      <c r="II60" s="46">
        <v>0</v>
      </c>
      <c r="IJ60" s="46">
        <v>0</v>
      </c>
      <c r="IK60" s="46">
        <v>0</v>
      </c>
      <c r="IL60" s="46">
        <v>0</v>
      </c>
      <c r="IM60" s="46">
        <v>0</v>
      </c>
      <c r="IN60" s="46">
        <v>0</v>
      </c>
      <c r="IO60" s="46">
        <v>0</v>
      </c>
      <c r="IP60" s="46">
        <v>332688</v>
      </c>
      <c r="IQ60" s="46">
        <v>11290852</v>
      </c>
      <c r="IR60" s="46">
        <v>0</v>
      </c>
      <c r="IS60" s="46">
        <v>2993036</v>
      </c>
      <c r="IT60" s="46">
        <v>112288</v>
      </c>
      <c r="IU60" s="46">
        <v>2668687</v>
      </c>
      <c r="IV60" s="46">
        <v>0</v>
      </c>
      <c r="IW60" s="46">
        <v>0</v>
      </c>
      <c r="IX60" s="46">
        <v>0</v>
      </c>
      <c r="IY60" s="46">
        <v>0</v>
      </c>
      <c r="IZ60" s="46">
        <v>240481</v>
      </c>
      <c r="JA60" s="46">
        <v>0</v>
      </c>
      <c r="JB60" s="46">
        <v>659040</v>
      </c>
      <c r="JC60" s="46">
        <v>0</v>
      </c>
      <c r="JD60" s="46">
        <v>0</v>
      </c>
      <c r="JE60" s="46">
        <v>0</v>
      </c>
      <c r="JF60" s="46">
        <v>0</v>
      </c>
      <c r="JG60" s="46">
        <v>0</v>
      </c>
      <c r="JH60" s="46">
        <v>0</v>
      </c>
      <c r="JI60" s="46">
        <v>916969</v>
      </c>
      <c r="JJ60" s="46">
        <v>0</v>
      </c>
      <c r="JK60" s="46">
        <v>919140</v>
      </c>
      <c r="JL60" s="46">
        <v>0</v>
      </c>
      <c r="JM60" s="46">
        <v>0</v>
      </c>
      <c r="JN60" s="46">
        <v>0</v>
      </c>
      <c r="JO60" s="46">
        <v>0</v>
      </c>
      <c r="JP60" s="46">
        <v>0</v>
      </c>
      <c r="JQ60" s="46">
        <v>0</v>
      </c>
      <c r="JR60" s="46">
        <v>36973025</v>
      </c>
      <c r="JS60" s="46">
        <v>0</v>
      </c>
      <c r="JT60" s="46">
        <v>28018</v>
      </c>
      <c r="JU60" s="46">
        <v>519</v>
      </c>
      <c r="JV60" s="46">
        <v>0</v>
      </c>
      <c r="JW60" s="46">
        <v>0</v>
      </c>
      <c r="JX60" s="46">
        <v>0</v>
      </c>
      <c r="JY60" s="46">
        <v>0</v>
      </c>
      <c r="JZ60" s="46">
        <v>0</v>
      </c>
      <c r="KA60" s="46">
        <v>0</v>
      </c>
      <c r="KB60" s="46">
        <v>705782</v>
      </c>
      <c r="KC60" s="46">
        <v>0</v>
      </c>
      <c r="KD60" s="46">
        <v>0</v>
      </c>
      <c r="KE60" s="46">
        <v>0</v>
      </c>
      <c r="KF60" s="46">
        <v>0</v>
      </c>
      <c r="KG60" s="46">
        <v>0</v>
      </c>
      <c r="KH60" s="46">
        <v>0</v>
      </c>
      <c r="KI60" s="46">
        <v>3108</v>
      </c>
      <c r="KJ60" s="46">
        <v>236677</v>
      </c>
      <c r="KK60" s="46">
        <v>0</v>
      </c>
      <c r="KL60" s="46">
        <v>0</v>
      </c>
      <c r="KM60" s="46">
        <v>26717</v>
      </c>
      <c r="KN60" s="46">
        <v>0</v>
      </c>
      <c r="KO60" s="46">
        <v>0</v>
      </c>
      <c r="KP60" s="46">
        <v>0</v>
      </c>
      <c r="KQ60" s="46">
        <v>-52251</v>
      </c>
      <c r="KR60" s="46">
        <v>58146924</v>
      </c>
      <c r="KS60" s="46">
        <v>28503275</v>
      </c>
      <c r="KT60" s="46">
        <v>0</v>
      </c>
      <c r="KU60" s="46">
        <v>4334393</v>
      </c>
      <c r="KV60" s="46">
        <v>16121</v>
      </c>
      <c r="KW60" s="46">
        <v>0</v>
      </c>
      <c r="KX60" s="46">
        <v>0</v>
      </c>
      <c r="KY60" s="46">
        <v>0</v>
      </c>
      <c r="KZ60" s="46">
        <v>0</v>
      </c>
      <c r="LA60" s="46">
        <v>2005059</v>
      </c>
      <c r="LB60" s="46">
        <v>12695271</v>
      </c>
      <c r="LC60" s="46">
        <v>0</v>
      </c>
      <c r="LD60" s="46">
        <v>87908657</v>
      </c>
      <c r="LE60" s="46">
        <v>0</v>
      </c>
      <c r="LF60" s="46">
        <v>0</v>
      </c>
      <c r="LG60" s="46">
        <v>0</v>
      </c>
      <c r="LH60" s="46">
        <v>0</v>
      </c>
      <c r="LI60" s="46">
        <v>0</v>
      </c>
      <c r="LJ60" s="46">
        <v>18700494</v>
      </c>
      <c r="LK60" s="46">
        <v>26060219</v>
      </c>
      <c r="LL60" s="46">
        <v>0</v>
      </c>
      <c r="LM60" s="46">
        <v>3392578</v>
      </c>
      <c r="LN60" s="46">
        <v>0</v>
      </c>
      <c r="LO60" s="46">
        <v>0</v>
      </c>
      <c r="LP60" s="46">
        <v>0</v>
      </c>
      <c r="LQ60" s="46">
        <v>0</v>
      </c>
      <c r="LR60" s="46">
        <v>0</v>
      </c>
      <c r="LS60" s="46">
        <v>0</v>
      </c>
      <c r="LT60" s="46">
        <v>0</v>
      </c>
      <c r="LU60" s="46">
        <v>0</v>
      </c>
      <c r="LV60" s="46">
        <v>0</v>
      </c>
      <c r="LW60" s="46">
        <v>0</v>
      </c>
      <c r="LX60" s="46">
        <v>0</v>
      </c>
      <c r="LY60" s="46">
        <v>0</v>
      </c>
      <c r="LZ60" s="46">
        <v>0</v>
      </c>
      <c r="MA60" s="46">
        <v>0</v>
      </c>
      <c r="MB60" s="46">
        <v>27971346</v>
      </c>
      <c r="MC60" s="46">
        <v>12192357</v>
      </c>
      <c r="MD60" s="46">
        <v>0</v>
      </c>
      <c r="ME60" s="46">
        <v>385166</v>
      </c>
      <c r="MF60" s="46">
        <v>0</v>
      </c>
      <c r="MG60" s="46">
        <v>0</v>
      </c>
      <c r="MH60" s="46">
        <v>0</v>
      </c>
      <c r="MI60" s="46">
        <v>0</v>
      </c>
      <c r="MJ60" s="46">
        <v>0</v>
      </c>
      <c r="MK60" s="46">
        <v>5236862</v>
      </c>
      <c r="ML60" s="46">
        <v>3553749</v>
      </c>
      <c r="MM60" s="46">
        <v>0</v>
      </c>
      <c r="MN60" s="46">
        <v>15881</v>
      </c>
      <c r="MO60" s="46">
        <v>0</v>
      </c>
      <c r="MP60" s="46">
        <v>0</v>
      </c>
      <c r="MQ60" s="46">
        <v>0</v>
      </c>
      <c r="MR60" s="46">
        <v>0</v>
      </c>
      <c r="MS60" s="46">
        <v>0</v>
      </c>
      <c r="MT60" s="46">
        <v>12356582</v>
      </c>
      <c r="MU60" s="46">
        <v>6109425</v>
      </c>
      <c r="MV60" s="46">
        <v>0</v>
      </c>
      <c r="MW60" s="46">
        <v>7154</v>
      </c>
      <c r="MX60" s="46">
        <v>0</v>
      </c>
      <c r="MY60" s="46">
        <v>159120</v>
      </c>
      <c r="MZ60" s="46">
        <v>0</v>
      </c>
      <c r="NA60" s="46">
        <v>0</v>
      </c>
      <c r="NB60" s="46">
        <v>0</v>
      </c>
      <c r="NC60" s="46">
        <v>15241679</v>
      </c>
      <c r="ND60" s="46">
        <v>4862036</v>
      </c>
      <c r="NE60" s="46">
        <v>0</v>
      </c>
      <c r="NF60" s="46">
        <v>2772</v>
      </c>
      <c r="NG60" s="46">
        <v>0</v>
      </c>
      <c r="NH60" s="46">
        <v>0</v>
      </c>
      <c r="NI60" s="46">
        <v>0</v>
      </c>
      <c r="NJ60" s="46">
        <v>0</v>
      </c>
      <c r="NK60" s="46">
        <v>956883</v>
      </c>
      <c r="NL60" s="46">
        <v>-120503</v>
      </c>
      <c r="NM60" s="46">
        <v>70551</v>
      </c>
      <c r="NN60" s="46">
        <v>0</v>
      </c>
      <c r="NO60" s="46">
        <v>1040346</v>
      </c>
      <c r="NP60" s="46">
        <v>74191</v>
      </c>
      <c r="NQ60" s="46">
        <v>0</v>
      </c>
      <c r="NR60" s="46">
        <v>0</v>
      </c>
      <c r="NS60" s="46">
        <v>0</v>
      </c>
      <c r="NT60" s="46">
        <v>0</v>
      </c>
      <c r="NU60" s="46">
        <v>0</v>
      </c>
      <c r="NV60" s="46">
        <v>0</v>
      </c>
      <c r="NW60" s="46">
        <v>248834</v>
      </c>
      <c r="NX60" s="46">
        <v>0</v>
      </c>
      <c r="NY60" s="46">
        <v>0</v>
      </c>
      <c r="NZ60" s="46">
        <v>0</v>
      </c>
      <c r="OA60" s="46">
        <v>0</v>
      </c>
      <c r="OB60" s="46">
        <v>0</v>
      </c>
      <c r="OC60" s="46">
        <v>0</v>
      </c>
      <c r="OD60" s="46">
        <v>8827842</v>
      </c>
      <c r="OE60" s="46">
        <v>2118958</v>
      </c>
      <c r="OF60" s="46">
        <v>196565</v>
      </c>
      <c r="OG60" s="46">
        <v>74867</v>
      </c>
      <c r="OH60" s="46">
        <v>0</v>
      </c>
      <c r="OI60" s="46">
        <v>0</v>
      </c>
      <c r="OJ60" s="46">
        <v>0</v>
      </c>
      <c r="OK60" s="46">
        <v>0</v>
      </c>
      <c r="OL60" s="46">
        <v>0</v>
      </c>
      <c r="OM60" s="46">
        <v>550</v>
      </c>
      <c r="ON60" s="46">
        <v>788998</v>
      </c>
      <c r="OO60" s="46">
        <v>0</v>
      </c>
      <c r="OP60" s="46">
        <v>0</v>
      </c>
      <c r="OQ60" s="46">
        <v>7239</v>
      </c>
      <c r="OR60" s="46">
        <v>0</v>
      </c>
      <c r="OS60" s="46">
        <v>0</v>
      </c>
      <c r="OT60" s="46">
        <v>0</v>
      </c>
      <c r="OU60" s="46">
        <v>14670</v>
      </c>
      <c r="OV60" s="46">
        <v>0</v>
      </c>
      <c r="OW60" s="46">
        <v>0</v>
      </c>
      <c r="OX60" s="46">
        <v>0</v>
      </c>
      <c r="OY60" s="46">
        <v>0</v>
      </c>
      <c r="OZ60" s="46">
        <v>0</v>
      </c>
      <c r="PA60" s="46">
        <v>0</v>
      </c>
      <c r="PB60" s="46">
        <v>0</v>
      </c>
      <c r="PC60" s="46">
        <v>0</v>
      </c>
      <c r="PD60" s="46">
        <v>-10128083</v>
      </c>
      <c r="PE60" s="46">
        <v>-13740636</v>
      </c>
      <c r="PF60" s="46">
        <v>-8525973</v>
      </c>
      <c r="PG60" s="46">
        <v>-72604</v>
      </c>
      <c r="PH60" s="46">
        <v>3787520</v>
      </c>
      <c r="PI60" s="46">
        <v>1155287</v>
      </c>
      <c r="PJ60" s="46">
        <v>-3606651</v>
      </c>
      <c r="PK60" s="46">
        <v>0</v>
      </c>
      <c r="PL60" s="46">
        <v>-4530409</v>
      </c>
      <c r="PM60" s="46">
        <v>11915363</v>
      </c>
      <c r="PN60" s="46">
        <v>0</v>
      </c>
      <c r="PO60" s="46">
        <v>0</v>
      </c>
      <c r="PP60" s="46">
        <v>0</v>
      </c>
      <c r="PQ60" s="46">
        <v>0</v>
      </c>
      <c r="PR60" s="46">
        <v>0</v>
      </c>
      <c r="PS60" s="46">
        <v>0</v>
      </c>
      <c r="PT60" s="46">
        <v>0</v>
      </c>
      <c r="PU60" s="46">
        <v>0</v>
      </c>
      <c r="PV60" s="46">
        <v>0</v>
      </c>
      <c r="PW60" s="46">
        <v>0</v>
      </c>
      <c r="PX60" s="46">
        <v>0</v>
      </c>
      <c r="PY60" s="46">
        <v>0</v>
      </c>
      <c r="PZ60" s="46">
        <v>0</v>
      </c>
      <c r="QA60" s="46">
        <v>0</v>
      </c>
      <c r="QB60" s="46">
        <v>0</v>
      </c>
      <c r="QC60" s="46">
        <v>0</v>
      </c>
      <c r="QD60" s="46">
        <v>0</v>
      </c>
      <c r="QE60" s="46">
        <v>-25550</v>
      </c>
      <c r="QF60" s="46">
        <v>0</v>
      </c>
      <c r="QG60" s="46">
        <v>15544855</v>
      </c>
      <c r="QH60" s="46">
        <v>0</v>
      </c>
      <c r="QI60" s="46">
        <v>0</v>
      </c>
      <c r="QJ60" s="46">
        <v>0</v>
      </c>
      <c r="QK60" s="46">
        <v>3771887</v>
      </c>
      <c r="QL60" s="46">
        <v>0</v>
      </c>
      <c r="QM60" s="46">
        <v>0</v>
      </c>
      <c r="QN60" s="46">
        <v>-664</v>
      </c>
      <c r="QO60" s="46">
        <v>0</v>
      </c>
      <c r="QP60" s="46">
        <v>0</v>
      </c>
      <c r="QQ60" s="46">
        <v>0</v>
      </c>
      <c r="QR60" s="46">
        <v>0</v>
      </c>
      <c r="QS60" s="46">
        <v>0</v>
      </c>
      <c r="QT60" s="46">
        <v>0</v>
      </c>
      <c r="QU60" s="46">
        <v>0</v>
      </c>
      <c r="QV60" s="46">
        <v>0</v>
      </c>
      <c r="QW60" s="46">
        <v>0</v>
      </c>
      <c r="QX60" s="46">
        <v>0</v>
      </c>
      <c r="QY60" s="46">
        <v>0</v>
      </c>
      <c r="QZ60" s="46">
        <v>0</v>
      </c>
      <c r="RA60" s="46">
        <v>0</v>
      </c>
      <c r="RB60" s="46">
        <v>0</v>
      </c>
      <c r="RC60" s="46">
        <v>0</v>
      </c>
      <c r="RD60" s="46">
        <v>0</v>
      </c>
      <c r="RE60" s="46">
        <v>0</v>
      </c>
      <c r="RF60" s="46">
        <v>0</v>
      </c>
      <c r="RG60" s="46">
        <v>0</v>
      </c>
      <c r="RH60" s="46">
        <v>0</v>
      </c>
      <c r="RI60" s="46">
        <v>0</v>
      </c>
      <c r="RJ60" s="46">
        <v>0</v>
      </c>
      <c r="RK60" s="46">
        <v>0</v>
      </c>
      <c r="RL60" s="46">
        <v>0</v>
      </c>
      <c r="RM60" s="46">
        <v>0</v>
      </c>
      <c r="RN60" s="46">
        <v>0</v>
      </c>
      <c r="RO60" s="46">
        <v>-23351180</v>
      </c>
      <c r="RP60" s="46">
        <v>0</v>
      </c>
      <c r="RQ60" s="46">
        <v>0</v>
      </c>
      <c r="RR60" s="46">
        <v>0</v>
      </c>
      <c r="RS60" s="46">
        <v>0</v>
      </c>
      <c r="RT60" s="46">
        <v>0</v>
      </c>
      <c r="RU60" s="46">
        <v>0</v>
      </c>
      <c r="RV60" s="46">
        <v>0</v>
      </c>
      <c r="RW60" s="46">
        <v>0</v>
      </c>
      <c r="RX60" s="46">
        <v>-4417</v>
      </c>
      <c r="RY60" s="46">
        <v>0</v>
      </c>
      <c r="RZ60" s="46">
        <v>0</v>
      </c>
      <c r="SA60" s="46">
        <v>0</v>
      </c>
      <c r="SB60" s="46">
        <v>0</v>
      </c>
      <c r="SC60" s="46">
        <v>0</v>
      </c>
      <c r="SD60" s="46">
        <v>0</v>
      </c>
      <c r="SE60" s="46">
        <v>0</v>
      </c>
      <c r="SF60" s="46">
        <v>0</v>
      </c>
      <c r="SG60" s="46">
        <v>0</v>
      </c>
      <c r="SH60" s="46">
        <v>0</v>
      </c>
      <c r="SI60" s="46">
        <v>0</v>
      </c>
      <c r="SJ60" s="46">
        <v>0</v>
      </c>
      <c r="SK60" s="46">
        <v>0</v>
      </c>
      <c r="SL60" s="46">
        <v>0</v>
      </c>
      <c r="SM60" s="46">
        <v>0</v>
      </c>
      <c r="SN60" s="46">
        <v>0</v>
      </c>
      <c r="SO60" s="46">
        <v>0</v>
      </c>
      <c r="SP60" s="46">
        <v>0</v>
      </c>
      <c r="SQ60" s="46">
        <v>0</v>
      </c>
      <c r="SR60" s="46">
        <v>0</v>
      </c>
      <c r="SS60" s="46">
        <v>0</v>
      </c>
      <c r="ST60" s="46">
        <v>0</v>
      </c>
      <c r="SU60" s="46">
        <v>0</v>
      </c>
      <c r="SV60" s="46">
        <v>0</v>
      </c>
      <c r="SW60" s="46">
        <v>0</v>
      </c>
      <c r="SX60" s="46">
        <v>0</v>
      </c>
      <c r="SY60" s="46">
        <v>21346315</v>
      </c>
      <c r="SZ60" s="46">
        <v>712762</v>
      </c>
      <c r="TA60" s="46">
        <v>473367</v>
      </c>
      <c r="TB60" s="46">
        <v>1174851</v>
      </c>
      <c r="TC60" s="46">
        <v>0</v>
      </c>
      <c r="TD60" s="46">
        <v>1330360</v>
      </c>
      <c r="TE60" s="46">
        <v>0</v>
      </c>
      <c r="TF60" s="46">
        <v>727303</v>
      </c>
      <c r="TG60" s="46">
        <v>6603024</v>
      </c>
      <c r="TH60" s="46">
        <v>0</v>
      </c>
      <c r="TI60" s="46">
        <v>196565</v>
      </c>
      <c r="TJ60" s="46">
        <v>0</v>
      </c>
      <c r="TK60" s="46">
        <v>0</v>
      </c>
      <c r="TL60" s="46">
        <v>8379340</v>
      </c>
      <c r="TM60" s="46">
        <v>0</v>
      </c>
      <c r="TN60" s="46">
        <v>0</v>
      </c>
      <c r="TO60" s="46">
        <v>0</v>
      </c>
      <c r="TP60" s="46">
        <v>0</v>
      </c>
      <c r="TQ60" s="46">
        <v>0</v>
      </c>
      <c r="TR60" s="46">
        <v>0</v>
      </c>
      <c r="TS60" s="46">
        <v>0</v>
      </c>
      <c r="TT60" s="46">
        <v>0</v>
      </c>
      <c r="TU60" s="46">
        <v>0</v>
      </c>
      <c r="TV60" s="46">
        <v>0</v>
      </c>
      <c r="TW60" s="46">
        <v>0</v>
      </c>
      <c r="TX60" s="46">
        <v>0</v>
      </c>
      <c r="TY60" s="46">
        <v>0</v>
      </c>
      <c r="TZ60" s="46">
        <v>0</v>
      </c>
      <c r="UA60" s="46">
        <v>0</v>
      </c>
      <c r="UB60" s="46">
        <v>0</v>
      </c>
      <c r="UC60" s="46">
        <v>0</v>
      </c>
      <c r="UD60" s="46">
        <v>0</v>
      </c>
      <c r="UE60" s="46">
        <v>91000713</v>
      </c>
      <c r="UF60" s="46">
        <v>102608987</v>
      </c>
      <c r="UG60" s="46">
        <v>48153291</v>
      </c>
      <c r="UH60" s="46">
        <v>0</v>
      </c>
      <c r="UI60" s="46">
        <v>40548869</v>
      </c>
      <c r="UJ60" s="46">
        <v>8806492</v>
      </c>
      <c r="UK60" s="46">
        <v>18632281</v>
      </c>
      <c r="UL60" s="46">
        <v>21063370</v>
      </c>
      <c r="UM60" s="46">
        <v>1064585</v>
      </c>
      <c r="UN60" s="46">
        <v>248834</v>
      </c>
      <c r="UO6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11218232</v>
      </c>
      <c r="UP60" s="46">
        <f>SUM(Input[[#This Row],[Oth Exp E&amp;G]],Input[[#This Row],[Oth Exp Desg]],Input[[#This Row],[Oth Exp Aux]],Input[[#This Row],[Oth Exp R Exp]],Input[[#This Row],[Oth Exp Loan]],Input[[#This Row],[Oth Exp Annuity]],Input[[#This Row],[Oth Exp Unexp]],Input[[#This Row],[Oth Exp R of Ind]],Input[[#This Row],[Oth Exp Inv in P]])</f>
        <v>811457</v>
      </c>
      <c r="UQ60" s="46"/>
      <c r="UR60" s="46"/>
      <c r="US60" s="8" t="s">
        <v>872</v>
      </c>
      <c r="UT60" s="47">
        <v>8177352609</v>
      </c>
      <c r="UU60" s="8" t="s">
        <v>89</v>
      </c>
      <c r="UV60" s="8" t="s">
        <v>873</v>
      </c>
      <c r="UW60" s="47">
        <v>8177355413</v>
      </c>
      <c r="UX60" s="8" t="s">
        <v>874</v>
      </c>
      <c r="UY60" s="51" cm="1">
        <f t="array" ref="UY60">IFERROR(_xlfn.IFS(Input[[#This Row],[Type]]="HRI",SUMIFS('FTSE | FTFE'!$P$8:$P$77,'FTSE | FTFE'!$H$8:$H$77,A60),Input[[#This Row],[Type]]="UNIV",SUMIFS('FTSE | FTFE'!$P$104:$P$139,'FTSE | FTFE'!$H$104:$H$139,A60),OR(Input[[#This Row],[Type]]="TSTC",Input[[#This Row],[Type]]="LSC"),SUMIFS('FTSE | FTFE'!$O$88:$O$96,'FTSE | FTFE'!$H$88:$H$96,A60),Input[[#This Row],[Type]]="AHM",SUMIFS(Hidden!$H$42:$H$45,Hidden!$G$42:$G$45,A60)),"N/A")</f>
        <v>2716</v>
      </c>
      <c r="UZ60" s="51" cm="1">
        <f t="array" ref="UZ60">IFERROR(_xlfn.IFS(Input[[#This Row],[Type]]="HRI",SUMIFS('FTSE | FTFE'!$Q$8:$Q$77,'FTSE | FTFE'!$H$8:$H$77,A60),Input[[#This Row],[Type]]="UNIV",SUMIFS('FTSE | FTFE'!$Q$104:$Q$139,'FTSE | FTFE'!$H$104:$H$139,A60),OR(Input[[#This Row],[Type]]="TSTC",Input[[#This Row],[Type]]="LSC"),SUMIFS('FTSE | FTFE'!$P$88:$P$96,'FTSE | FTFE'!$H$88:$H$96,A60)),"N/A")</f>
        <v>81.28</v>
      </c>
      <c r="VA6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137436198</v>
      </c>
      <c r="VB6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15581837</v>
      </c>
      <c r="VC60" s="46">
        <f>SUM(Input[[#This Row],[Fed G&amp;C E&amp;G]],Input[[#This Row],[Fed G&amp;C Desg]],Input[[#This Row],[Fed G&amp;C R Exp]],Input[[#This Row],[Fed G&amp;C Loan]],Input[[#This Row],[Fed G&amp;C Annuity]],Input[[#This Row],[Fed G&amp;C Unexp]],Input[[#This Row],[Fed G&amp;C R of Ind]],Input[[#This Row],[Fed G&amp;C Inv in P]])</f>
        <v>120414909</v>
      </c>
      <c r="VD6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57348994</v>
      </c>
      <c r="VE6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20483537</v>
      </c>
      <c r="VF6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10224109</v>
      </c>
      <c r="VG60" s="46">
        <f>SUM(Input[[#This Row],[Oth Inc E&amp;G]],Input[[#This Row],[Oth Exp Desg]],Input[[#This Row],[Oth Exp R Exp]],Input[[#This Row],[Oth Exp Loan]],Input[[#This Row],[Oth Exp Annuity]],Input[[#This Row],[Oth Exp Unexp]],Input[[#This Row],[Oth Exp R of Ind]],Input[[#This Row],[Oth Exp Inv in P]])</f>
        <v>814015</v>
      </c>
      <c r="VH60" s="46">
        <f>SUM(Input[[#This Row],[Instr E&amp;G]],Input[[#This Row],[Instr Desg]],Input[[#This Row],[Instr R Exp]],Input[[#This Row],[Instr Loan]],Input[[#This Row],[Instr Annuity]],Input[[#This Row],[Instr Unexp]],Input[[#This Row],[Instr R of Ind]],Input[[#This Row],[Instr Inv in P]])</f>
        <v>91000713</v>
      </c>
      <c r="VI60" s="46">
        <f>SUM(Input[[#This Row],[Res E&amp;G]],Input[[#This Row],[Res Desg]],Input[[#This Row],[Res R Exp]],Input[[#This Row],[Res Loan]],Input[[#This Row],[Res Annuity]],Input[[#This Row],[Res Unexp]],Input[[#This Row],[Res R of Ind]],Input[[#This Row],[Res Inv in P]])</f>
        <v>102608987</v>
      </c>
      <c r="VJ60" s="46">
        <f>SUM(Input[[#This Row],[Acad Sup E&amp;G]],Input[[#This Row],[Acad Sup Desg]],Input[[#This Row],[Acad Sup R Exp]],Input[[#This Row],[Acad Sup Loan]],Input[[#This Row],[Acad Sup Annuity]],Input[[#This Row],[Acad Sup Unexp]],Input[[#This Row],[Acad Sup R of Ind]],Input[[#This Row],[Acad Sup Inv in P]])</f>
        <v>40548869</v>
      </c>
      <c r="VK60" s="46">
        <f>SUM(Input[[#This Row],[Stu Svc E&amp;G]],Input[[#This Row],[Stu Svc Desg]],Input[[#This Row],[Stu Svc R Exp]],Input[[#This Row],[Stu Svc Loan]],Input[[#This Row],[Stu Svc Annuity]],Input[[#This Row],[Stu Svc Unexp]],Input[[#This Row],[Stu Svc R of Ind]],Input[[#This Row],[Stu Svc Inv in P]])</f>
        <v>8806492</v>
      </c>
      <c r="VL60" s="46">
        <f>SUM(Input[[#This Row],[Inst. Spt E&amp;G]],Input[[#This Row],[Inst. Spt Desg]],Input[[#This Row],[Inst. Spt R Exp]],Input[[#This Row],[Inst. Spt Loan]],Input[[#This Row],[Inst. Spt Annuity]],Input[[#This Row],[Inst. Spt Unexp]],Input[[#This Row],[Inst. Spt R of Ind]],Input[[#This Row],[Inst. Spt Inv in P]])</f>
        <v>18632281</v>
      </c>
      <c r="VM60" s="46">
        <f>SUM(Input[[#This Row],[M&amp;O Plnt E&amp;G]],Input[[#This Row],[M&amp;O Plnt Desg]],Input[[#This Row],[M&amp;O Plnt R Exp]],Input[[#This Row],[M&amp;O Plnt Loan]],Input[[#This Row],[M&amp;O Plnt Annuity]],Input[[#This Row],[M&amp;O Plnt Unexp]],Input[[#This Row],[M&amp;O Plnt R of Ind]],Input[[#This Row],[M&amp;O Plnt Inv in P]])</f>
        <v>21063370</v>
      </c>
      <c r="VN60" s="46">
        <f>SUM(Input[[#This Row],[Schl &amp; Fell E&amp;G]],Input[[#This Row],[Schl &amp; Fell Desg]],Input[[#This Row],[Schl &amp; Fell R Exp]],Input[[#This Row],[Schl &amp; Fell Loan]],Input[[#This Row],[Schl &amp; Fell Annuity]],Input[[#This Row],[Schl &amp; Fell Unexp]],Input[[#This Row],[Schl &amp; Fell R of Ind]],Input[[#This Row],[Schl &amp; Fell Inv in P]])</f>
        <v>1064585</v>
      </c>
      <c r="VO60" s="46">
        <f>SUM(Input[[#This Row],[Cap Out fund E&amp;G]],Input[[#This Row],[Cap Out fund Desg]],Input[[#This Row],[Cap Out fund R Exp]],Input[[#This Row],[Cap Out fund Loan]],Input[[#This Row],[Cap Out fund Annuity]],Input[[#This Row],[Cap Out fund Unexp]],Input[[#This Row],[Cap Out fund R of Ind]],Input[[#This Row],[Cap Out fund Inv in P]])</f>
        <v>11021667</v>
      </c>
      <c r="VP60" s="46">
        <f>SUM(Input[[#This Row],[Oth Exp E&amp;G]],Input[[#This Row],[Oth Exp Desg]],Input[[#This Row],[Oth Exp R Exp]],Input[[#This Row],[Oth Exp Loan]],Input[[#This Row],[Oth Exp Annuity]],Input[[#This Row],[Oth Exp Unexp]],Input[[#This Row],[Oth Exp R of Ind]],Input[[#This Row],[Oth Exp Inv in P]],Input[[#This Row],[Oth Exp Inv in P]])</f>
        <v>826127</v>
      </c>
    </row>
    <row r="61" spans="1:588" ht="30" customHeight="1" x14ac:dyDescent="0.3">
      <c r="A61" s="15" t="s">
        <v>36</v>
      </c>
      <c r="B61" s="36" t="s">
        <v>109</v>
      </c>
      <c r="C61" s="36" t="s">
        <v>117</v>
      </c>
      <c r="D61" s="36">
        <v>911</v>
      </c>
      <c r="E61" s="36" t="s">
        <v>132</v>
      </c>
      <c r="F61" s="95" cm="1">
        <f t="array" ref="F61">IFERROR(_xlfn.IFS(Input[[#This Row],[Type]]="HRI",SUMIFS('FTSE | FTFE'!$I$8:$I$77,'FTSE | FTFE'!$H$8:$H$77,A61),Input[[#This Row],[Type]]="UNIV",SUMIFS('FTSE | FTFE'!$I$104:$I$139,'FTSE | FTFE'!$H$104:$H$139,A61),OR(Input[[#This Row],[Type]]="TSTC",Input[[#This Row],[Type]]="LSC"),SUMIFS('FTSE | FTFE'!$I$88:$I$96,'FTSE | FTFE'!$H$88:$H$96,A61)),"N/A")</f>
        <v>412</v>
      </c>
      <c r="G61" s="46">
        <v>204805019</v>
      </c>
      <c r="H61" s="46">
        <v>0</v>
      </c>
      <c r="I61" s="46">
        <v>0</v>
      </c>
      <c r="J61" s="46">
        <v>16841364</v>
      </c>
      <c r="K61" s="46">
        <v>0</v>
      </c>
      <c r="L61" s="46">
        <v>0</v>
      </c>
      <c r="M61" s="46">
        <v>0</v>
      </c>
      <c r="N61" s="46">
        <v>0</v>
      </c>
      <c r="O61" s="46">
        <v>0</v>
      </c>
      <c r="P61" s="46">
        <v>15160906</v>
      </c>
      <c r="Q61" s="46">
        <v>0</v>
      </c>
      <c r="R61" s="46">
        <v>0</v>
      </c>
      <c r="S61" s="46">
        <v>9737694</v>
      </c>
      <c r="T61" s="46">
        <v>0</v>
      </c>
      <c r="U61" s="46">
        <v>0</v>
      </c>
      <c r="V61" s="46">
        <v>0</v>
      </c>
      <c r="W61" s="46">
        <v>0</v>
      </c>
      <c r="X61" s="46">
        <v>0</v>
      </c>
      <c r="Y61" s="46">
        <v>22305642</v>
      </c>
      <c r="Z61" s="46">
        <v>0</v>
      </c>
      <c r="AA61" s="46">
        <v>0</v>
      </c>
      <c r="AB61" s="46">
        <v>0</v>
      </c>
      <c r="AC61" s="46">
        <v>0</v>
      </c>
      <c r="AD61" s="46">
        <v>0</v>
      </c>
      <c r="AE61" s="46">
        <v>0</v>
      </c>
      <c r="AF61" s="46">
        <v>0</v>
      </c>
      <c r="AG61" s="46">
        <v>0</v>
      </c>
      <c r="AH61" s="46">
        <v>0</v>
      </c>
      <c r="AI61" s="46">
        <v>0</v>
      </c>
      <c r="AJ61" s="46">
        <v>0</v>
      </c>
      <c r="AK61" s="46">
        <v>0</v>
      </c>
      <c r="AL61" s="46">
        <v>0</v>
      </c>
      <c r="AM61" s="46">
        <v>0</v>
      </c>
      <c r="AN61" s="46">
        <v>0</v>
      </c>
      <c r="AO61" s="46">
        <v>0</v>
      </c>
      <c r="AP61" s="46">
        <v>0</v>
      </c>
      <c r="AQ61" s="46">
        <v>-3335362</v>
      </c>
      <c r="AR61" s="46">
        <v>0</v>
      </c>
      <c r="AS61" s="46">
        <v>0</v>
      </c>
      <c r="AT61" s="46">
        <v>0</v>
      </c>
      <c r="AU61" s="46">
        <v>0</v>
      </c>
      <c r="AV61" s="46">
        <v>0</v>
      </c>
      <c r="AW61" s="46">
        <v>0</v>
      </c>
      <c r="AX61" s="46">
        <v>0</v>
      </c>
      <c r="AY61" s="46">
        <v>0</v>
      </c>
      <c r="AZ61" s="46">
        <v>0</v>
      </c>
      <c r="BA61" s="46">
        <v>0</v>
      </c>
      <c r="BB61" s="46">
        <v>0</v>
      </c>
      <c r="BC61" s="46">
        <v>0</v>
      </c>
      <c r="BD61" s="46">
        <v>0</v>
      </c>
      <c r="BE61" s="46">
        <v>0</v>
      </c>
      <c r="BF61" s="46">
        <v>0</v>
      </c>
      <c r="BG61" s="46">
        <v>0</v>
      </c>
      <c r="BH61" s="46">
        <v>0</v>
      </c>
      <c r="BI61" s="46">
        <v>0</v>
      </c>
      <c r="BJ61" s="46">
        <v>0</v>
      </c>
      <c r="BK61" s="46">
        <v>0</v>
      </c>
      <c r="BL61" s="46">
        <v>0</v>
      </c>
      <c r="BM61" s="46">
        <v>0</v>
      </c>
      <c r="BN61" s="46">
        <v>0</v>
      </c>
      <c r="BO61" s="46">
        <v>0</v>
      </c>
      <c r="BP61" s="46">
        <v>0</v>
      </c>
      <c r="BQ61" s="46">
        <v>0</v>
      </c>
      <c r="BR61" s="46">
        <v>0</v>
      </c>
      <c r="BS61" s="46">
        <v>0</v>
      </c>
      <c r="BT61" s="46">
        <v>0</v>
      </c>
      <c r="BU61" s="46">
        <v>0</v>
      </c>
      <c r="BV61" s="46">
        <v>0</v>
      </c>
      <c r="BW61" s="46">
        <v>0</v>
      </c>
      <c r="BX61" s="46">
        <v>0</v>
      </c>
      <c r="BY61" s="46">
        <v>0</v>
      </c>
      <c r="BZ61" s="46">
        <v>0</v>
      </c>
      <c r="CA61" s="46">
        <v>18317708</v>
      </c>
      <c r="CB61" s="46">
        <v>35832389</v>
      </c>
      <c r="CC61" s="46">
        <v>0</v>
      </c>
      <c r="CD61" s="46">
        <v>0</v>
      </c>
      <c r="CE61" s="46">
        <v>0</v>
      </c>
      <c r="CF61" s="46">
        <v>0</v>
      </c>
      <c r="CG61" s="46">
        <v>0</v>
      </c>
      <c r="CH61" s="46">
        <v>0</v>
      </c>
      <c r="CI61" s="46">
        <v>0</v>
      </c>
      <c r="CJ61" s="46">
        <v>0</v>
      </c>
      <c r="CK61" s="46">
        <v>0</v>
      </c>
      <c r="CL61" s="46">
        <v>0</v>
      </c>
      <c r="CM61" s="46">
        <v>0</v>
      </c>
      <c r="CN61" s="46">
        <v>0</v>
      </c>
      <c r="CO61" s="46">
        <v>0</v>
      </c>
      <c r="CP61" s="46">
        <v>0</v>
      </c>
      <c r="CQ61" s="46">
        <v>0</v>
      </c>
      <c r="CR61" s="46">
        <v>0</v>
      </c>
      <c r="CS61" s="46">
        <v>0</v>
      </c>
      <c r="CT61" s="46">
        <v>0</v>
      </c>
      <c r="CU61" s="46">
        <v>0</v>
      </c>
      <c r="CV61" s="46">
        <v>0</v>
      </c>
      <c r="CW61" s="46">
        <v>0</v>
      </c>
      <c r="CX61" s="46">
        <v>0</v>
      </c>
      <c r="CY61" s="46">
        <v>0</v>
      </c>
      <c r="CZ61" s="46">
        <v>0</v>
      </c>
      <c r="DA61" s="46">
        <v>0</v>
      </c>
      <c r="DB61" s="46">
        <v>-456000</v>
      </c>
      <c r="DC61" s="46">
        <v>-1377171</v>
      </c>
      <c r="DD61" s="46">
        <v>0</v>
      </c>
      <c r="DE61" s="46">
        <v>0</v>
      </c>
      <c r="DF61" s="46">
        <v>0</v>
      </c>
      <c r="DG61" s="46">
        <v>0</v>
      </c>
      <c r="DH61" s="46">
        <v>0</v>
      </c>
      <c r="DI61" s="46">
        <v>0</v>
      </c>
      <c r="DJ61" s="46">
        <v>0</v>
      </c>
      <c r="DK61" s="46">
        <v>0</v>
      </c>
      <c r="DL61" s="46">
        <v>0</v>
      </c>
      <c r="DM61" s="46">
        <v>0</v>
      </c>
      <c r="DN61" s="46">
        <v>0</v>
      </c>
      <c r="DO61" s="46">
        <v>0</v>
      </c>
      <c r="DP61" s="46">
        <v>0</v>
      </c>
      <c r="DQ61" s="46">
        <v>0</v>
      </c>
      <c r="DR61" s="46">
        <v>0</v>
      </c>
      <c r="DS61" s="46">
        <v>0</v>
      </c>
      <c r="DT61" s="46">
        <v>-8430687</v>
      </c>
      <c r="DU61" s="46">
        <v>-4589450</v>
      </c>
      <c r="DV61" s="46">
        <v>0</v>
      </c>
      <c r="DW61" s="46">
        <v>0</v>
      </c>
      <c r="DX61" s="46">
        <v>0</v>
      </c>
      <c r="DY61" s="46">
        <v>0</v>
      </c>
      <c r="DZ61" s="46">
        <v>0</v>
      </c>
      <c r="EA61" s="46">
        <v>0</v>
      </c>
      <c r="EB61" s="46">
        <v>0</v>
      </c>
      <c r="EC61" s="46">
        <v>0</v>
      </c>
      <c r="ED61" s="46">
        <v>0</v>
      </c>
      <c r="EE61" s="46">
        <v>0</v>
      </c>
      <c r="EF61" s="46">
        <v>0</v>
      </c>
      <c r="EG61" s="46">
        <v>0</v>
      </c>
      <c r="EH61" s="46">
        <v>0</v>
      </c>
      <c r="EI61" s="46">
        <v>0</v>
      </c>
      <c r="EJ61" s="46">
        <v>0</v>
      </c>
      <c r="EK61" s="46">
        <v>0</v>
      </c>
      <c r="EL61" s="46">
        <v>0</v>
      </c>
      <c r="EM61" s="46">
        <v>0</v>
      </c>
      <c r="EN61" s="46">
        <v>0</v>
      </c>
      <c r="EO61" s="46">
        <v>0</v>
      </c>
      <c r="EP61" s="46">
        <v>0</v>
      </c>
      <c r="EQ61" s="46">
        <v>0</v>
      </c>
      <c r="ER61" s="46">
        <v>0</v>
      </c>
      <c r="ES61" s="46">
        <v>0</v>
      </c>
      <c r="ET61" s="46">
        <v>0</v>
      </c>
      <c r="EU61" s="46">
        <v>0</v>
      </c>
      <c r="EV61" s="46">
        <v>0</v>
      </c>
      <c r="EW61" s="46">
        <v>0</v>
      </c>
      <c r="EX61" s="46">
        <v>0</v>
      </c>
      <c r="EY61" s="46">
        <v>0</v>
      </c>
      <c r="EZ61" s="46">
        <v>0</v>
      </c>
      <c r="FA61" s="46">
        <v>0</v>
      </c>
      <c r="FB61" s="46">
        <v>0</v>
      </c>
      <c r="FC61" s="46">
        <v>0</v>
      </c>
      <c r="FD61" s="46">
        <v>0</v>
      </c>
      <c r="FE61" s="46">
        <v>0</v>
      </c>
      <c r="FF61" s="46">
        <v>0</v>
      </c>
      <c r="FG61" s="46">
        <v>0</v>
      </c>
      <c r="FH61" s="46">
        <v>0</v>
      </c>
      <c r="FI61" s="46">
        <v>0</v>
      </c>
      <c r="FJ61" s="46">
        <v>0</v>
      </c>
      <c r="FK61" s="46">
        <v>0</v>
      </c>
      <c r="FL61" s="46">
        <v>0</v>
      </c>
      <c r="FM61" s="46">
        <v>0</v>
      </c>
      <c r="FN61" s="46">
        <v>30872839</v>
      </c>
      <c r="FO61" s="46">
        <v>0</v>
      </c>
      <c r="FP61" s="46">
        <v>0</v>
      </c>
      <c r="FQ61" s="46">
        <v>0</v>
      </c>
      <c r="FR61" s="46">
        <v>0</v>
      </c>
      <c r="FS61" s="46">
        <v>0</v>
      </c>
      <c r="FT61" s="46">
        <v>0</v>
      </c>
      <c r="FU61" s="46">
        <v>0</v>
      </c>
      <c r="FV61" s="46">
        <v>0</v>
      </c>
      <c r="FW61" s="46">
        <v>0</v>
      </c>
      <c r="FX61" s="46">
        <v>0</v>
      </c>
      <c r="FY61" s="46">
        <v>0</v>
      </c>
      <c r="FZ61" s="46">
        <v>0</v>
      </c>
      <c r="GA61" s="46">
        <v>0</v>
      </c>
      <c r="GB61" s="46">
        <v>0</v>
      </c>
      <c r="GC61" s="46">
        <v>0</v>
      </c>
      <c r="GD61" s="46">
        <v>0</v>
      </c>
      <c r="GE61" s="46">
        <v>0</v>
      </c>
      <c r="GF61" s="46">
        <v>0</v>
      </c>
      <c r="GG61" s="46">
        <v>0</v>
      </c>
      <c r="GH61" s="46">
        <v>0</v>
      </c>
      <c r="GI61" s="46">
        <v>0</v>
      </c>
      <c r="GJ61" s="46">
        <v>0</v>
      </c>
      <c r="GK61" s="46">
        <v>0</v>
      </c>
      <c r="GL61" s="46">
        <v>0</v>
      </c>
      <c r="GM61" s="46">
        <v>0</v>
      </c>
      <c r="GN61" s="46">
        <v>0</v>
      </c>
      <c r="GO61" s="46">
        <v>-2189495</v>
      </c>
      <c r="GP61" s="46">
        <v>0</v>
      </c>
      <c r="GQ61" s="46">
        <v>0</v>
      </c>
      <c r="GR61" s="46">
        <v>0</v>
      </c>
      <c r="GS61" s="46">
        <v>0</v>
      </c>
      <c r="GT61" s="46">
        <v>0</v>
      </c>
      <c r="GU61" s="46">
        <v>0</v>
      </c>
      <c r="GV61" s="46">
        <v>0</v>
      </c>
      <c r="GW61" s="46">
        <v>0</v>
      </c>
      <c r="GX61" s="46">
        <v>0</v>
      </c>
      <c r="GY61" s="46">
        <v>0</v>
      </c>
      <c r="GZ61" s="46">
        <v>0</v>
      </c>
      <c r="HA61" s="46">
        <v>0</v>
      </c>
      <c r="HB61" s="46">
        <v>0</v>
      </c>
      <c r="HC61" s="46">
        <v>0</v>
      </c>
      <c r="HD61" s="46">
        <v>0</v>
      </c>
      <c r="HE61" s="46">
        <v>0</v>
      </c>
      <c r="HF61" s="46">
        <v>0</v>
      </c>
      <c r="HG61" s="46">
        <v>0</v>
      </c>
      <c r="HH61" s="46">
        <v>0</v>
      </c>
      <c r="HI61" s="46">
        <v>0</v>
      </c>
      <c r="HJ61" s="46">
        <v>0</v>
      </c>
      <c r="HK61" s="46">
        <v>0</v>
      </c>
      <c r="HL61" s="46">
        <v>0</v>
      </c>
      <c r="HM61" s="46">
        <v>0</v>
      </c>
      <c r="HN61" s="46">
        <v>0</v>
      </c>
      <c r="HO61" s="46">
        <v>0</v>
      </c>
      <c r="HP61" s="46">
        <v>744657</v>
      </c>
      <c r="HQ61" s="46">
        <v>0</v>
      </c>
      <c r="HR61" s="46">
        <v>37943250</v>
      </c>
      <c r="HS61" s="46">
        <v>0</v>
      </c>
      <c r="HT61" s="46">
        <v>0</v>
      </c>
      <c r="HU61" s="46">
        <v>0</v>
      </c>
      <c r="HV61" s="46">
        <v>0</v>
      </c>
      <c r="HW61" s="46">
        <v>0</v>
      </c>
      <c r="HX61" s="46">
        <v>0</v>
      </c>
      <c r="HY61" s="46">
        <v>142160872</v>
      </c>
      <c r="HZ61" s="46">
        <v>0</v>
      </c>
      <c r="IA61" s="46">
        <v>143737915</v>
      </c>
      <c r="IB61" s="46">
        <v>0</v>
      </c>
      <c r="IC61" s="46">
        <v>0</v>
      </c>
      <c r="ID61" s="46">
        <v>0</v>
      </c>
      <c r="IE61" s="46">
        <v>0</v>
      </c>
      <c r="IF61" s="46">
        <v>0</v>
      </c>
      <c r="IG61" s="46">
        <v>0</v>
      </c>
      <c r="IH61" s="46">
        <v>0</v>
      </c>
      <c r="II61" s="46">
        <v>0</v>
      </c>
      <c r="IJ61" s="46">
        <v>0</v>
      </c>
      <c r="IK61" s="46">
        <v>0</v>
      </c>
      <c r="IL61" s="46">
        <v>0</v>
      </c>
      <c r="IM61" s="46">
        <v>0</v>
      </c>
      <c r="IN61" s="46">
        <v>0</v>
      </c>
      <c r="IO61" s="46">
        <v>0</v>
      </c>
      <c r="IP61" s="46">
        <v>622464</v>
      </c>
      <c r="IQ61" s="46">
        <v>24292793</v>
      </c>
      <c r="IR61" s="46">
        <v>58191</v>
      </c>
      <c r="IS61" s="46">
        <v>5076476</v>
      </c>
      <c r="IT61" s="46">
        <v>95761</v>
      </c>
      <c r="IU61" s="46">
        <v>-3737564</v>
      </c>
      <c r="IV61" s="46">
        <v>1547707</v>
      </c>
      <c r="IW61" s="46">
        <v>0</v>
      </c>
      <c r="IX61" s="46">
        <v>0</v>
      </c>
      <c r="IY61" s="46">
        <v>0</v>
      </c>
      <c r="IZ61" s="46">
        <v>47058504</v>
      </c>
      <c r="JA61" s="46">
        <v>0</v>
      </c>
      <c r="JB61" s="46">
        <v>70275937</v>
      </c>
      <c r="JC61" s="46">
        <v>0</v>
      </c>
      <c r="JD61" s="46">
        <v>0</v>
      </c>
      <c r="JE61" s="46">
        <v>0</v>
      </c>
      <c r="JF61" s="46">
        <v>0</v>
      </c>
      <c r="JG61" s="46">
        <v>0</v>
      </c>
      <c r="JH61" s="46">
        <v>0</v>
      </c>
      <c r="JI61" s="46">
        <v>51094244</v>
      </c>
      <c r="JJ61" s="46">
        <v>0</v>
      </c>
      <c r="JK61" s="46">
        <v>45220114</v>
      </c>
      <c r="JL61" s="46">
        <v>0</v>
      </c>
      <c r="JM61" s="46">
        <v>1490</v>
      </c>
      <c r="JN61" s="46">
        <v>0</v>
      </c>
      <c r="JO61" s="46">
        <v>0</v>
      </c>
      <c r="JP61" s="46">
        <v>0</v>
      </c>
      <c r="JQ61" s="46">
        <v>0</v>
      </c>
      <c r="JR61" s="46">
        <v>12379703</v>
      </c>
      <c r="JS61" s="46">
        <v>0</v>
      </c>
      <c r="JT61" s="46">
        <v>369055</v>
      </c>
      <c r="JU61" s="46">
        <v>0</v>
      </c>
      <c r="JV61" s="46">
        <v>0</v>
      </c>
      <c r="JW61" s="46">
        <v>0</v>
      </c>
      <c r="JX61" s="46">
        <v>0</v>
      </c>
      <c r="JY61" s="46">
        <v>0</v>
      </c>
      <c r="JZ61" s="46">
        <v>0</v>
      </c>
      <c r="KA61" s="46">
        <v>0</v>
      </c>
      <c r="KB61" s="46">
        <v>1104018</v>
      </c>
      <c r="KC61" s="46">
        <v>0</v>
      </c>
      <c r="KD61" s="46">
        <v>0</v>
      </c>
      <c r="KE61" s="46">
        <v>0</v>
      </c>
      <c r="KF61" s="46">
        <v>0</v>
      </c>
      <c r="KG61" s="46">
        <v>0</v>
      </c>
      <c r="KH61" s="46">
        <v>0</v>
      </c>
      <c r="KI61" s="46">
        <v>0</v>
      </c>
      <c r="KJ61" s="46">
        <v>38183257</v>
      </c>
      <c r="KK61" s="46">
        <v>0</v>
      </c>
      <c r="KL61" s="46">
        <v>269138</v>
      </c>
      <c r="KM61" s="46">
        <v>-34343</v>
      </c>
      <c r="KN61" s="46">
        <v>0</v>
      </c>
      <c r="KO61" s="46">
        <v>390766</v>
      </c>
      <c r="KP61" s="46">
        <v>0</v>
      </c>
      <c r="KQ61" s="46">
        <v>0</v>
      </c>
      <c r="KR61" s="46">
        <v>80002765</v>
      </c>
      <c r="KS61" s="46">
        <v>99699130</v>
      </c>
      <c r="KT61" s="46">
        <v>0</v>
      </c>
      <c r="KU61" s="46">
        <v>79652711</v>
      </c>
      <c r="KV61" s="46">
        <v>0</v>
      </c>
      <c r="KW61" s="46">
        <v>0</v>
      </c>
      <c r="KX61" s="46">
        <v>0</v>
      </c>
      <c r="KY61" s="46">
        <v>0</v>
      </c>
      <c r="KZ61" s="46">
        <v>0</v>
      </c>
      <c r="LA61" s="46">
        <v>11380858</v>
      </c>
      <c r="LB61" s="46">
        <v>15348034</v>
      </c>
      <c r="LC61" s="46">
        <v>0</v>
      </c>
      <c r="LD61" s="46">
        <v>23075601</v>
      </c>
      <c r="LE61" s="46">
        <v>0</v>
      </c>
      <c r="LF61" s="46">
        <v>0</v>
      </c>
      <c r="LG61" s="46">
        <v>7333</v>
      </c>
      <c r="LH61" s="46">
        <v>0</v>
      </c>
      <c r="LI61" s="46">
        <v>0</v>
      </c>
      <c r="LJ61" s="46">
        <v>26975531</v>
      </c>
      <c r="LK61" s="46">
        <v>6920509</v>
      </c>
      <c r="LL61" s="46">
        <v>0</v>
      </c>
      <c r="LM61" s="46">
        <v>173070213</v>
      </c>
      <c r="LN61" s="46">
        <v>0</v>
      </c>
      <c r="LO61" s="46">
        <v>0</v>
      </c>
      <c r="LP61" s="46">
        <v>0</v>
      </c>
      <c r="LQ61" s="46">
        <v>0</v>
      </c>
      <c r="LR61" s="46">
        <v>0</v>
      </c>
      <c r="LS61" s="46">
        <v>1890988</v>
      </c>
      <c r="LT61" s="46">
        <v>98389116</v>
      </c>
      <c r="LU61" s="46">
        <v>0</v>
      </c>
      <c r="LV61" s="46">
        <v>16562440</v>
      </c>
      <c r="LW61" s="46">
        <v>0</v>
      </c>
      <c r="LX61" s="46">
        <v>0</v>
      </c>
      <c r="LY61" s="46">
        <v>0</v>
      </c>
      <c r="LZ61" s="46">
        <v>0</v>
      </c>
      <c r="MA61" s="46">
        <v>0</v>
      </c>
      <c r="MB61" s="46">
        <v>52554535</v>
      </c>
      <c r="MC61" s="46">
        <v>96926157</v>
      </c>
      <c r="MD61" s="46">
        <v>0</v>
      </c>
      <c r="ME61" s="46">
        <v>4600528</v>
      </c>
      <c r="MF61" s="46">
        <v>0</v>
      </c>
      <c r="MG61" s="46">
        <v>0</v>
      </c>
      <c r="MH61" s="46">
        <v>962</v>
      </c>
      <c r="MI61" s="46">
        <v>0</v>
      </c>
      <c r="MJ61" s="46">
        <v>0</v>
      </c>
      <c r="MK61" s="46">
        <v>2409849</v>
      </c>
      <c r="ML61" s="46">
        <v>26150841</v>
      </c>
      <c r="MM61" s="46">
        <v>0</v>
      </c>
      <c r="MN61" s="46">
        <v>33123</v>
      </c>
      <c r="MO61" s="46">
        <v>66784</v>
      </c>
      <c r="MP61" s="46">
        <v>0</v>
      </c>
      <c r="MQ61" s="46">
        <v>0</v>
      </c>
      <c r="MR61" s="46">
        <v>0</v>
      </c>
      <c r="MS61" s="46">
        <v>0</v>
      </c>
      <c r="MT61" s="46">
        <v>27966534</v>
      </c>
      <c r="MU61" s="46">
        <v>9460376</v>
      </c>
      <c r="MV61" s="46">
        <v>0</v>
      </c>
      <c r="MW61" s="46">
        <v>4316732</v>
      </c>
      <c r="MX61" s="46">
        <v>0</v>
      </c>
      <c r="MY61" s="46">
        <v>0</v>
      </c>
      <c r="MZ61" s="46">
        <v>0</v>
      </c>
      <c r="NA61" s="46">
        <v>0</v>
      </c>
      <c r="NB61" s="46">
        <v>0</v>
      </c>
      <c r="NC61" s="46">
        <v>9603454</v>
      </c>
      <c r="ND61" s="46">
        <v>19091101</v>
      </c>
      <c r="NE61" s="46">
        <v>0</v>
      </c>
      <c r="NF61" s="46">
        <v>71240</v>
      </c>
      <c r="NG61" s="46">
        <v>0</v>
      </c>
      <c r="NH61" s="46">
        <v>0</v>
      </c>
      <c r="NI61" s="46">
        <v>10937942</v>
      </c>
      <c r="NJ61" s="46">
        <v>0</v>
      </c>
      <c r="NK61" s="46">
        <v>0</v>
      </c>
      <c r="NL61" s="46">
        <v>0</v>
      </c>
      <c r="NM61" s="46">
        <v>205841</v>
      </c>
      <c r="NN61" s="46">
        <v>0</v>
      </c>
      <c r="NO61" s="46">
        <v>1162834</v>
      </c>
      <c r="NP61" s="46">
        <v>0</v>
      </c>
      <c r="NQ61" s="46">
        <v>0</v>
      </c>
      <c r="NR61" s="46">
        <v>0</v>
      </c>
      <c r="NS61" s="46">
        <v>0</v>
      </c>
      <c r="NT61" s="46">
        <v>0</v>
      </c>
      <c r="NU61" s="46">
        <v>0</v>
      </c>
      <c r="NV61" s="46">
        <v>0</v>
      </c>
      <c r="NW61" s="46">
        <v>633860</v>
      </c>
      <c r="NX61" s="46">
        <v>0</v>
      </c>
      <c r="NY61" s="46">
        <v>0</v>
      </c>
      <c r="NZ61" s="46">
        <v>0</v>
      </c>
      <c r="OA61" s="46">
        <v>0</v>
      </c>
      <c r="OB61" s="46">
        <v>0</v>
      </c>
      <c r="OC61" s="46">
        <v>0</v>
      </c>
      <c r="OD61" s="46">
        <v>1189183</v>
      </c>
      <c r="OE61" s="46">
        <v>7426574</v>
      </c>
      <c r="OF61" s="46">
        <v>0</v>
      </c>
      <c r="OG61" s="46">
        <v>1544807</v>
      </c>
      <c r="OH61" s="46">
        <v>0</v>
      </c>
      <c r="OI61" s="46">
        <v>0</v>
      </c>
      <c r="OJ61" s="46">
        <v>0</v>
      </c>
      <c r="OK61" s="46">
        <v>0</v>
      </c>
      <c r="OL61" s="46">
        <v>0</v>
      </c>
      <c r="OM61" s="46">
        <v>-93352</v>
      </c>
      <c r="ON61" s="46">
        <v>0</v>
      </c>
      <c r="OO61" s="46">
        <v>0</v>
      </c>
      <c r="OP61" s="46">
        <v>0</v>
      </c>
      <c r="OQ61" s="46">
        <v>0</v>
      </c>
      <c r="OR61" s="46">
        <v>0</v>
      </c>
      <c r="OS61" s="46">
        <v>0</v>
      </c>
      <c r="OT61" s="46">
        <v>0</v>
      </c>
      <c r="OU61" s="46">
        <v>949810</v>
      </c>
      <c r="OV61" s="46">
        <v>0</v>
      </c>
      <c r="OW61" s="46">
        <v>0</v>
      </c>
      <c r="OX61" s="46">
        <v>0</v>
      </c>
      <c r="OY61" s="46">
        <v>0</v>
      </c>
      <c r="OZ61" s="46">
        <v>0</v>
      </c>
      <c r="PA61" s="46">
        <v>0</v>
      </c>
      <c r="PB61" s="46">
        <v>-23916446</v>
      </c>
      <c r="PC61" s="46">
        <v>0</v>
      </c>
      <c r="PD61" s="46">
        <v>0</v>
      </c>
      <c r="PE61" s="46">
        <v>396267</v>
      </c>
      <c r="PF61" s="46">
        <v>13125289</v>
      </c>
      <c r="PG61" s="46">
        <v>-1442650</v>
      </c>
      <c r="PH61" s="46">
        <v>-21746497</v>
      </c>
      <c r="PI61" s="46">
        <v>-72334</v>
      </c>
      <c r="PJ61" s="46">
        <v>326563</v>
      </c>
      <c r="PK61" s="46">
        <v>26241507</v>
      </c>
      <c r="PL61" s="46">
        <v>0</v>
      </c>
      <c r="PM61" s="46">
        <v>0</v>
      </c>
      <c r="PN61" s="46">
        <v>0</v>
      </c>
      <c r="PO61" s="46">
        <v>0</v>
      </c>
      <c r="PP61" s="46">
        <v>0</v>
      </c>
      <c r="PQ61" s="46">
        <v>0</v>
      </c>
      <c r="PR61" s="46">
        <v>0</v>
      </c>
      <c r="PS61" s="46">
        <v>0</v>
      </c>
      <c r="PT61" s="46">
        <v>11866385</v>
      </c>
      <c r="PU61" s="46">
        <v>0</v>
      </c>
      <c r="PV61" s="46">
        <v>0</v>
      </c>
      <c r="PW61" s="46">
        <v>-15438110</v>
      </c>
      <c r="PX61" s="46">
        <v>0</v>
      </c>
      <c r="PY61" s="46">
        <v>0</v>
      </c>
      <c r="PZ61" s="46">
        <v>0</v>
      </c>
      <c r="QA61" s="46">
        <v>0</v>
      </c>
      <c r="QB61" s="46">
        <v>0</v>
      </c>
      <c r="QC61" s="46">
        <v>0</v>
      </c>
      <c r="QD61" s="46">
        <v>0</v>
      </c>
      <c r="QE61" s="46">
        <v>0</v>
      </c>
      <c r="QF61" s="46">
        <v>0</v>
      </c>
      <c r="QG61" s="46">
        <v>23478367</v>
      </c>
      <c r="QH61" s="46">
        <v>0</v>
      </c>
      <c r="QI61" s="46">
        <v>3449086</v>
      </c>
      <c r="QJ61" s="46">
        <v>0</v>
      </c>
      <c r="QK61" s="46">
        <v>9783325</v>
      </c>
      <c r="QL61" s="46">
        <v>0</v>
      </c>
      <c r="QM61" s="46">
        <v>0</v>
      </c>
      <c r="QN61" s="46">
        <v>0</v>
      </c>
      <c r="QO61" s="46">
        <v>0</v>
      </c>
      <c r="QP61" s="46">
        <v>0</v>
      </c>
      <c r="QQ61" s="46">
        <v>0</v>
      </c>
      <c r="QR61" s="46">
        <v>0</v>
      </c>
      <c r="QS61" s="46">
        <v>0</v>
      </c>
      <c r="QT61" s="46">
        <v>101365</v>
      </c>
      <c r="QU61" s="46">
        <v>0</v>
      </c>
      <c r="QV61" s="46">
        <v>0</v>
      </c>
      <c r="QW61" s="46">
        <v>0</v>
      </c>
      <c r="QX61" s="46">
        <v>0</v>
      </c>
      <c r="QY61" s="46">
        <v>0</v>
      </c>
      <c r="QZ61" s="46">
        <v>0</v>
      </c>
      <c r="RA61" s="46">
        <v>0</v>
      </c>
      <c r="RB61" s="46">
        <v>0</v>
      </c>
      <c r="RC61" s="46">
        <v>0</v>
      </c>
      <c r="RD61" s="46">
        <v>0</v>
      </c>
      <c r="RE61" s="46">
        <v>0</v>
      </c>
      <c r="RF61" s="46">
        <v>0</v>
      </c>
      <c r="RG61" s="46">
        <v>0</v>
      </c>
      <c r="RH61" s="46">
        <v>0</v>
      </c>
      <c r="RI61" s="46">
        <v>0</v>
      </c>
      <c r="RJ61" s="46">
        <v>0</v>
      </c>
      <c r="RK61" s="46">
        <v>0</v>
      </c>
      <c r="RL61" s="46">
        <v>0</v>
      </c>
      <c r="RM61" s="46">
        <v>0</v>
      </c>
      <c r="RN61" s="46">
        <v>0</v>
      </c>
      <c r="RO61" s="46">
        <v>-30843064</v>
      </c>
      <c r="RP61" s="46">
        <v>0</v>
      </c>
      <c r="RQ61" s="46">
        <v>0</v>
      </c>
      <c r="RR61" s="46">
        <v>0</v>
      </c>
      <c r="RS61" s="46">
        <v>0</v>
      </c>
      <c r="RT61" s="46">
        <v>0</v>
      </c>
      <c r="RU61" s="46">
        <v>0</v>
      </c>
      <c r="RV61" s="46">
        <v>0</v>
      </c>
      <c r="RW61" s="46">
        <v>0</v>
      </c>
      <c r="RX61" s="46">
        <v>13849</v>
      </c>
      <c r="RY61" s="46">
        <v>0</v>
      </c>
      <c r="RZ61" s="46">
        <v>0</v>
      </c>
      <c r="SA61" s="46">
        <v>0</v>
      </c>
      <c r="SB61" s="46">
        <v>0</v>
      </c>
      <c r="SC61" s="46">
        <v>0</v>
      </c>
      <c r="SD61" s="46">
        <v>0</v>
      </c>
      <c r="SE61" s="46">
        <v>0</v>
      </c>
      <c r="SF61" s="46">
        <v>0</v>
      </c>
      <c r="SG61" s="46">
        <v>0</v>
      </c>
      <c r="SH61" s="46">
        <v>0</v>
      </c>
      <c r="SI61" s="46">
        <v>0</v>
      </c>
      <c r="SJ61" s="46">
        <v>0</v>
      </c>
      <c r="SK61" s="46">
        <v>0</v>
      </c>
      <c r="SL61" s="46">
        <v>0</v>
      </c>
      <c r="SM61" s="46">
        <v>0</v>
      </c>
      <c r="SN61" s="46">
        <v>0</v>
      </c>
      <c r="SO61" s="46">
        <v>0</v>
      </c>
      <c r="SP61" s="46">
        <v>256898</v>
      </c>
      <c r="SQ61" s="46">
        <v>1189183</v>
      </c>
      <c r="SR61" s="46">
        <v>7426574</v>
      </c>
      <c r="SS61" s="46">
        <v>0</v>
      </c>
      <c r="ST61" s="46">
        <v>1544807</v>
      </c>
      <c r="SU61" s="46">
        <v>0</v>
      </c>
      <c r="SV61" s="46">
        <v>0</v>
      </c>
      <c r="SW61" s="46">
        <v>23916446</v>
      </c>
      <c r="SX61" s="46">
        <v>0</v>
      </c>
      <c r="SY61" s="46">
        <v>0</v>
      </c>
      <c r="SZ61" s="46">
        <v>454083</v>
      </c>
      <c r="TA61" s="46">
        <v>1975835</v>
      </c>
      <c r="TB61" s="46">
        <v>2198354</v>
      </c>
      <c r="TC61" s="46">
        <v>706212</v>
      </c>
      <c r="TD61" s="46">
        <v>2872030</v>
      </c>
      <c r="TE61" s="46">
        <v>1018183</v>
      </c>
      <c r="TF61" s="46">
        <v>347429</v>
      </c>
      <c r="TG61" s="46">
        <v>588438</v>
      </c>
      <c r="TH61" s="46">
        <v>0</v>
      </c>
      <c r="TI61" s="46">
        <v>0</v>
      </c>
      <c r="TJ61" s="46">
        <v>0</v>
      </c>
      <c r="TK61" s="46">
        <v>0</v>
      </c>
      <c r="TL61" s="46">
        <v>145764</v>
      </c>
      <c r="TM61" s="46">
        <v>412253</v>
      </c>
      <c r="TN61" s="46">
        <v>0</v>
      </c>
      <c r="TO61" s="46">
        <v>0</v>
      </c>
      <c r="TP61" s="46">
        <v>0</v>
      </c>
      <c r="TQ61" s="46">
        <v>0</v>
      </c>
      <c r="TR61" s="46">
        <v>0</v>
      </c>
      <c r="TS61" s="46">
        <v>0</v>
      </c>
      <c r="TT61" s="46">
        <v>0</v>
      </c>
      <c r="TU61" s="46">
        <v>133502</v>
      </c>
      <c r="TV61" s="46">
        <v>25164</v>
      </c>
      <c r="TW61" s="46">
        <v>0</v>
      </c>
      <c r="TX61" s="46">
        <v>0</v>
      </c>
      <c r="TY61" s="46">
        <v>0</v>
      </c>
      <c r="TZ61" s="46">
        <v>0</v>
      </c>
      <c r="UA61" s="46">
        <v>0</v>
      </c>
      <c r="UB61" s="46">
        <v>0</v>
      </c>
      <c r="UC61" s="46">
        <v>143737915</v>
      </c>
      <c r="UD61" s="46">
        <v>0</v>
      </c>
      <c r="UE61" s="46">
        <v>259354606</v>
      </c>
      <c r="UF61" s="46">
        <v>49811826</v>
      </c>
      <c r="UG61" s="46">
        <v>206966253</v>
      </c>
      <c r="UH61" s="46">
        <v>116842544</v>
      </c>
      <c r="UI61" s="46">
        <v>154082182</v>
      </c>
      <c r="UJ61" s="46">
        <v>28660597</v>
      </c>
      <c r="UK61" s="46">
        <v>41743642</v>
      </c>
      <c r="UL61" s="46">
        <v>39703737</v>
      </c>
      <c r="UM61" s="46">
        <v>1368675</v>
      </c>
      <c r="UN61" s="46">
        <v>633860</v>
      </c>
      <c r="UO61"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10160564</v>
      </c>
      <c r="UP61" s="46">
        <f>SUM(Input[[#This Row],[Oth Exp E&amp;G]],Input[[#This Row],[Oth Exp Desg]],Input[[#This Row],[Oth Exp Aux]],Input[[#This Row],[Oth Exp R Exp]],Input[[#This Row],[Oth Exp Loan]],Input[[#This Row],[Oth Exp Annuity]],Input[[#This Row],[Oth Exp Unexp]],Input[[#This Row],[Oth Exp R of Ind]],Input[[#This Row],[Oth Exp Inv in P]])</f>
        <v>856458</v>
      </c>
      <c r="UQ61" s="46"/>
      <c r="UR61" s="46"/>
      <c r="US61" s="8" t="s">
        <v>978</v>
      </c>
      <c r="UT61" s="47">
        <v>8067437381</v>
      </c>
      <c r="UU61" s="8" t="s">
        <v>975</v>
      </c>
      <c r="UV61" s="8" t="s">
        <v>961</v>
      </c>
      <c r="UW61" s="47">
        <v>8067439021</v>
      </c>
      <c r="UX61" s="8" t="s">
        <v>967</v>
      </c>
      <c r="UY61" s="51" cm="1">
        <f t="array" ref="UY61">IFERROR(_xlfn.IFS(Input[[#This Row],[Type]]="HRI",SUMIFS('FTSE | FTFE'!$P$8:$P$77,'FTSE | FTFE'!$H$8:$H$77,A61),Input[[#This Row],[Type]]="UNIV",SUMIFS('FTSE | FTFE'!$P$104:$P$139,'FTSE | FTFE'!$H$104:$H$139,A61),OR(Input[[#This Row],[Type]]="TSTC",Input[[#This Row],[Type]]="LSC"),SUMIFS('FTSE | FTFE'!$O$88:$O$96,'FTSE | FTFE'!$H$88:$H$96,A61),Input[[#This Row],[Type]]="AHM",SUMIFS(Hidden!$H$42:$H$45,Hidden!$G$42:$G$45,A61)),"N/A")</f>
        <v>6038</v>
      </c>
      <c r="UZ61" s="51" cm="1">
        <f t="array" ref="UZ61">IFERROR(_xlfn.IFS(Input[[#This Row],[Type]]="HRI",SUMIFS('FTSE | FTFE'!$Q$8:$Q$77,'FTSE | FTFE'!$H$8:$H$77,A61),Input[[#This Row],[Type]]="UNIV",SUMIFS('FTSE | FTFE'!$Q$104:$Q$139,'FTSE | FTFE'!$H$104:$H$139,A61),OR(Input[[#This Row],[Type]]="TSTC",Input[[#This Row],[Type]]="LSC"),SUMIFS('FTSE | FTFE'!$P$88:$P$96,'FTSE | FTFE'!$H$88:$H$96,A61)),"N/A")</f>
        <v>67.98</v>
      </c>
      <c r="VA6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246544983</v>
      </c>
      <c r="VB6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22305642</v>
      </c>
      <c r="VC61" s="46">
        <f>SUM(Input[[#This Row],[Fed G&amp;C E&amp;G]],Input[[#This Row],[Fed G&amp;C Desg]],Input[[#This Row],[Fed G&amp;C R Exp]],Input[[#This Row],[Fed G&amp;C Loan]],Input[[#This Row],[Fed G&amp;C Annuity]],Input[[#This Row],[Fed G&amp;C Unexp]],Input[[#This Row],[Fed G&amp;C R of Ind]],Input[[#This Row],[Fed G&amp;C Inv in P]])</f>
        <v>38687907</v>
      </c>
      <c r="VD6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293105502</v>
      </c>
      <c r="VE6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39296789</v>
      </c>
      <c r="VF6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28683344</v>
      </c>
      <c r="VG61" s="46">
        <f>SUM(Input[[#This Row],[Oth Inc E&amp;G]],Input[[#This Row],[Oth Exp Desg]],Input[[#This Row],[Oth Exp R Exp]],Input[[#This Row],[Oth Exp Loan]],Input[[#This Row],[Oth Exp Annuity]],Input[[#This Row],[Oth Exp Unexp]],Input[[#This Row],[Oth Exp R of Ind]],Input[[#This Row],[Oth Exp Inv in P]])</f>
        <v>949810</v>
      </c>
      <c r="VH61" s="46">
        <f>SUM(Input[[#This Row],[Instr E&amp;G]],Input[[#This Row],[Instr Desg]],Input[[#This Row],[Instr R Exp]],Input[[#This Row],[Instr Loan]],Input[[#This Row],[Instr Annuity]],Input[[#This Row],[Instr Unexp]],Input[[#This Row],[Instr R of Ind]],Input[[#This Row],[Instr Inv in P]])</f>
        <v>259354606</v>
      </c>
      <c r="VI61" s="46">
        <f>SUM(Input[[#This Row],[Res E&amp;G]],Input[[#This Row],[Res Desg]],Input[[#This Row],[Res R Exp]],Input[[#This Row],[Res Loan]],Input[[#This Row],[Res Annuity]],Input[[#This Row],[Res Unexp]],Input[[#This Row],[Res R of Ind]],Input[[#This Row],[Res Inv in P]])</f>
        <v>49811826</v>
      </c>
      <c r="VJ61" s="46">
        <f>SUM(Input[[#This Row],[Acad Sup E&amp;G]],Input[[#This Row],[Acad Sup Desg]],Input[[#This Row],[Acad Sup R Exp]],Input[[#This Row],[Acad Sup Loan]],Input[[#This Row],[Acad Sup Annuity]],Input[[#This Row],[Acad Sup Unexp]],Input[[#This Row],[Acad Sup R of Ind]],Input[[#This Row],[Acad Sup Inv in P]])</f>
        <v>154082182</v>
      </c>
      <c r="VK61" s="46">
        <f>SUM(Input[[#This Row],[Stu Svc E&amp;G]],Input[[#This Row],[Stu Svc Desg]],Input[[#This Row],[Stu Svc R Exp]],Input[[#This Row],[Stu Svc Loan]],Input[[#This Row],[Stu Svc Annuity]],Input[[#This Row],[Stu Svc Unexp]],Input[[#This Row],[Stu Svc R of Ind]],Input[[#This Row],[Stu Svc Inv in P]])</f>
        <v>28660597</v>
      </c>
      <c r="VL61" s="46">
        <f>SUM(Input[[#This Row],[Inst. Spt E&amp;G]],Input[[#This Row],[Inst. Spt Desg]],Input[[#This Row],[Inst. Spt R Exp]],Input[[#This Row],[Inst. Spt Loan]],Input[[#This Row],[Inst. Spt Annuity]],Input[[#This Row],[Inst. Spt Unexp]],Input[[#This Row],[Inst. Spt R of Ind]],Input[[#This Row],[Inst. Spt Inv in P]])</f>
        <v>41743642</v>
      </c>
      <c r="VM61" s="46">
        <f>SUM(Input[[#This Row],[M&amp;O Plnt E&amp;G]],Input[[#This Row],[M&amp;O Plnt Desg]],Input[[#This Row],[M&amp;O Plnt R Exp]],Input[[#This Row],[M&amp;O Plnt Loan]],Input[[#This Row],[M&amp;O Plnt Annuity]],Input[[#This Row],[M&amp;O Plnt Unexp]],Input[[#This Row],[M&amp;O Plnt R of Ind]],Input[[#This Row],[M&amp;O Plnt Inv in P]])</f>
        <v>39703737</v>
      </c>
      <c r="VN61" s="46">
        <f>SUM(Input[[#This Row],[Schl &amp; Fell E&amp;G]],Input[[#This Row],[Schl &amp; Fell Desg]],Input[[#This Row],[Schl &amp; Fell R Exp]],Input[[#This Row],[Schl &amp; Fell Loan]],Input[[#This Row],[Schl &amp; Fell Annuity]],Input[[#This Row],[Schl &amp; Fell Unexp]],Input[[#This Row],[Schl &amp; Fell R of Ind]],Input[[#This Row],[Schl &amp; Fell Inv in P]])</f>
        <v>1368675</v>
      </c>
      <c r="VO61" s="46">
        <f>SUM(Input[[#This Row],[Cap Out fund E&amp;G]],Input[[#This Row],[Cap Out fund Desg]],Input[[#This Row],[Cap Out fund R Exp]],Input[[#This Row],[Cap Out fund Loan]],Input[[#This Row],[Cap Out fund Annuity]],Input[[#This Row],[Cap Out fund Unexp]],Input[[#This Row],[Cap Out fund R of Ind]],Input[[#This Row],[Cap Out fund Inv in P]])</f>
        <v>10160564</v>
      </c>
      <c r="VP61" s="46">
        <f>SUM(Input[[#This Row],[Oth Exp E&amp;G]],Input[[#This Row],[Oth Exp Desg]],Input[[#This Row],[Oth Exp R Exp]],Input[[#This Row],[Oth Exp Loan]],Input[[#This Row],[Oth Exp Annuity]],Input[[#This Row],[Oth Exp Unexp]],Input[[#This Row],[Oth Exp R of Ind]],Input[[#This Row],[Oth Exp Inv in P]],Input[[#This Row],[Oth Exp Inv in P]])</f>
        <v>1806268</v>
      </c>
    </row>
    <row r="62" spans="1:588" ht="30" customHeight="1" x14ac:dyDescent="0.3">
      <c r="A62" s="15" t="s">
        <v>37</v>
      </c>
      <c r="B62" s="36" t="s">
        <v>109</v>
      </c>
      <c r="C62" s="36" t="s">
        <v>117</v>
      </c>
      <c r="D62" s="36">
        <v>912</v>
      </c>
      <c r="E62" s="36" t="s">
        <v>132</v>
      </c>
      <c r="F62" s="95" cm="1">
        <f t="array" ref="F62">IFERROR(_xlfn.IFS(Input[[#This Row],[Type]]="HRI",SUMIFS('FTSE | FTFE'!$I$8:$I$77,'FTSE | FTFE'!$H$8:$H$77,A62),Input[[#This Row],[Type]]="UNIV",SUMIFS('FTSE | FTFE'!$I$104:$I$139,'FTSE | FTFE'!$H$104:$H$139,A62),OR(Input[[#This Row],[Type]]="TSTC",Input[[#This Row],[Type]]="LSC"),SUMIFS('FTSE | FTFE'!$I$88:$I$96,'FTSE | FTFE'!$H$88:$H$96,A62)),"N/A")</f>
        <v>862</v>
      </c>
      <c r="G62" s="46">
        <v>156178265</v>
      </c>
      <c r="H62" s="46">
        <v>0</v>
      </c>
      <c r="I62" s="46">
        <v>0</v>
      </c>
      <c r="J62" s="46">
        <v>0</v>
      </c>
      <c r="K62" s="46">
        <v>0</v>
      </c>
      <c r="L62" s="46">
        <v>0</v>
      </c>
      <c r="M62" s="46">
        <v>0</v>
      </c>
      <c r="N62" s="46">
        <v>0</v>
      </c>
      <c r="O62" s="46">
        <v>0</v>
      </c>
      <c r="P62" s="46">
        <v>4191605</v>
      </c>
      <c r="Q62" s="46">
        <v>96664</v>
      </c>
      <c r="R62" s="46">
        <v>0</v>
      </c>
      <c r="S62" s="46">
        <v>6073441</v>
      </c>
      <c r="T62" s="46">
        <v>0</v>
      </c>
      <c r="U62" s="46">
        <v>0</v>
      </c>
      <c r="V62" s="46">
        <v>0</v>
      </c>
      <c r="W62" s="46">
        <v>0</v>
      </c>
      <c r="X62" s="46">
        <v>0</v>
      </c>
      <c r="Y62" s="46">
        <v>5725243</v>
      </c>
      <c r="Z62" s="46">
        <v>0</v>
      </c>
      <c r="AA62" s="46">
        <v>0</v>
      </c>
      <c r="AB62" s="46">
        <v>0</v>
      </c>
      <c r="AC62" s="46">
        <v>0</v>
      </c>
      <c r="AD62" s="46">
        <v>0</v>
      </c>
      <c r="AE62" s="46">
        <v>0</v>
      </c>
      <c r="AF62" s="46">
        <v>0</v>
      </c>
      <c r="AG62" s="46">
        <v>0</v>
      </c>
      <c r="AH62" s="46">
        <v>0</v>
      </c>
      <c r="AI62" s="46">
        <v>0</v>
      </c>
      <c r="AJ62" s="46">
        <v>0</v>
      </c>
      <c r="AK62" s="46">
        <v>0</v>
      </c>
      <c r="AL62" s="46">
        <v>0</v>
      </c>
      <c r="AM62" s="46">
        <v>0</v>
      </c>
      <c r="AN62" s="46">
        <v>0</v>
      </c>
      <c r="AO62" s="46">
        <v>0</v>
      </c>
      <c r="AP62" s="46">
        <v>0</v>
      </c>
      <c r="AQ62" s="46">
        <v>-462470</v>
      </c>
      <c r="AR62" s="46">
        <v>-136698</v>
      </c>
      <c r="AS62" s="46">
        <v>0</v>
      </c>
      <c r="AT62" s="46">
        <v>0</v>
      </c>
      <c r="AU62" s="46">
        <v>0</v>
      </c>
      <c r="AV62" s="46">
        <v>0</v>
      </c>
      <c r="AW62" s="46">
        <v>0</v>
      </c>
      <c r="AX62" s="46">
        <v>0</v>
      </c>
      <c r="AY62" s="46">
        <v>0</v>
      </c>
      <c r="AZ62" s="46">
        <v>0</v>
      </c>
      <c r="BA62" s="46">
        <v>0</v>
      </c>
      <c r="BB62" s="46">
        <v>0</v>
      </c>
      <c r="BC62" s="46">
        <v>0</v>
      </c>
      <c r="BD62" s="46">
        <v>0</v>
      </c>
      <c r="BE62" s="46">
        <v>0</v>
      </c>
      <c r="BF62" s="46">
        <v>0</v>
      </c>
      <c r="BG62" s="46">
        <v>0</v>
      </c>
      <c r="BH62" s="46">
        <v>0</v>
      </c>
      <c r="BI62" s="46">
        <v>0</v>
      </c>
      <c r="BJ62" s="46">
        <v>0</v>
      </c>
      <c r="BK62" s="46">
        <v>0</v>
      </c>
      <c r="BL62" s="46">
        <v>0</v>
      </c>
      <c r="BM62" s="46">
        <v>0</v>
      </c>
      <c r="BN62" s="46">
        <v>0</v>
      </c>
      <c r="BO62" s="46">
        <v>0</v>
      </c>
      <c r="BP62" s="46">
        <v>0</v>
      </c>
      <c r="BQ62" s="46">
        <v>0</v>
      </c>
      <c r="BR62" s="46">
        <v>0</v>
      </c>
      <c r="BS62" s="46">
        <v>0</v>
      </c>
      <c r="BT62" s="46">
        <v>0</v>
      </c>
      <c r="BU62" s="46">
        <v>0</v>
      </c>
      <c r="BV62" s="46">
        <v>0</v>
      </c>
      <c r="BW62" s="46">
        <v>0</v>
      </c>
      <c r="BX62" s="46">
        <v>0</v>
      </c>
      <c r="BY62" s="46">
        <v>0</v>
      </c>
      <c r="BZ62" s="46">
        <v>0</v>
      </c>
      <c r="CA62" s="46">
        <v>6276842</v>
      </c>
      <c r="CB62" s="46">
        <v>11644463</v>
      </c>
      <c r="CC62" s="46">
        <v>0</v>
      </c>
      <c r="CD62" s="46">
        <v>0</v>
      </c>
      <c r="CE62" s="46">
        <v>0</v>
      </c>
      <c r="CF62" s="46">
        <v>0</v>
      </c>
      <c r="CG62" s="46">
        <v>0</v>
      </c>
      <c r="CH62" s="46">
        <v>0</v>
      </c>
      <c r="CI62" s="46">
        <v>0</v>
      </c>
      <c r="CJ62" s="46">
        <v>0</v>
      </c>
      <c r="CK62" s="46">
        <v>0</v>
      </c>
      <c r="CL62" s="46">
        <v>0</v>
      </c>
      <c r="CM62" s="46">
        <v>0</v>
      </c>
      <c r="CN62" s="46">
        <v>0</v>
      </c>
      <c r="CO62" s="46">
        <v>0</v>
      </c>
      <c r="CP62" s="46">
        <v>0</v>
      </c>
      <c r="CQ62" s="46">
        <v>0</v>
      </c>
      <c r="CR62" s="46">
        <v>0</v>
      </c>
      <c r="CS62" s="46">
        <v>0</v>
      </c>
      <c r="CT62" s="46">
        <v>0</v>
      </c>
      <c r="CU62" s="46">
        <v>0</v>
      </c>
      <c r="CV62" s="46">
        <v>0</v>
      </c>
      <c r="CW62" s="46">
        <v>0</v>
      </c>
      <c r="CX62" s="46">
        <v>0</v>
      </c>
      <c r="CY62" s="46">
        <v>0</v>
      </c>
      <c r="CZ62" s="46">
        <v>0</v>
      </c>
      <c r="DA62" s="46">
        <v>0</v>
      </c>
      <c r="DB62" s="46">
        <v>-103713</v>
      </c>
      <c r="DC62" s="46">
        <v>-214731</v>
      </c>
      <c r="DD62" s="46">
        <v>0</v>
      </c>
      <c r="DE62" s="46">
        <v>0</v>
      </c>
      <c r="DF62" s="46">
        <v>0</v>
      </c>
      <c r="DG62" s="46">
        <v>0</v>
      </c>
      <c r="DH62" s="46">
        <v>0</v>
      </c>
      <c r="DI62" s="46">
        <v>0</v>
      </c>
      <c r="DJ62" s="46">
        <v>0</v>
      </c>
      <c r="DK62" s="46">
        <v>0</v>
      </c>
      <c r="DL62" s="46">
        <v>0</v>
      </c>
      <c r="DM62" s="46">
        <v>0</v>
      </c>
      <c r="DN62" s="46">
        <v>0</v>
      </c>
      <c r="DO62" s="46">
        <v>0</v>
      </c>
      <c r="DP62" s="46">
        <v>0</v>
      </c>
      <c r="DQ62" s="46">
        <v>0</v>
      </c>
      <c r="DR62" s="46">
        <v>0</v>
      </c>
      <c r="DS62" s="46">
        <v>0</v>
      </c>
      <c r="DT62" s="46">
        <v>-2735954</v>
      </c>
      <c r="DU62" s="46">
        <v>-3315065</v>
      </c>
      <c r="DV62" s="46">
        <v>0</v>
      </c>
      <c r="DW62" s="46">
        <v>0</v>
      </c>
      <c r="DX62" s="46">
        <v>0</v>
      </c>
      <c r="DY62" s="46">
        <v>0</v>
      </c>
      <c r="DZ62" s="46">
        <v>0</v>
      </c>
      <c r="EA62" s="46">
        <v>0</v>
      </c>
      <c r="EB62" s="46">
        <v>0</v>
      </c>
      <c r="EC62" s="46">
        <v>0</v>
      </c>
      <c r="ED62" s="46">
        <v>0</v>
      </c>
      <c r="EE62" s="46">
        <v>0</v>
      </c>
      <c r="EF62" s="46">
        <v>0</v>
      </c>
      <c r="EG62" s="46">
        <v>0</v>
      </c>
      <c r="EH62" s="46">
        <v>0</v>
      </c>
      <c r="EI62" s="46">
        <v>0</v>
      </c>
      <c r="EJ62" s="46">
        <v>0</v>
      </c>
      <c r="EK62" s="46">
        <v>0</v>
      </c>
      <c r="EL62" s="46">
        <v>0</v>
      </c>
      <c r="EM62" s="46">
        <v>0</v>
      </c>
      <c r="EN62" s="46">
        <v>0</v>
      </c>
      <c r="EO62" s="46">
        <v>0</v>
      </c>
      <c r="EP62" s="46">
        <v>0</v>
      </c>
      <c r="EQ62" s="46">
        <v>0</v>
      </c>
      <c r="ER62" s="46">
        <v>0</v>
      </c>
      <c r="ES62" s="46">
        <v>0</v>
      </c>
      <c r="ET62" s="46">
        <v>0</v>
      </c>
      <c r="EU62" s="46">
        <v>0</v>
      </c>
      <c r="EV62" s="46">
        <v>0</v>
      </c>
      <c r="EW62" s="46">
        <v>0</v>
      </c>
      <c r="EX62" s="46">
        <v>0</v>
      </c>
      <c r="EY62" s="46">
        <v>0</v>
      </c>
      <c r="EZ62" s="46">
        <v>0</v>
      </c>
      <c r="FA62" s="46">
        <v>0</v>
      </c>
      <c r="FB62" s="46">
        <v>0</v>
      </c>
      <c r="FC62" s="46">
        <v>0</v>
      </c>
      <c r="FD62" s="46">
        <v>0</v>
      </c>
      <c r="FE62" s="46">
        <v>0</v>
      </c>
      <c r="FF62" s="46">
        <v>0</v>
      </c>
      <c r="FG62" s="46">
        <v>0</v>
      </c>
      <c r="FH62" s="46">
        <v>0</v>
      </c>
      <c r="FI62" s="46">
        <v>0</v>
      </c>
      <c r="FJ62" s="46">
        <v>0</v>
      </c>
      <c r="FK62" s="46">
        <v>0</v>
      </c>
      <c r="FL62" s="46">
        <v>0</v>
      </c>
      <c r="FM62" s="46">
        <v>0</v>
      </c>
      <c r="FN62" s="46">
        <v>9291899</v>
      </c>
      <c r="FO62" s="46">
        <v>0</v>
      </c>
      <c r="FP62" s="46">
        <v>0</v>
      </c>
      <c r="FQ62" s="46">
        <v>0</v>
      </c>
      <c r="FR62" s="46">
        <v>0</v>
      </c>
      <c r="FS62" s="46">
        <v>0</v>
      </c>
      <c r="FT62" s="46">
        <v>0</v>
      </c>
      <c r="FU62" s="46">
        <v>0</v>
      </c>
      <c r="FV62" s="46">
        <v>0</v>
      </c>
      <c r="FW62" s="46">
        <v>0</v>
      </c>
      <c r="FX62" s="46">
        <v>0</v>
      </c>
      <c r="FY62" s="46">
        <v>0</v>
      </c>
      <c r="FZ62" s="46">
        <v>0</v>
      </c>
      <c r="GA62" s="46">
        <v>0</v>
      </c>
      <c r="GB62" s="46">
        <v>0</v>
      </c>
      <c r="GC62" s="46">
        <v>0</v>
      </c>
      <c r="GD62" s="46">
        <v>0</v>
      </c>
      <c r="GE62" s="46">
        <v>0</v>
      </c>
      <c r="GF62" s="46">
        <v>0</v>
      </c>
      <c r="GG62" s="46">
        <v>0</v>
      </c>
      <c r="GH62" s="46">
        <v>0</v>
      </c>
      <c r="GI62" s="46">
        <v>0</v>
      </c>
      <c r="GJ62" s="46">
        <v>0</v>
      </c>
      <c r="GK62" s="46">
        <v>0</v>
      </c>
      <c r="GL62" s="46">
        <v>0</v>
      </c>
      <c r="GM62" s="46">
        <v>0</v>
      </c>
      <c r="GN62" s="46">
        <v>0</v>
      </c>
      <c r="GO62" s="46">
        <v>-202069</v>
      </c>
      <c r="GP62" s="46">
        <v>0</v>
      </c>
      <c r="GQ62" s="46">
        <v>0</v>
      </c>
      <c r="GR62" s="46">
        <v>0</v>
      </c>
      <c r="GS62" s="46">
        <v>0</v>
      </c>
      <c r="GT62" s="46">
        <v>0</v>
      </c>
      <c r="GU62" s="46">
        <v>0</v>
      </c>
      <c r="GV62" s="46">
        <v>0</v>
      </c>
      <c r="GW62" s="46">
        <v>0</v>
      </c>
      <c r="GX62" s="46">
        <v>0</v>
      </c>
      <c r="GY62" s="46">
        <v>0</v>
      </c>
      <c r="GZ62" s="46">
        <v>0</v>
      </c>
      <c r="HA62" s="46">
        <v>0</v>
      </c>
      <c r="HB62" s="46">
        <v>0</v>
      </c>
      <c r="HC62" s="46">
        <v>0</v>
      </c>
      <c r="HD62" s="46">
        <v>0</v>
      </c>
      <c r="HE62" s="46">
        <v>0</v>
      </c>
      <c r="HF62" s="46">
        <v>0</v>
      </c>
      <c r="HG62" s="46">
        <v>0</v>
      </c>
      <c r="HH62" s="46">
        <v>0</v>
      </c>
      <c r="HI62" s="46">
        <v>0</v>
      </c>
      <c r="HJ62" s="46">
        <v>0</v>
      </c>
      <c r="HK62" s="46">
        <v>0</v>
      </c>
      <c r="HL62" s="46">
        <v>0</v>
      </c>
      <c r="HM62" s="46">
        <v>0</v>
      </c>
      <c r="HN62" s="46">
        <v>0</v>
      </c>
      <c r="HO62" s="46">
        <v>0</v>
      </c>
      <c r="HP62" s="46">
        <v>0</v>
      </c>
      <c r="HQ62" s="46">
        <v>0</v>
      </c>
      <c r="HR62" s="46">
        <v>7751792</v>
      </c>
      <c r="HS62" s="46">
        <v>0</v>
      </c>
      <c r="HT62" s="46">
        <v>0</v>
      </c>
      <c r="HU62" s="46">
        <v>0</v>
      </c>
      <c r="HV62" s="46">
        <v>0</v>
      </c>
      <c r="HW62" s="46">
        <v>0</v>
      </c>
      <c r="HX62" s="46">
        <v>0</v>
      </c>
      <c r="HY62" s="46">
        <v>58116917</v>
      </c>
      <c r="HZ62" s="46">
        <v>0</v>
      </c>
      <c r="IA62" s="46">
        <v>0</v>
      </c>
      <c r="IB62" s="46">
        <v>0</v>
      </c>
      <c r="IC62" s="46">
        <v>0</v>
      </c>
      <c r="ID62" s="46">
        <v>0</v>
      </c>
      <c r="IE62" s="46">
        <v>0</v>
      </c>
      <c r="IF62" s="46">
        <v>0</v>
      </c>
      <c r="IG62" s="46">
        <v>0</v>
      </c>
      <c r="IH62" s="46">
        <v>0</v>
      </c>
      <c r="II62" s="46">
        <v>0</v>
      </c>
      <c r="IJ62" s="46">
        <v>0</v>
      </c>
      <c r="IK62" s="46">
        <v>0</v>
      </c>
      <c r="IL62" s="46">
        <v>0</v>
      </c>
      <c r="IM62" s="46">
        <v>0</v>
      </c>
      <c r="IN62" s="46">
        <v>0</v>
      </c>
      <c r="IO62" s="46">
        <v>0</v>
      </c>
      <c r="IP62" s="46">
        <v>264268</v>
      </c>
      <c r="IQ62" s="46">
        <v>12661970</v>
      </c>
      <c r="IR62" s="46">
        <v>36506</v>
      </c>
      <c r="IS62" s="46">
        <v>3247553</v>
      </c>
      <c r="IT62" s="46">
        <v>45919</v>
      </c>
      <c r="IU62" s="46">
        <v>-1607865</v>
      </c>
      <c r="IV62" s="46">
        <v>238573</v>
      </c>
      <c r="IW62" s="46">
        <v>0</v>
      </c>
      <c r="IX62" s="46">
        <v>0</v>
      </c>
      <c r="IY62" s="46">
        <v>0</v>
      </c>
      <c r="IZ62" s="46">
        <v>81923278</v>
      </c>
      <c r="JA62" s="46">
        <v>0</v>
      </c>
      <c r="JB62" s="46">
        <v>332032</v>
      </c>
      <c r="JC62" s="46">
        <v>0</v>
      </c>
      <c r="JD62" s="46">
        <v>0</v>
      </c>
      <c r="JE62" s="46">
        <v>0</v>
      </c>
      <c r="JF62" s="46">
        <v>0</v>
      </c>
      <c r="JG62" s="46">
        <v>0</v>
      </c>
      <c r="JH62" s="46">
        <v>0</v>
      </c>
      <c r="JI62" s="46">
        <v>14988371</v>
      </c>
      <c r="JJ62" s="46">
        <v>0</v>
      </c>
      <c r="JK62" s="46">
        <v>19315325</v>
      </c>
      <c r="JL62" s="46">
        <v>0</v>
      </c>
      <c r="JM62" s="46">
        <v>0</v>
      </c>
      <c r="JN62" s="46">
        <v>6120</v>
      </c>
      <c r="JO62" s="46">
        <v>0</v>
      </c>
      <c r="JP62" s="46">
        <v>0</v>
      </c>
      <c r="JQ62" s="46">
        <v>0</v>
      </c>
      <c r="JR62" s="46">
        <v>491987</v>
      </c>
      <c r="JS62" s="46">
        <v>0</v>
      </c>
      <c r="JT62" s="46">
        <v>0</v>
      </c>
      <c r="JU62" s="46">
        <v>0</v>
      </c>
      <c r="JV62" s="46">
        <v>0</v>
      </c>
      <c r="JW62" s="46">
        <v>0</v>
      </c>
      <c r="JX62" s="46">
        <v>0</v>
      </c>
      <c r="JY62" s="46">
        <v>0</v>
      </c>
      <c r="JZ62" s="46">
        <v>0</v>
      </c>
      <c r="KA62" s="46">
        <v>0</v>
      </c>
      <c r="KB62" s="46">
        <v>446854</v>
      </c>
      <c r="KC62" s="46">
        <v>0</v>
      </c>
      <c r="KD62" s="46">
        <v>0</v>
      </c>
      <c r="KE62" s="46">
        <v>0</v>
      </c>
      <c r="KF62" s="46">
        <v>0</v>
      </c>
      <c r="KG62" s="46">
        <v>0</v>
      </c>
      <c r="KH62" s="46">
        <v>0</v>
      </c>
      <c r="KI62" s="46">
        <v>40285</v>
      </c>
      <c r="KJ62" s="46">
        <v>14955873</v>
      </c>
      <c r="KK62" s="46">
        <v>1073</v>
      </c>
      <c r="KL62" s="46">
        <v>0</v>
      </c>
      <c r="KM62" s="46">
        <v>0</v>
      </c>
      <c r="KN62" s="46">
        <v>0</v>
      </c>
      <c r="KO62" s="46">
        <v>0</v>
      </c>
      <c r="KP62" s="46">
        <v>0</v>
      </c>
      <c r="KQ62" s="46">
        <v>6727403</v>
      </c>
      <c r="KR62" s="46">
        <v>37238277</v>
      </c>
      <c r="KS62" s="46">
        <v>94248850</v>
      </c>
      <c r="KT62" s="46">
        <v>0</v>
      </c>
      <c r="KU62" s="46">
        <v>10508730</v>
      </c>
      <c r="KV62" s="46">
        <v>0</v>
      </c>
      <c r="KW62" s="46">
        <v>0</v>
      </c>
      <c r="KX62" s="46">
        <v>0</v>
      </c>
      <c r="KY62" s="46">
        <v>0</v>
      </c>
      <c r="KZ62" s="46">
        <v>0</v>
      </c>
      <c r="LA62" s="46">
        <v>1692299</v>
      </c>
      <c r="LB62" s="46">
        <v>4141667</v>
      </c>
      <c r="LC62" s="46">
        <v>0</v>
      </c>
      <c r="LD62" s="46">
        <v>5946255</v>
      </c>
      <c r="LE62" s="46">
        <v>0</v>
      </c>
      <c r="LF62" s="46">
        <v>0</v>
      </c>
      <c r="LG62" s="46">
        <v>0</v>
      </c>
      <c r="LH62" s="46">
        <v>0</v>
      </c>
      <c r="LI62" s="46">
        <v>0</v>
      </c>
      <c r="LJ62" s="46">
        <v>2710932</v>
      </c>
      <c r="LK62" s="46">
        <v>1237293</v>
      </c>
      <c r="LL62" s="46">
        <v>0</v>
      </c>
      <c r="LM62" s="46">
        <v>2561862</v>
      </c>
      <c r="LN62" s="46">
        <v>0</v>
      </c>
      <c r="LO62" s="46">
        <v>0</v>
      </c>
      <c r="LP62" s="46">
        <v>0</v>
      </c>
      <c r="LQ62" s="46">
        <v>0</v>
      </c>
      <c r="LR62" s="46">
        <v>0</v>
      </c>
      <c r="LS62" s="46">
        <v>2806318</v>
      </c>
      <c r="LT62" s="46">
        <v>34114229</v>
      </c>
      <c r="LU62" s="46">
        <v>0</v>
      </c>
      <c r="LV62" s="46">
        <v>872715</v>
      </c>
      <c r="LW62" s="46">
        <v>0</v>
      </c>
      <c r="LX62" s="46">
        <v>0</v>
      </c>
      <c r="LY62" s="46">
        <v>0</v>
      </c>
      <c r="LZ62" s="46">
        <v>0</v>
      </c>
      <c r="MA62" s="46">
        <v>0</v>
      </c>
      <c r="MB62" s="46">
        <v>20676702</v>
      </c>
      <c r="MC62" s="46">
        <v>34958027</v>
      </c>
      <c r="MD62" s="46">
        <v>0</v>
      </c>
      <c r="ME62" s="46">
        <v>1481555</v>
      </c>
      <c r="MF62" s="46">
        <v>0</v>
      </c>
      <c r="MG62" s="46">
        <v>0</v>
      </c>
      <c r="MH62" s="46">
        <v>0</v>
      </c>
      <c r="MI62" s="46">
        <v>0</v>
      </c>
      <c r="MJ62" s="46">
        <v>0</v>
      </c>
      <c r="MK62" s="46">
        <v>1218742</v>
      </c>
      <c r="ML62" s="46">
        <v>4679096</v>
      </c>
      <c r="MM62" s="46">
        <v>0</v>
      </c>
      <c r="MN62" s="46">
        <v>4682</v>
      </c>
      <c r="MO62" s="46">
        <v>3073</v>
      </c>
      <c r="MP62" s="46">
        <v>0</v>
      </c>
      <c r="MQ62" s="46">
        <v>0</v>
      </c>
      <c r="MR62" s="46">
        <v>0</v>
      </c>
      <c r="MS62" s="46">
        <v>0</v>
      </c>
      <c r="MT62" s="46">
        <v>15293545</v>
      </c>
      <c r="MU62" s="46">
        <v>6892220</v>
      </c>
      <c r="MV62" s="46">
        <v>0</v>
      </c>
      <c r="MW62" s="46">
        <v>502794</v>
      </c>
      <c r="MX62" s="46">
        <v>0</v>
      </c>
      <c r="MY62" s="46">
        <v>0</v>
      </c>
      <c r="MZ62" s="46">
        <v>0</v>
      </c>
      <c r="NA62" s="46">
        <v>0</v>
      </c>
      <c r="NB62" s="46">
        <v>0</v>
      </c>
      <c r="NC62" s="46">
        <v>7222405</v>
      </c>
      <c r="ND62" s="46">
        <v>6114147</v>
      </c>
      <c r="NE62" s="46">
        <v>0</v>
      </c>
      <c r="NF62" s="46">
        <v>19846</v>
      </c>
      <c r="NG62" s="46">
        <v>0</v>
      </c>
      <c r="NH62" s="46">
        <v>0</v>
      </c>
      <c r="NI62" s="46">
        <v>2617202</v>
      </c>
      <c r="NJ62" s="46">
        <v>0</v>
      </c>
      <c r="NK62" s="46">
        <v>0</v>
      </c>
      <c r="NL62" s="46">
        <v>0</v>
      </c>
      <c r="NM62" s="46">
        <v>22621</v>
      </c>
      <c r="NN62" s="46">
        <v>0</v>
      </c>
      <c r="NO62" s="46">
        <v>123914</v>
      </c>
      <c r="NP62" s="46">
        <v>16000</v>
      </c>
      <c r="NQ62" s="46">
        <v>0</v>
      </c>
      <c r="NR62" s="46">
        <v>0</v>
      </c>
      <c r="NS62" s="46">
        <v>0</v>
      </c>
      <c r="NT62" s="46">
        <v>0</v>
      </c>
      <c r="NU62" s="46">
        <v>0</v>
      </c>
      <c r="NV62" s="46">
        <v>0</v>
      </c>
      <c r="NW62" s="46">
        <v>272833</v>
      </c>
      <c r="NX62" s="46">
        <v>0</v>
      </c>
      <c r="NY62" s="46">
        <v>0</v>
      </c>
      <c r="NZ62" s="46">
        <v>0</v>
      </c>
      <c r="OA62" s="46">
        <v>0</v>
      </c>
      <c r="OB62" s="46">
        <v>0</v>
      </c>
      <c r="OC62" s="46">
        <v>0</v>
      </c>
      <c r="OD62" s="46">
        <v>1264029</v>
      </c>
      <c r="OE62" s="46">
        <v>6650937</v>
      </c>
      <c r="OF62" s="46">
        <v>0</v>
      </c>
      <c r="OG62" s="46">
        <v>57950</v>
      </c>
      <c r="OH62" s="46">
        <v>0</v>
      </c>
      <c r="OI62" s="46">
        <v>0</v>
      </c>
      <c r="OJ62" s="46">
        <v>0</v>
      </c>
      <c r="OK62" s="46">
        <v>0</v>
      </c>
      <c r="OL62" s="46">
        <v>0</v>
      </c>
      <c r="OM62" s="46">
        <v>0</v>
      </c>
      <c r="ON62" s="46">
        <v>0</v>
      </c>
      <c r="OO62" s="46">
        <v>0</v>
      </c>
      <c r="OP62" s="46">
        <v>0</v>
      </c>
      <c r="OQ62" s="46">
        <v>0</v>
      </c>
      <c r="OR62" s="46">
        <v>0</v>
      </c>
      <c r="OS62" s="46">
        <v>0</v>
      </c>
      <c r="OT62" s="46">
        <v>0</v>
      </c>
      <c r="OU62" s="46">
        <v>434161</v>
      </c>
      <c r="OV62" s="46">
        <v>0</v>
      </c>
      <c r="OW62" s="46">
        <v>0</v>
      </c>
      <c r="OX62" s="46">
        <v>0</v>
      </c>
      <c r="OY62" s="46">
        <v>0</v>
      </c>
      <c r="OZ62" s="46">
        <v>0</v>
      </c>
      <c r="PA62" s="46">
        <v>0</v>
      </c>
      <c r="PB62" s="46">
        <v>-28667298</v>
      </c>
      <c r="PC62" s="46">
        <v>0</v>
      </c>
      <c r="PD62" s="46">
        <v>0</v>
      </c>
      <c r="PE62" s="46">
        <v>-42473354</v>
      </c>
      <c r="PF62" s="46">
        <v>-15995809</v>
      </c>
      <c r="PG62" s="46">
        <v>0</v>
      </c>
      <c r="PH62" s="46">
        <v>-6176410</v>
      </c>
      <c r="PI62" s="46">
        <v>0</v>
      </c>
      <c r="PJ62" s="46">
        <v>483758</v>
      </c>
      <c r="PK62" s="46">
        <v>67288545</v>
      </c>
      <c r="PL62" s="46">
        <v>0</v>
      </c>
      <c r="PM62" s="46">
        <v>0</v>
      </c>
      <c r="PN62" s="46">
        <v>0</v>
      </c>
      <c r="PO62" s="46">
        <v>0</v>
      </c>
      <c r="PP62" s="46">
        <v>0</v>
      </c>
      <c r="PQ62" s="46">
        <v>0</v>
      </c>
      <c r="PR62" s="46">
        <v>0</v>
      </c>
      <c r="PS62" s="46">
        <v>0</v>
      </c>
      <c r="PT62" s="46">
        <v>8108340</v>
      </c>
      <c r="PU62" s="46">
        <v>0</v>
      </c>
      <c r="PV62" s="46">
        <v>0</v>
      </c>
      <c r="PW62" s="46">
        <v>-16100413</v>
      </c>
      <c r="PX62" s="46">
        <v>-5653984</v>
      </c>
      <c r="PY62" s="46">
        <v>0</v>
      </c>
      <c r="PZ62" s="46">
        <v>0</v>
      </c>
      <c r="QA62" s="46">
        <v>0</v>
      </c>
      <c r="QB62" s="46">
        <v>0</v>
      </c>
      <c r="QC62" s="46">
        <v>-617838</v>
      </c>
      <c r="QD62" s="46">
        <v>0</v>
      </c>
      <c r="QE62" s="46">
        <v>0</v>
      </c>
      <c r="QF62" s="46">
        <v>0</v>
      </c>
      <c r="QG62" s="46">
        <v>11997048</v>
      </c>
      <c r="QH62" s="46">
        <v>0</v>
      </c>
      <c r="QI62" s="46">
        <v>2839756</v>
      </c>
      <c r="QJ62" s="46">
        <v>0</v>
      </c>
      <c r="QK62" s="46">
        <v>5156572</v>
      </c>
      <c r="QL62" s="46">
        <v>0</v>
      </c>
      <c r="QM62" s="46">
        <v>0</v>
      </c>
      <c r="QN62" s="46">
        <v>0</v>
      </c>
      <c r="QO62" s="46">
        <v>0</v>
      </c>
      <c r="QP62" s="46">
        <v>0</v>
      </c>
      <c r="QQ62" s="46">
        <v>0</v>
      </c>
      <c r="QR62" s="46">
        <v>0</v>
      </c>
      <c r="QS62" s="46">
        <v>0</v>
      </c>
      <c r="QT62" s="46">
        <v>71459</v>
      </c>
      <c r="QU62" s="46">
        <v>0</v>
      </c>
      <c r="QV62" s="46">
        <v>0</v>
      </c>
      <c r="QW62" s="46">
        <v>0</v>
      </c>
      <c r="QX62" s="46">
        <v>0</v>
      </c>
      <c r="QY62" s="46">
        <v>0</v>
      </c>
      <c r="QZ62" s="46">
        <v>0</v>
      </c>
      <c r="RA62" s="46">
        <v>0</v>
      </c>
      <c r="RB62" s="46">
        <v>0</v>
      </c>
      <c r="RC62" s="46">
        <v>0</v>
      </c>
      <c r="RD62" s="46">
        <v>0</v>
      </c>
      <c r="RE62" s="46">
        <v>0</v>
      </c>
      <c r="RF62" s="46">
        <v>0</v>
      </c>
      <c r="RG62" s="46">
        <v>0</v>
      </c>
      <c r="RH62" s="46">
        <v>0</v>
      </c>
      <c r="RI62" s="46">
        <v>0</v>
      </c>
      <c r="RJ62" s="46">
        <v>0</v>
      </c>
      <c r="RK62" s="46">
        <v>0</v>
      </c>
      <c r="RL62" s="46">
        <v>0</v>
      </c>
      <c r="RM62" s="46">
        <v>0</v>
      </c>
      <c r="RN62" s="46">
        <v>0</v>
      </c>
      <c r="RO62" s="46">
        <v>-21306011</v>
      </c>
      <c r="RP62" s="46">
        <v>0</v>
      </c>
      <c r="RQ62" s="46">
        <v>0</v>
      </c>
      <c r="RR62" s="46">
        <v>0</v>
      </c>
      <c r="RS62" s="46">
        <v>0</v>
      </c>
      <c r="RT62" s="46">
        <v>0</v>
      </c>
      <c r="RU62" s="46">
        <v>0</v>
      </c>
      <c r="RV62" s="46">
        <v>0</v>
      </c>
      <c r="RW62" s="46">
        <v>0</v>
      </c>
      <c r="RX62" s="46">
        <v>-5550</v>
      </c>
      <c r="RY62" s="46">
        <v>0</v>
      </c>
      <c r="RZ62" s="46">
        <v>0</v>
      </c>
      <c r="SA62" s="46">
        <v>0</v>
      </c>
      <c r="SB62" s="46">
        <v>0</v>
      </c>
      <c r="SC62" s="46">
        <v>0</v>
      </c>
      <c r="SD62" s="46">
        <v>0</v>
      </c>
      <c r="SE62" s="46">
        <v>0</v>
      </c>
      <c r="SF62" s="46">
        <v>0</v>
      </c>
      <c r="SG62" s="46">
        <v>0</v>
      </c>
      <c r="SH62" s="46">
        <v>0</v>
      </c>
      <c r="SI62" s="46">
        <v>0</v>
      </c>
      <c r="SJ62" s="46">
        <v>0</v>
      </c>
      <c r="SK62" s="46">
        <v>0</v>
      </c>
      <c r="SL62" s="46">
        <v>0</v>
      </c>
      <c r="SM62" s="46">
        <v>0</v>
      </c>
      <c r="SN62" s="46">
        <v>0</v>
      </c>
      <c r="SO62" s="46">
        <v>0</v>
      </c>
      <c r="SP62" s="46">
        <v>180691</v>
      </c>
      <c r="SQ62" s="46">
        <v>1264029</v>
      </c>
      <c r="SR62" s="46">
        <v>6650937</v>
      </c>
      <c r="SS62" s="46">
        <v>0</v>
      </c>
      <c r="ST62" s="46">
        <v>57950</v>
      </c>
      <c r="SU62" s="46">
        <v>0</v>
      </c>
      <c r="SV62" s="46">
        <v>0</v>
      </c>
      <c r="SW62" s="46">
        <v>28667298</v>
      </c>
      <c r="SX62" s="46">
        <v>0</v>
      </c>
      <c r="SY62" s="46">
        <v>0</v>
      </c>
      <c r="SZ62" s="46">
        <v>443199</v>
      </c>
      <c r="TA62" s="46">
        <v>557219</v>
      </c>
      <c r="TB62" s="46">
        <v>372929</v>
      </c>
      <c r="TC62" s="46">
        <v>1142001</v>
      </c>
      <c r="TD62" s="46">
        <v>4169120</v>
      </c>
      <c r="TE62" s="46">
        <v>124609</v>
      </c>
      <c r="TF62" s="46">
        <v>1033522</v>
      </c>
      <c r="TG62" s="46">
        <v>130317</v>
      </c>
      <c r="TH62" s="46">
        <v>0</v>
      </c>
      <c r="TI62" s="46">
        <v>0</v>
      </c>
      <c r="TJ62" s="46">
        <v>0</v>
      </c>
      <c r="TK62" s="46">
        <v>0</v>
      </c>
      <c r="TL62" s="46">
        <v>33757</v>
      </c>
      <c r="TM62" s="46">
        <v>0</v>
      </c>
      <c r="TN62" s="46">
        <v>0</v>
      </c>
      <c r="TO62" s="46">
        <v>0</v>
      </c>
      <c r="TP62" s="46">
        <v>0</v>
      </c>
      <c r="TQ62" s="46">
        <v>0</v>
      </c>
      <c r="TR62" s="46">
        <v>0</v>
      </c>
      <c r="TS62" s="46">
        <v>0</v>
      </c>
      <c r="TT62" s="46">
        <v>0</v>
      </c>
      <c r="TU62" s="46">
        <v>122989</v>
      </c>
      <c r="TV62" s="46">
        <v>0</v>
      </c>
      <c r="TW62" s="46">
        <v>0</v>
      </c>
      <c r="TX62" s="46">
        <v>0</v>
      </c>
      <c r="TY62" s="46">
        <v>0</v>
      </c>
      <c r="TZ62" s="46">
        <v>0</v>
      </c>
      <c r="UA62" s="46">
        <v>0</v>
      </c>
      <c r="UB62" s="46">
        <v>0</v>
      </c>
      <c r="UC62" s="46">
        <v>0</v>
      </c>
      <c r="UD62" s="46">
        <v>0</v>
      </c>
      <c r="UE62" s="46">
        <v>141995857</v>
      </c>
      <c r="UF62" s="46">
        <v>11780221</v>
      </c>
      <c r="UG62" s="46">
        <v>6510087</v>
      </c>
      <c r="UH62" s="46">
        <v>37793262</v>
      </c>
      <c r="UI62" s="46">
        <v>57116284</v>
      </c>
      <c r="UJ62" s="46">
        <v>5905593</v>
      </c>
      <c r="UK62" s="46">
        <v>22688559</v>
      </c>
      <c r="UL62" s="46">
        <v>15973600</v>
      </c>
      <c r="UM62" s="46">
        <v>162535</v>
      </c>
      <c r="UN62" s="46">
        <v>272833</v>
      </c>
      <c r="UO62"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7972916</v>
      </c>
      <c r="UP62" s="46">
        <f>SUM(Input[[#This Row],[Oth Exp E&amp;G]],Input[[#This Row],[Oth Exp Desg]],Input[[#This Row],[Oth Exp Aux]],Input[[#This Row],[Oth Exp R Exp]],Input[[#This Row],[Oth Exp Loan]],Input[[#This Row],[Oth Exp Annuity]],Input[[#This Row],[Oth Exp Unexp]],Input[[#This Row],[Oth Exp R of Ind]],Input[[#This Row],[Oth Exp Inv in P]])</f>
        <v>434161</v>
      </c>
      <c r="UQ62" s="46"/>
      <c r="UR62" s="46"/>
      <c r="US62" s="8" t="s">
        <v>817</v>
      </c>
      <c r="UT62" s="47">
        <v>9152155381</v>
      </c>
      <c r="UU62" s="8" t="s">
        <v>90</v>
      </c>
      <c r="UV62" s="8" t="s">
        <v>818</v>
      </c>
      <c r="UW62" s="47">
        <v>9152155045</v>
      </c>
      <c r="UX62" s="8" t="s">
        <v>819</v>
      </c>
      <c r="UY62" s="51" cm="1">
        <f t="array" ref="UY62">IFERROR(_xlfn.IFS(Input[[#This Row],[Type]]="HRI",SUMIFS('FTSE | FTFE'!$P$8:$P$77,'FTSE | FTFE'!$H$8:$H$77,A62),Input[[#This Row],[Type]]="UNIV",SUMIFS('FTSE | FTFE'!$P$104:$P$139,'FTSE | FTFE'!$H$104:$H$139,A62),OR(Input[[#This Row],[Type]]="TSTC",Input[[#This Row],[Type]]="LSC"),SUMIFS('FTSE | FTFE'!$O$88:$O$96,'FTSE | FTFE'!$H$88:$H$96,A62),Input[[#This Row],[Type]]="AHM",SUMIFS(Hidden!$H$42:$H$45,Hidden!$G$42:$G$45,A62)),"N/A")</f>
        <v>1090</v>
      </c>
      <c r="UZ62" s="51" cm="1">
        <f t="array" ref="UZ62">IFERROR(_xlfn.IFS(Input[[#This Row],[Type]]="HRI",SUMIFS('FTSE | FTFE'!$Q$8:$Q$77,'FTSE | FTFE'!$H$8:$H$77,A62),Input[[#This Row],[Type]]="UNIV",SUMIFS('FTSE | FTFE'!$Q$104:$Q$139,'FTSE | FTFE'!$H$104:$H$139,A62),OR(Input[[#This Row],[Type]]="TSTC",Input[[#This Row],[Type]]="LSC"),SUMIFS('FTSE | FTFE'!$P$88:$P$96,'FTSE | FTFE'!$H$88:$H$96,A62)),"N/A")</f>
        <v>14.04</v>
      </c>
      <c r="VA6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166539975</v>
      </c>
      <c r="VB6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5725243</v>
      </c>
      <c r="VC62" s="46">
        <f>SUM(Input[[#This Row],[Fed G&amp;C E&amp;G]],Input[[#This Row],[Fed G&amp;C Desg]],Input[[#This Row],[Fed G&amp;C R Exp]],Input[[#This Row],[Fed G&amp;C Loan]],Input[[#This Row],[Fed G&amp;C Annuity]],Input[[#This Row],[Fed G&amp;C Unexp]],Input[[#This Row],[Fed G&amp;C R of Ind]],Input[[#This Row],[Fed G&amp;C Inv in P]])</f>
        <v>7751792</v>
      </c>
      <c r="VD6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153631092</v>
      </c>
      <c r="VE6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11551842</v>
      </c>
      <c r="VF6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9089830</v>
      </c>
      <c r="VG62" s="46">
        <f>SUM(Input[[#This Row],[Oth Inc E&amp;G]],Input[[#This Row],[Oth Exp Desg]],Input[[#This Row],[Oth Exp R Exp]],Input[[#This Row],[Oth Exp Loan]],Input[[#This Row],[Oth Exp Annuity]],Input[[#This Row],[Oth Exp Unexp]],Input[[#This Row],[Oth Exp R of Ind]],Input[[#This Row],[Oth Exp Inv in P]])</f>
        <v>474446</v>
      </c>
      <c r="VH62" s="46">
        <f>SUM(Input[[#This Row],[Instr E&amp;G]],Input[[#This Row],[Instr Desg]],Input[[#This Row],[Instr R Exp]],Input[[#This Row],[Instr Loan]],Input[[#This Row],[Instr Annuity]],Input[[#This Row],[Instr Unexp]],Input[[#This Row],[Instr R of Ind]],Input[[#This Row],[Instr Inv in P]])</f>
        <v>141995857</v>
      </c>
      <c r="VI62" s="46">
        <f>SUM(Input[[#This Row],[Res E&amp;G]],Input[[#This Row],[Res Desg]],Input[[#This Row],[Res R Exp]],Input[[#This Row],[Res Loan]],Input[[#This Row],[Res Annuity]],Input[[#This Row],[Res Unexp]],Input[[#This Row],[Res R of Ind]],Input[[#This Row],[Res Inv in P]])</f>
        <v>11780221</v>
      </c>
      <c r="VJ62" s="46">
        <f>SUM(Input[[#This Row],[Acad Sup E&amp;G]],Input[[#This Row],[Acad Sup Desg]],Input[[#This Row],[Acad Sup R Exp]],Input[[#This Row],[Acad Sup Loan]],Input[[#This Row],[Acad Sup Annuity]],Input[[#This Row],[Acad Sup Unexp]],Input[[#This Row],[Acad Sup R of Ind]],Input[[#This Row],[Acad Sup Inv in P]])</f>
        <v>57116284</v>
      </c>
      <c r="VK62" s="46">
        <f>SUM(Input[[#This Row],[Stu Svc E&amp;G]],Input[[#This Row],[Stu Svc Desg]],Input[[#This Row],[Stu Svc R Exp]],Input[[#This Row],[Stu Svc Loan]],Input[[#This Row],[Stu Svc Annuity]],Input[[#This Row],[Stu Svc Unexp]],Input[[#This Row],[Stu Svc R of Ind]],Input[[#This Row],[Stu Svc Inv in P]])</f>
        <v>5905593</v>
      </c>
      <c r="VL62" s="46">
        <f>SUM(Input[[#This Row],[Inst. Spt E&amp;G]],Input[[#This Row],[Inst. Spt Desg]],Input[[#This Row],[Inst. Spt R Exp]],Input[[#This Row],[Inst. Spt Loan]],Input[[#This Row],[Inst. Spt Annuity]],Input[[#This Row],[Inst. Spt Unexp]],Input[[#This Row],[Inst. Spt R of Ind]],Input[[#This Row],[Inst. Spt Inv in P]])</f>
        <v>22688559</v>
      </c>
      <c r="VM62" s="46">
        <f>SUM(Input[[#This Row],[M&amp;O Plnt E&amp;G]],Input[[#This Row],[M&amp;O Plnt Desg]],Input[[#This Row],[M&amp;O Plnt R Exp]],Input[[#This Row],[M&amp;O Plnt Loan]],Input[[#This Row],[M&amp;O Plnt Annuity]],Input[[#This Row],[M&amp;O Plnt Unexp]],Input[[#This Row],[M&amp;O Plnt R of Ind]],Input[[#This Row],[M&amp;O Plnt Inv in P]])</f>
        <v>15973600</v>
      </c>
      <c r="VN62" s="46">
        <f>SUM(Input[[#This Row],[Schl &amp; Fell E&amp;G]],Input[[#This Row],[Schl &amp; Fell Desg]],Input[[#This Row],[Schl &amp; Fell R Exp]],Input[[#This Row],[Schl &amp; Fell Loan]],Input[[#This Row],[Schl &amp; Fell Annuity]],Input[[#This Row],[Schl &amp; Fell Unexp]],Input[[#This Row],[Schl &amp; Fell R of Ind]],Input[[#This Row],[Schl &amp; Fell Inv in P]])</f>
        <v>162535</v>
      </c>
      <c r="VO62" s="46">
        <f>SUM(Input[[#This Row],[Cap Out fund E&amp;G]],Input[[#This Row],[Cap Out fund Desg]],Input[[#This Row],[Cap Out fund R Exp]],Input[[#This Row],[Cap Out fund Loan]],Input[[#This Row],[Cap Out fund Annuity]],Input[[#This Row],[Cap Out fund Unexp]],Input[[#This Row],[Cap Out fund R of Ind]],Input[[#This Row],[Cap Out fund Inv in P]])</f>
        <v>7972916</v>
      </c>
      <c r="VP62" s="46">
        <f>SUM(Input[[#This Row],[Oth Exp E&amp;G]],Input[[#This Row],[Oth Exp Desg]],Input[[#This Row],[Oth Exp R Exp]],Input[[#This Row],[Oth Exp Loan]],Input[[#This Row],[Oth Exp Annuity]],Input[[#This Row],[Oth Exp Unexp]],Input[[#This Row],[Oth Exp R of Ind]],Input[[#This Row],[Oth Exp Inv in P]],Input[[#This Row],[Oth Exp Inv in P]])</f>
        <v>868322</v>
      </c>
    </row>
    <row r="63" spans="1:588" ht="30" customHeight="1" x14ac:dyDescent="0.3">
      <c r="A63" s="15" t="s">
        <v>44</v>
      </c>
      <c r="B63" s="36" t="s">
        <v>106</v>
      </c>
      <c r="C63" s="36" t="s">
        <v>117</v>
      </c>
      <c r="D63" s="36">
        <v>913</v>
      </c>
      <c r="E63" s="36" t="s">
        <v>134</v>
      </c>
      <c r="F63" s="95" cm="1">
        <f t="array" ref="F63">IFERROR(_xlfn.IFS(Input[[#This Row],[Type]]="HRI",SUMIFS('FTSE | FTFE'!$I$8:$I$77,'FTSE | FTFE'!$H$8:$H$77,A63),Input[[#This Row],[Type]]="UNIV",SUMIFS('FTSE | FTFE'!$I$104:$I$139,'FTSE | FTFE'!$H$104:$H$139,A63),OR(Input[[#This Row],[Type]]="TSTC",Input[[#This Row],[Type]]="LSC"),SUMIFS('FTSE | FTFE'!$I$88:$I$96,'FTSE | FTFE'!$H$88:$H$96,A63)),"N/A")</f>
        <v>203652</v>
      </c>
      <c r="G63" s="46">
        <v>20036680</v>
      </c>
      <c r="H63" s="46">
        <v>0</v>
      </c>
      <c r="I63" s="46">
        <v>0</v>
      </c>
      <c r="J63" s="46">
        <v>0</v>
      </c>
      <c r="K63" s="46">
        <v>0</v>
      </c>
      <c r="L63" s="46">
        <v>0</v>
      </c>
      <c r="M63" s="46">
        <v>0</v>
      </c>
      <c r="N63" s="46">
        <v>0</v>
      </c>
      <c r="O63" s="46">
        <v>0</v>
      </c>
      <c r="P63" s="46">
        <v>0</v>
      </c>
      <c r="Q63" s="46">
        <v>0</v>
      </c>
      <c r="R63" s="46">
        <v>0</v>
      </c>
      <c r="S63" s="46">
        <v>12802</v>
      </c>
      <c r="T63" s="46">
        <v>0</v>
      </c>
      <c r="U63" s="46">
        <v>0</v>
      </c>
      <c r="V63" s="46">
        <v>0</v>
      </c>
      <c r="W63" s="46">
        <v>0</v>
      </c>
      <c r="X63" s="46">
        <v>0</v>
      </c>
      <c r="Y63" s="46">
        <v>0</v>
      </c>
      <c r="Z63" s="46">
        <v>0</v>
      </c>
      <c r="AA63" s="46">
        <v>0</v>
      </c>
      <c r="AB63" s="46">
        <v>0</v>
      </c>
      <c r="AC63" s="46">
        <v>0</v>
      </c>
      <c r="AD63" s="46">
        <v>0</v>
      </c>
      <c r="AE63" s="46">
        <v>0</v>
      </c>
      <c r="AF63" s="46">
        <v>0</v>
      </c>
      <c r="AG63" s="46">
        <v>0</v>
      </c>
      <c r="AH63" s="46">
        <v>0</v>
      </c>
      <c r="AI63" s="46">
        <v>0</v>
      </c>
      <c r="AJ63" s="46">
        <v>0</v>
      </c>
      <c r="AK63" s="46">
        <v>0</v>
      </c>
      <c r="AL63" s="46">
        <v>0</v>
      </c>
      <c r="AM63" s="46">
        <v>0</v>
      </c>
      <c r="AN63" s="46">
        <v>0</v>
      </c>
      <c r="AO63" s="46">
        <v>0</v>
      </c>
      <c r="AP63" s="46">
        <v>0</v>
      </c>
      <c r="AQ63" s="46">
        <v>0</v>
      </c>
      <c r="AR63" s="46">
        <v>0</v>
      </c>
      <c r="AS63" s="46">
        <v>0</v>
      </c>
      <c r="AT63" s="46">
        <v>0</v>
      </c>
      <c r="AU63" s="46">
        <v>0</v>
      </c>
      <c r="AV63" s="46">
        <v>0</v>
      </c>
      <c r="AW63" s="46">
        <v>0</v>
      </c>
      <c r="AX63" s="46">
        <v>0</v>
      </c>
      <c r="AY63" s="46">
        <v>0</v>
      </c>
      <c r="AZ63" s="46">
        <v>0</v>
      </c>
      <c r="BA63" s="46">
        <v>0</v>
      </c>
      <c r="BB63" s="46">
        <v>0</v>
      </c>
      <c r="BC63" s="46">
        <v>0</v>
      </c>
      <c r="BD63" s="46">
        <v>0</v>
      </c>
      <c r="BE63" s="46">
        <v>0</v>
      </c>
      <c r="BF63" s="46">
        <v>0</v>
      </c>
      <c r="BG63" s="46">
        <v>0</v>
      </c>
      <c r="BH63" s="46">
        <v>0</v>
      </c>
      <c r="BI63" s="46">
        <v>0</v>
      </c>
      <c r="BJ63" s="46">
        <v>0</v>
      </c>
      <c r="BK63" s="46">
        <v>0</v>
      </c>
      <c r="BL63" s="46">
        <v>0</v>
      </c>
      <c r="BM63" s="46">
        <v>0</v>
      </c>
      <c r="BN63" s="46">
        <v>0</v>
      </c>
      <c r="BO63" s="46">
        <v>0</v>
      </c>
      <c r="BP63" s="46">
        <v>0</v>
      </c>
      <c r="BQ63" s="46">
        <v>0</v>
      </c>
      <c r="BR63" s="46">
        <v>0</v>
      </c>
      <c r="BS63" s="46">
        <v>0</v>
      </c>
      <c r="BT63" s="46">
        <v>0</v>
      </c>
      <c r="BU63" s="46">
        <v>0</v>
      </c>
      <c r="BV63" s="46">
        <v>0</v>
      </c>
      <c r="BW63" s="46">
        <v>0</v>
      </c>
      <c r="BX63" s="46">
        <v>0</v>
      </c>
      <c r="BY63" s="46">
        <v>0</v>
      </c>
      <c r="BZ63" s="46">
        <v>0</v>
      </c>
      <c r="CA63" s="46">
        <v>2663201</v>
      </c>
      <c r="CB63" s="46">
        <v>1175165</v>
      </c>
      <c r="CC63" s="46">
        <v>0</v>
      </c>
      <c r="CD63" s="46">
        <v>0</v>
      </c>
      <c r="CE63" s="46">
        <v>0</v>
      </c>
      <c r="CF63" s="46">
        <v>0</v>
      </c>
      <c r="CG63" s="46">
        <v>0</v>
      </c>
      <c r="CH63" s="46">
        <v>0</v>
      </c>
      <c r="CI63" s="46">
        <v>0</v>
      </c>
      <c r="CJ63" s="46">
        <v>0</v>
      </c>
      <c r="CK63" s="46">
        <v>0</v>
      </c>
      <c r="CL63" s="46">
        <v>0</v>
      </c>
      <c r="CM63" s="46">
        <v>0</v>
      </c>
      <c r="CN63" s="46">
        <v>0</v>
      </c>
      <c r="CO63" s="46">
        <v>0</v>
      </c>
      <c r="CP63" s="46">
        <v>0</v>
      </c>
      <c r="CQ63" s="46">
        <v>0</v>
      </c>
      <c r="CR63" s="46">
        <v>0</v>
      </c>
      <c r="CS63" s="46">
        <v>0</v>
      </c>
      <c r="CT63" s="46">
        <v>0</v>
      </c>
      <c r="CU63" s="46">
        <v>0</v>
      </c>
      <c r="CV63" s="46">
        <v>0</v>
      </c>
      <c r="CW63" s="46">
        <v>0</v>
      </c>
      <c r="CX63" s="46">
        <v>0</v>
      </c>
      <c r="CY63" s="46">
        <v>0</v>
      </c>
      <c r="CZ63" s="46">
        <v>0</v>
      </c>
      <c r="DA63" s="46">
        <v>0</v>
      </c>
      <c r="DB63" s="46">
        <v>-13100</v>
      </c>
      <c r="DC63" s="46">
        <v>-6400</v>
      </c>
      <c r="DD63" s="46">
        <v>0</v>
      </c>
      <c r="DE63" s="46">
        <v>0</v>
      </c>
      <c r="DF63" s="46">
        <v>0</v>
      </c>
      <c r="DG63" s="46">
        <v>0</v>
      </c>
      <c r="DH63" s="46">
        <v>0</v>
      </c>
      <c r="DI63" s="46">
        <v>0</v>
      </c>
      <c r="DJ63" s="46">
        <v>0</v>
      </c>
      <c r="DK63" s="46">
        <v>0</v>
      </c>
      <c r="DL63" s="46">
        <v>0</v>
      </c>
      <c r="DM63" s="46">
        <v>0</v>
      </c>
      <c r="DN63" s="46">
        <v>0</v>
      </c>
      <c r="DO63" s="46">
        <v>0</v>
      </c>
      <c r="DP63" s="46">
        <v>0</v>
      </c>
      <c r="DQ63" s="46">
        <v>0</v>
      </c>
      <c r="DR63" s="46">
        <v>0</v>
      </c>
      <c r="DS63" s="46">
        <v>0</v>
      </c>
      <c r="DT63" s="46">
        <v>13100</v>
      </c>
      <c r="DU63" s="46">
        <v>11912</v>
      </c>
      <c r="DV63" s="46">
        <v>0</v>
      </c>
      <c r="DW63" s="46">
        <v>0</v>
      </c>
      <c r="DX63" s="46">
        <v>0</v>
      </c>
      <c r="DY63" s="46">
        <v>0</v>
      </c>
      <c r="DZ63" s="46">
        <v>0</v>
      </c>
      <c r="EA63" s="46">
        <v>0</v>
      </c>
      <c r="EB63" s="46">
        <v>0</v>
      </c>
      <c r="EC63" s="46">
        <v>0</v>
      </c>
      <c r="ED63" s="46">
        <v>0</v>
      </c>
      <c r="EE63" s="46">
        <v>0</v>
      </c>
      <c r="EF63" s="46">
        <v>0</v>
      </c>
      <c r="EG63" s="46">
        <v>0</v>
      </c>
      <c r="EH63" s="46">
        <v>0</v>
      </c>
      <c r="EI63" s="46">
        <v>0</v>
      </c>
      <c r="EJ63" s="46">
        <v>0</v>
      </c>
      <c r="EK63" s="46">
        <v>0</v>
      </c>
      <c r="EL63" s="46">
        <v>0</v>
      </c>
      <c r="EM63" s="46">
        <v>0</v>
      </c>
      <c r="EN63" s="46">
        <v>0</v>
      </c>
      <c r="EO63" s="46">
        <v>0</v>
      </c>
      <c r="EP63" s="46">
        <v>0</v>
      </c>
      <c r="EQ63" s="46">
        <v>0</v>
      </c>
      <c r="ER63" s="46">
        <v>0</v>
      </c>
      <c r="ES63" s="46">
        <v>0</v>
      </c>
      <c r="ET63" s="46">
        <v>0</v>
      </c>
      <c r="EU63" s="46">
        <v>0</v>
      </c>
      <c r="EV63" s="46">
        <v>0</v>
      </c>
      <c r="EW63" s="46">
        <v>0</v>
      </c>
      <c r="EX63" s="46">
        <v>0</v>
      </c>
      <c r="EY63" s="46">
        <v>0</v>
      </c>
      <c r="EZ63" s="46">
        <v>0</v>
      </c>
      <c r="FA63" s="46">
        <v>0</v>
      </c>
      <c r="FB63" s="46">
        <v>0</v>
      </c>
      <c r="FC63" s="46">
        <v>0</v>
      </c>
      <c r="FD63" s="46">
        <v>0</v>
      </c>
      <c r="FE63" s="46">
        <v>0</v>
      </c>
      <c r="FF63" s="46">
        <v>0</v>
      </c>
      <c r="FG63" s="46">
        <v>0</v>
      </c>
      <c r="FH63" s="46">
        <v>0</v>
      </c>
      <c r="FI63" s="46">
        <v>0</v>
      </c>
      <c r="FJ63" s="46">
        <v>0</v>
      </c>
      <c r="FK63" s="46">
        <v>0</v>
      </c>
      <c r="FL63" s="46">
        <v>0</v>
      </c>
      <c r="FM63" s="46">
        <v>0</v>
      </c>
      <c r="FN63" s="46">
        <v>1008739</v>
      </c>
      <c r="FO63" s="46">
        <v>0</v>
      </c>
      <c r="FP63" s="46">
        <v>0</v>
      </c>
      <c r="FQ63" s="46">
        <v>0</v>
      </c>
      <c r="FR63" s="46">
        <v>0</v>
      </c>
      <c r="FS63" s="46">
        <v>0</v>
      </c>
      <c r="FT63" s="46">
        <v>0</v>
      </c>
      <c r="FU63" s="46">
        <v>0</v>
      </c>
      <c r="FV63" s="46">
        <v>0</v>
      </c>
      <c r="FW63" s="46">
        <v>0</v>
      </c>
      <c r="FX63" s="46">
        <v>0</v>
      </c>
      <c r="FY63" s="46">
        <v>0</v>
      </c>
      <c r="FZ63" s="46">
        <v>0</v>
      </c>
      <c r="GA63" s="46">
        <v>0</v>
      </c>
      <c r="GB63" s="46">
        <v>0</v>
      </c>
      <c r="GC63" s="46">
        <v>0</v>
      </c>
      <c r="GD63" s="46">
        <v>0</v>
      </c>
      <c r="GE63" s="46">
        <v>0</v>
      </c>
      <c r="GF63" s="46">
        <v>0</v>
      </c>
      <c r="GG63" s="46">
        <v>0</v>
      </c>
      <c r="GH63" s="46">
        <v>0</v>
      </c>
      <c r="GI63" s="46">
        <v>0</v>
      </c>
      <c r="GJ63" s="46">
        <v>0</v>
      </c>
      <c r="GK63" s="46">
        <v>0</v>
      </c>
      <c r="GL63" s="46">
        <v>0</v>
      </c>
      <c r="GM63" s="46">
        <v>0</v>
      </c>
      <c r="GN63" s="46">
        <v>0</v>
      </c>
      <c r="GO63" s="46">
        <v>-3654</v>
      </c>
      <c r="GP63" s="46">
        <v>0</v>
      </c>
      <c r="GQ63" s="46">
        <v>0</v>
      </c>
      <c r="GR63" s="46">
        <v>0</v>
      </c>
      <c r="GS63" s="46">
        <v>0</v>
      </c>
      <c r="GT63" s="46">
        <v>0</v>
      </c>
      <c r="GU63" s="46">
        <v>0</v>
      </c>
      <c r="GV63" s="46">
        <v>0</v>
      </c>
      <c r="GW63" s="46">
        <v>0</v>
      </c>
      <c r="GX63" s="46">
        <v>0</v>
      </c>
      <c r="GY63" s="46">
        <v>0</v>
      </c>
      <c r="GZ63" s="46">
        <v>0</v>
      </c>
      <c r="HA63" s="46">
        <v>0</v>
      </c>
      <c r="HB63" s="46">
        <v>0</v>
      </c>
      <c r="HC63" s="46">
        <v>0</v>
      </c>
      <c r="HD63" s="46">
        <v>0</v>
      </c>
      <c r="HE63" s="46">
        <v>0</v>
      </c>
      <c r="HF63" s="46">
        <v>0</v>
      </c>
      <c r="HG63" s="46">
        <v>-1858</v>
      </c>
      <c r="HH63" s="46">
        <v>0</v>
      </c>
      <c r="HI63" s="46">
        <v>0</v>
      </c>
      <c r="HJ63" s="46">
        <v>0</v>
      </c>
      <c r="HK63" s="46">
        <v>0</v>
      </c>
      <c r="HL63" s="46">
        <v>0</v>
      </c>
      <c r="HM63" s="46">
        <v>0</v>
      </c>
      <c r="HN63" s="46">
        <v>0</v>
      </c>
      <c r="HO63" s="46">
        <v>0</v>
      </c>
      <c r="HP63" s="46">
        <v>0</v>
      </c>
      <c r="HQ63" s="46">
        <v>0</v>
      </c>
      <c r="HR63" s="46">
        <v>734015</v>
      </c>
      <c r="HS63" s="46">
        <v>0</v>
      </c>
      <c r="HT63" s="46">
        <v>0</v>
      </c>
      <c r="HU63" s="46">
        <v>0</v>
      </c>
      <c r="HV63" s="46">
        <v>0</v>
      </c>
      <c r="HW63" s="46">
        <v>0</v>
      </c>
      <c r="HX63" s="46">
        <v>0</v>
      </c>
      <c r="HY63" s="46">
        <v>0</v>
      </c>
      <c r="HZ63" s="46">
        <v>0</v>
      </c>
      <c r="IA63" s="46">
        <v>0</v>
      </c>
      <c r="IB63" s="46">
        <v>0</v>
      </c>
      <c r="IC63" s="46">
        <v>0</v>
      </c>
      <c r="ID63" s="46">
        <v>0</v>
      </c>
      <c r="IE63" s="46">
        <v>0</v>
      </c>
      <c r="IF63" s="46">
        <v>0</v>
      </c>
      <c r="IG63" s="46">
        <v>0</v>
      </c>
      <c r="IH63" s="46">
        <v>0</v>
      </c>
      <c r="II63" s="46">
        <v>0</v>
      </c>
      <c r="IJ63" s="46">
        <v>0</v>
      </c>
      <c r="IK63" s="46">
        <v>0</v>
      </c>
      <c r="IL63" s="46">
        <v>0</v>
      </c>
      <c r="IM63" s="46">
        <v>0</v>
      </c>
      <c r="IN63" s="46">
        <v>0</v>
      </c>
      <c r="IO63" s="46">
        <v>0</v>
      </c>
      <c r="IP63" s="46">
        <v>1283017</v>
      </c>
      <c r="IQ63" s="46">
        <v>0</v>
      </c>
      <c r="IR63" s="46">
        <v>0</v>
      </c>
      <c r="IS63" s="46">
        <v>0</v>
      </c>
      <c r="IT63" s="46">
        <v>0</v>
      </c>
      <c r="IU63" s="46">
        <v>0</v>
      </c>
      <c r="IV63" s="46">
        <v>0</v>
      </c>
      <c r="IW63" s="46">
        <v>0</v>
      </c>
      <c r="IX63" s="46">
        <v>0</v>
      </c>
      <c r="IY63" s="46">
        <v>0</v>
      </c>
      <c r="IZ63" s="46">
        <v>0</v>
      </c>
      <c r="JA63" s="46">
        <v>0</v>
      </c>
      <c r="JB63" s="46">
        <v>515351</v>
      </c>
      <c r="JC63" s="46">
        <v>0</v>
      </c>
      <c r="JD63" s="46">
        <v>0</v>
      </c>
      <c r="JE63" s="46">
        <v>0</v>
      </c>
      <c r="JF63" s="46">
        <v>0</v>
      </c>
      <c r="JG63" s="46">
        <v>0</v>
      </c>
      <c r="JH63" s="46">
        <v>0</v>
      </c>
      <c r="JI63" s="46">
        <v>0</v>
      </c>
      <c r="JJ63" s="46">
        <v>0</v>
      </c>
      <c r="JK63" s="46">
        <v>1336786</v>
      </c>
      <c r="JL63" s="46">
        <v>0</v>
      </c>
      <c r="JM63" s="46">
        <v>0</v>
      </c>
      <c r="JN63" s="46">
        <v>0</v>
      </c>
      <c r="JO63" s="46">
        <v>0</v>
      </c>
      <c r="JP63" s="46">
        <v>0</v>
      </c>
      <c r="JQ63" s="46">
        <v>0</v>
      </c>
      <c r="JR63" s="46">
        <v>843644</v>
      </c>
      <c r="JS63" s="46">
        <v>0</v>
      </c>
      <c r="JT63" s="46">
        <v>0</v>
      </c>
      <c r="JU63" s="46">
        <v>0</v>
      </c>
      <c r="JV63" s="46">
        <v>0</v>
      </c>
      <c r="JW63" s="46">
        <v>0</v>
      </c>
      <c r="JX63" s="46">
        <v>0</v>
      </c>
      <c r="JY63" s="46">
        <v>0</v>
      </c>
      <c r="JZ63" s="46">
        <v>0</v>
      </c>
      <c r="KA63" s="46">
        <v>0</v>
      </c>
      <c r="KB63" s="46">
        <v>0</v>
      </c>
      <c r="KC63" s="46">
        <v>0</v>
      </c>
      <c r="KD63" s="46">
        <v>0</v>
      </c>
      <c r="KE63" s="46">
        <v>0</v>
      </c>
      <c r="KF63" s="46">
        <v>0</v>
      </c>
      <c r="KG63" s="46">
        <v>0</v>
      </c>
      <c r="KH63" s="46">
        <v>0</v>
      </c>
      <c r="KI63" s="46">
        <v>0</v>
      </c>
      <c r="KJ63" s="46">
        <v>15114867</v>
      </c>
      <c r="KK63" s="46">
        <v>0</v>
      </c>
      <c r="KL63" s="46">
        <v>1189978</v>
      </c>
      <c r="KM63" s="46">
        <v>0</v>
      </c>
      <c r="KN63" s="46">
        <v>0</v>
      </c>
      <c r="KO63" s="46">
        <v>0</v>
      </c>
      <c r="KP63" s="46">
        <v>0</v>
      </c>
      <c r="KQ63" s="46">
        <v>0</v>
      </c>
      <c r="KR63" s="46">
        <v>10806728</v>
      </c>
      <c r="KS63" s="46">
        <v>16340</v>
      </c>
      <c r="KT63" s="46">
        <v>0</v>
      </c>
      <c r="KU63" s="46">
        <v>111867</v>
      </c>
      <c r="KV63" s="46">
        <v>0</v>
      </c>
      <c r="KW63" s="46">
        <v>0</v>
      </c>
      <c r="KX63" s="46">
        <v>0</v>
      </c>
      <c r="KY63" s="46">
        <v>0</v>
      </c>
      <c r="KZ63" s="46">
        <v>0</v>
      </c>
      <c r="LA63" s="46">
        <v>206459</v>
      </c>
      <c r="LB63" s="46">
        <v>68975</v>
      </c>
      <c r="LC63" s="46">
        <v>0</v>
      </c>
      <c r="LD63" s="46">
        <v>2152157</v>
      </c>
      <c r="LE63" s="46">
        <v>0</v>
      </c>
      <c r="LF63" s="46">
        <v>0</v>
      </c>
      <c r="LG63" s="46">
        <v>0</v>
      </c>
      <c r="LH63" s="46">
        <v>0</v>
      </c>
      <c r="LI63" s="46">
        <v>0</v>
      </c>
      <c r="LJ63" s="46">
        <v>0</v>
      </c>
      <c r="LK63" s="46">
        <v>12142829</v>
      </c>
      <c r="LL63" s="46">
        <v>0</v>
      </c>
      <c r="LM63" s="46">
        <v>120286</v>
      </c>
      <c r="LN63" s="46">
        <v>0</v>
      </c>
      <c r="LO63" s="46">
        <v>0</v>
      </c>
      <c r="LP63" s="46">
        <v>0</v>
      </c>
      <c r="LQ63" s="46">
        <v>0</v>
      </c>
      <c r="LR63" s="46">
        <v>0</v>
      </c>
      <c r="LS63" s="46">
        <v>0</v>
      </c>
      <c r="LT63" s="46">
        <v>0</v>
      </c>
      <c r="LU63" s="46">
        <v>0</v>
      </c>
      <c r="LV63" s="46">
        <v>0</v>
      </c>
      <c r="LW63" s="46">
        <v>0</v>
      </c>
      <c r="LX63" s="46">
        <v>0</v>
      </c>
      <c r="LY63" s="46">
        <v>0</v>
      </c>
      <c r="LZ63" s="46">
        <v>0</v>
      </c>
      <c r="MA63" s="46">
        <v>0</v>
      </c>
      <c r="MB63" s="46">
        <v>11465334</v>
      </c>
      <c r="MC63" s="46">
        <v>3814930</v>
      </c>
      <c r="MD63" s="46">
        <v>0</v>
      </c>
      <c r="ME63" s="46">
        <v>1003609</v>
      </c>
      <c r="MF63" s="46">
        <v>0</v>
      </c>
      <c r="MG63" s="46">
        <v>0</v>
      </c>
      <c r="MH63" s="46">
        <v>0</v>
      </c>
      <c r="MI63" s="46">
        <v>0</v>
      </c>
      <c r="MJ63" s="46">
        <v>0</v>
      </c>
      <c r="MK63" s="46">
        <v>0</v>
      </c>
      <c r="ML63" s="46">
        <v>0</v>
      </c>
      <c r="MM63" s="46">
        <v>0</v>
      </c>
      <c r="MN63" s="46">
        <v>0</v>
      </c>
      <c r="MO63" s="46">
        <v>0</v>
      </c>
      <c r="MP63" s="46">
        <v>0</v>
      </c>
      <c r="MQ63" s="46">
        <v>0</v>
      </c>
      <c r="MR63" s="46">
        <v>0</v>
      </c>
      <c r="MS63" s="46">
        <v>0</v>
      </c>
      <c r="MT63" s="46">
        <v>23252</v>
      </c>
      <c r="MU63" s="46">
        <v>14474</v>
      </c>
      <c r="MV63" s="46">
        <v>0</v>
      </c>
      <c r="MW63" s="46">
        <v>0</v>
      </c>
      <c r="MX63" s="46">
        <v>0</v>
      </c>
      <c r="MY63" s="46">
        <v>0</v>
      </c>
      <c r="MZ63" s="46">
        <v>0</v>
      </c>
      <c r="NA63" s="46">
        <v>0</v>
      </c>
      <c r="NB63" s="46">
        <v>0</v>
      </c>
      <c r="NC63" s="46">
        <v>1434624</v>
      </c>
      <c r="ND63" s="46">
        <v>613496</v>
      </c>
      <c r="NE63" s="46">
        <v>0</v>
      </c>
      <c r="NF63" s="46">
        <v>0</v>
      </c>
      <c r="NG63" s="46">
        <v>0</v>
      </c>
      <c r="NH63" s="46">
        <v>0</v>
      </c>
      <c r="NI63" s="46">
        <v>0</v>
      </c>
      <c r="NJ63" s="46">
        <v>0</v>
      </c>
      <c r="NK63" s="46">
        <v>0</v>
      </c>
      <c r="NL63" s="46">
        <v>13100</v>
      </c>
      <c r="NM63" s="46">
        <v>2687</v>
      </c>
      <c r="NN63" s="46">
        <v>0</v>
      </c>
      <c r="NO63" s="46">
        <v>589292</v>
      </c>
      <c r="NP63" s="46">
        <v>0</v>
      </c>
      <c r="NQ63" s="46">
        <v>0</v>
      </c>
      <c r="NR63" s="46">
        <v>0</v>
      </c>
      <c r="NS63" s="46">
        <v>0</v>
      </c>
      <c r="NT63" s="46">
        <v>0</v>
      </c>
      <c r="NU63" s="46">
        <v>0</v>
      </c>
      <c r="NV63" s="46">
        <v>0</v>
      </c>
      <c r="NW63" s="46">
        <v>0</v>
      </c>
      <c r="NX63" s="46">
        <v>0</v>
      </c>
      <c r="NY63" s="46">
        <v>0</v>
      </c>
      <c r="NZ63" s="46">
        <v>0</v>
      </c>
      <c r="OA63" s="46">
        <v>0</v>
      </c>
      <c r="OB63" s="46">
        <v>0</v>
      </c>
      <c r="OC63" s="46">
        <v>0</v>
      </c>
      <c r="OD63" s="46">
        <v>0</v>
      </c>
      <c r="OE63" s="46">
        <v>0</v>
      </c>
      <c r="OF63" s="46">
        <v>0</v>
      </c>
      <c r="OG63" s="46">
        <v>0</v>
      </c>
      <c r="OH63" s="46">
        <v>0</v>
      </c>
      <c r="OI63" s="46">
        <v>0</v>
      </c>
      <c r="OJ63" s="46">
        <v>0</v>
      </c>
      <c r="OK63" s="46">
        <v>0</v>
      </c>
      <c r="OL63" s="46">
        <v>0</v>
      </c>
      <c r="OM63" s="46">
        <v>0</v>
      </c>
      <c r="ON63" s="46">
        <v>0</v>
      </c>
      <c r="OO63" s="46">
        <v>0</v>
      </c>
      <c r="OP63" s="46">
        <v>0</v>
      </c>
      <c r="OQ63" s="46">
        <v>0</v>
      </c>
      <c r="OR63" s="46">
        <v>0</v>
      </c>
      <c r="OS63" s="46">
        <v>0</v>
      </c>
      <c r="OT63" s="46">
        <v>0</v>
      </c>
      <c r="OU63" s="46">
        <v>0</v>
      </c>
      <c r="OV63" s="46">
        <v>0</v>
      </c>
      <c r="OW63" s="46">
        <v>0</v>
      </c>
      <c r="OX63" s="46">
        <v>0</v>
      </c>
      <c r="OY63" s="46">
        <v>0</v>
      </c>
      <c r="OZ63" s="46">
        <v>0</v>
      </c>
      <c r="PA63" s="46">
        <v>0</v>
      </c>
      <c r="PB63" s="46">
        <v>0</v>
      </c>
      <c r="PC63" s="46">
        <v>0</v>
      </c>
      <c r="PD63" s="46">
        <v>0</v>
      </c>
      <c r="PE63" s="46">
        <v>-569684</v>
      </c>
      <c r="PF63" s="46">
        <v>228365</v>
      </c>
      <c r="PG63" s="46">
        <v>0</v>
      </c>
      <c r="PH63" s="46">
        <v>60324</v>
      </c>
      <c r="PI63" s="46">
        <v>0</v>
      </c>
      <c r="PJ63" s="46">
        <v>0</v>
      </c>
      <c r="PK63" s="46">
        <v>0</v>
      </c>
      <c r="PL63" s="46">
        <v>0</v>
      </c>
      <c r="PM63" s="46">
        <v>0</v>
      </c>
      <c r="PN63" s="46">
        <v>0</v>
      </c>
      <c r="PO63" s="46">
        <v>0</v>
      </c>
      <c r="PP63" s="46">
        <v>0</v>
      </c>
      <c r="PQ63" s="46">
        <v>0</v>
      </c>
      <c r="PR63" s="46">
        <v>0</v>
      </c>
      <c r="PS63" s="46">
        <v>0</v>
      </c>
      <c r="PT63" s="46">
        <v>0</v>
      </c>
      <c r="PU63" s="46">
        <v>0</v>
      </c>
      <c r="PV63" s="46">
        <v>0</v>
      </c>
      <c r="PW63" s="46">
        <v>0</v>
      </c>
      <c r="PX63" s="46">
        <v>0</v>
      </c>
      <c r="PY63" s="46">
        <v>0</v>
      </c>
      <c r="PZ63" s="46">
        <v>0</v>
      </c>
      <c r="QA63" s="46">
        <v>0</v>
      </c>
      <c r="QB63" s="46">
        <v>0</v>
      </c>
      <c r="QC63" s="46">
        <v>0</v>
      </c>
      <c r="QD63" s="46">
        <v>0</v>
      </c>
      <c r="QE63" s="46">
        <v>0</v>
      </c>
      <c r="QF63" s="46">
        <v>0</v>
      </c>
      <c r="QG63" s="46">
        <v>0</v>
      </c>
      <c r="QH63" s="46">
        <v>0</v>
      </c>
      <c r="QI63" s="46">
        <v>0</v>
      </c>
      <c r="QJ63" s="46">
        <v>0</v>
      </c>
      <c r="QK63" s="46">
        <v>0</v>
      </c>
      <c r="QL63" s="46">
        <v>0</v>
      </c>
      <c r="QM63" s="46">
        <v>0</v>
      </c>
      <c r="QN63" s="46">
        <v>0</v>
      </c>
      <c r="QO63" s="46">
        <v>0</v>
      </c>
      <c r="QP63" s="46">
        <v>0</v>
      </c>
      <c r="QQ63" s="46">
        <v>0</v>
      </c>
      <c r="QR63" s="46">
        <v>0</v>
      </c>
      <c r="QS63" s="46">
        <v>0</v>
      </c>
      <c r="QT63" s="46">
        <v>0</v>
      </c>
      <c r="QU63" s="46">
        <v>0</v>
      </c>
      <c r="QV63" s="46">
        <v>0</v>
      </c>
      <c r="QW63" s="46">
        <v>0</v>
      </c>
      <c r="QX63" s="46">
        <v>0</v>
      </c>
      <c r="QY63" s="46">
        <v>0</v>
      </c>
      <c r="QZ63" s="46">
        <v>0</v>
      </c>
      <c r="RA63" s="46">
        <v>0</v>
      </c>
      <c r="RB63" s="46">
        <v>0</v>
      </c>
      <c r="RC63" s="46">
        <v>0</v>
      </c>
      <c r="RD63" s="46">
        <v>0</v>
      </c>
      <c r="RE63" s="46">
        <v>0</v>
      </c>
      <c r="RF63" s="46">
        <v>0</v>
      </c>
      <c r="RG63" s="46">
        <v>0</v>
      </c>
      <c r="RH63" s="46">
        <v>0</v>
      </c>
      <c r="RI63" s="46">
        <v>0</v>
      </c>
      <c r="RJ63" s="46">
        <v>0</v>
      </c>
      <c r="RK63" s="46">
        <v>0</v>
      </c>
      <c r="RL63" s="46">
        <v>0</v>
      </c>
      <c r="RM63" s="46">
        <v>0</v>
      </c>
      <c r="RN63" s="46">
        <v>0</v>
      </c>
      <c r="RO63" s="46">
        <v>0</v>
      </c>
      <c r="RP63" s="46">
        <v>0</v>
      </c>
      <c r="RQ63" s="46">
        <v>0</v>
      </c>
      <c r="RR63" s="46">
        <v>0</v>
      </c>
      <c r="RS63" s="46">
        <v>0</v>
      </c>
      <c r="RT63" s="46">
        <v>0</v>
      </c>
      <c r="RU63" s="46">
        <v>0</v>
      </c>
      <c r="RV63" s="46">
        <v>0</v>
      </c>
      <c r="RW63" s="46">
        <v>0</v>
      </c>
      <c r="RX63" s="46">
        <v>0</v>
      </c>
      <c r="RY63" s="46">
        <v>0</v>
      </c>
      <c r="RZ63" s="46">
        <v>0</v>
      </c>
      <c r="SA63" s="46">
        <v>0</v>
      </c>
      <c r="SB63" s="46">
        <v>0</v>
      </c>
      <c r="SC63" s="46">
        <v>0</v>
      </c>
      <c r="SD63" s="46">
        <v>0</v>
      </c>
      <c r="SE63" s="46">
        <v>0</v>
      </c>
      <c r="SF63" s="46">
        <v>0</v>
      </c>
      <c r="SG63" s="46">
        <v>0</v>
      </c>
      <c r="SH63" s="46">
        <v>0</v>
      </c>
      <c r="SI63" s="46">
        <v>0</v>
      </c>
      <c r="SJ63" s="46">
        <v>0</v>
      </c>
      <c r="SK63" s="46">
        <v>0</v>
      </c>
      <c r="SL63" s="46">
        <v>0</v>
      </c>
      <c r="SM63" s="46">
        <v>0</v>
      </c>
      <c r="SN63" s="46">
        <v>0</v>
      </c>
      <c r="SO63" s="46">
        <v>0</v>
      </c>
      <c r="SP63" s="46">
        <v>0</v>
      </c>
      <c r="SQ63" s="46">
        <v>0</v>
      </c>
      <c r="SR63" s="46">
        <v>0</v>
      </c>
      <c r="SS63" s="46">
        <v>0</v>
      </c>
      <c r="ST63" s="46">
        <v>0</v>
      </c>
      <c r="SU63" s="46">
        <v>0</v>
      </c>
      <c r="SV63" s="46">
        <v>0</v>
      </c>
      <c r="SW63" s="46">
        <v>0</v>
      </c>
      <c r="SX63" s="46">
        <v>0</v>
      </c>
      <c r="SY63" s="46">
        <v>0</v>
      </c>
      <c r="SZ63" s="46">
        <v>0</v>
      </c>
      <c r="TA63" s="46">
        <v>0</v>
      </c>
      <c r="TB63" s="46">
        <v>0</v>
      </c>
      <c r="TC63" s="46">
        <v>0</v>
      </c>
      <c r="TD63" s="46">
        <v>0</v>
      </c>
      <c r="TE63" s="46">
        <v>0</v>
      </c>
      <c r="TF63" s="46">
        <v>0</v>
      </c>
      <c r="TG63" s="46">
        <v>0</v>
      </c>
      <c r="TH63" s="46">
        <v>0</v>
      </c>
      <c r="TI63" s="46">
        <v>0</v>
      </c>
      <c r="TJ63" s="46">
        <v>0</v>
      </c>
      <c r="TK63" s="46">
        <v>0</v>
      </c>
      <c r="TL63" s="46">
        <v>121405</v>
      </c>
      <c r="TM63" s="46">
        <v>0</v>
      </c>
      <c r="TN63" s="46">
        <v>0</v>
      </c>
      <c r="TO63" s="46">
        <v>0</v>
      </c>
      <c r="TP63" s="46">
        <v>0</v>
      </c>
      <c r="TQ63" s="46">
        <v>0</v>
      </c>
      <c r="TR63" s="46">
        <v>0</v>
      </c>
      <c r="TS63" s="46">
        <v>0</v>
      </c>
      <c r="TT63" s="46">
        <v>0</v>
      </c>
      <c r="TU63" s="46">
        <v>0</v>
      </c>
      <c r="TV63" s="46">
        <v>0</v>
      </c>
      <c r="TW63" s="46">
        <v>0</v>
      </c>
      <c r="TX63" s="46">
        <v>0</v>
      </c>
      <c r="TY63" s="46">
        <v>0</v>
      </c>
      <c r="TZ63" s="46">
        <v>0</v>
      </c>
      <c r="UA63" s="46">
        <v>0</v>
      </c>
      <c r="UB63" s="46">
        <v>0</v>
      </c>
      <c r="UC63" s="46">
        <v>0</v>
      </c>
      <c r="UD63" s="46">
        <v>0</v>
      </c>
      <c r="UE63" s="46">
        <v>10934935</v>
      </c>
      <c r="UF63" s="46">
        <v>2427590</v>
      </c>
      <c r="UG63" s="46">
        <v>12263115</v>
      </c>
      <c r="UH63" s="46">
        <v>0</v>
      </c>
      <c r="UI63" s="46">
        <v>16283873</v>
      </c>
      <c r="UJ63" s="46">
        <v>0</v>
      </c>
      <c r="UK63" s="46">
        <v>37726</v>
      </c>
      <c r="UL63" s="46">
        <v>2048120</v>
      </c>
      <c r="UM63" s="46">
        <v>605079</v>
      </c>
      <c r="UN63" s="46">
        <v>0</v>
      </c>
      <c r="UO6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P63" s="46">
        <f>SUM(Input[[#This Row],[Oth Exp E&amp;G]],Input[[#This Row],[Oth Exp Desg]],Input[[#This Row],[Oth Exp Aux]],Input[[#This Row],[Oth Exp R Exp]],Input[[#This Row],[Oth Exp Loan]],Input[[#This Row],[Oth Exp Annuity]],Input[[#This Row],[Oth Exp Unexp]],Input[[#This Row],[Oth Exp R of Ind]],Input[[#This Row],[Oth Exp Inv in P]])</f>
        <v>0</v>
      </c>
      <c r="UQ63" s="46"/>
      <c r="UR63" s="46"/>
      <c r="US63" s="8" t="s">
        <v>865</v>
      </c>
      <c r="UT63" s="47">
        <v>7137438188</v>
      </c>
      <c r="UU63" s="8" t="s">
        <v>74</v>
      </c>
      <c r="UV63" s="8" t="s">
        <v>866</v>
      </c>
      <c r="UW63" s="47">
        <v>7137431533</v>
      </c>
      <c r="UX63" s="8" t="s">
        <v>867</v>
      </c>
      <c r="UY63" s="51" cm="1">
        <f t="array" ref="UY63">IFERROR(_xlfn.IFS(Input[[#This Row],[Type]]="HRI",SUMIFS('FTSE | FTFE'!$P$8:$P$77,'FTSE | FTFE'!$H$8:$H$77,A63),Input[[#This Row],[Type]]="UNIV",SUMIFS('FTSE | FTFE'!$P$104:$P$139,'FTSE | FTFE'!$H$104:$H$139,A63),OR(Input[[#This Row],[Type]]="TSTC",Input[[#This Row],[Type]]="LSC"),SUMIFS('FTSE | FTFE'!$O$88:$O$96,'FTSE | FTFE'!$H$88:$H$96,A63),Input[[#This Row],[Type]]="AHM",SUMIFS(Hidden!$H$42:$H$45,Hidden!$G$42:$G$45,A63)),"N/A")</f>
        <v>206</v>
      </c>
      <c r="UZ63" s="51" cm="1">
        <f t="array" ref="UZ63">IFERROR(_xlfn.IFS(Input[[#This Row],[Type]]="HRI",SUMIFS('FTSE | FTFE'!$Q$8:$Q$77,'FTSE | FTFE'!$H$8:$H$77,A63),Input[[#This Row],[Type]]="UNIV",SUMIFS('FTSE | FTFE'!$Q$104:$Q$139,'FTSE | FTFE'!$H$104:$H$139,A63),OR(Input[[#This Row],[Type]]="TSTC",Input[[#This Row],[Type]]="LSC"),SUMIFS('FTSE | FTFE'!$P$88:$P$96,'FTSE | FTFE'!$H$88:$H$96,A63)),"N/A")</f>
        <v>0</v>
      </c>
      <c r="VA6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20049482</v>
      </c>
      <c r="VB6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63" s="46">
        <f>SUM(Input[[#This Row],[Fed G&amp;C E&amp;G]],Input[[#This Row],[Fed G&amp;C Desg]],Input[[#This Row],[Fed G&amp;C R Exp]],Input[[#This Row],[Fed G&amp;C Loan]],Input[[#This Row],[Fed G&amp;C Annuity]],Input[[#This Row],[Fed G&amp;C Unexp]],Input[[#This Row],[Fed G&amp;C R of Ind]],Input[[#This Row],[Fed G&amp;C Inv in P]])</f>
        <v>734015</v>
      </c>
      <c r="VD6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20283643</v>
      </c>
      <c r="VE6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3843878</v>
      </c>
      <c r="VF6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1003227</v>
      </c>
      <c r="VG63" s="46">
        <f>SUM(Input[[#This Row],[Oth Inc E&amp;G]],Input[[#This Row],[Oth Exp Desg]],Input[[#This Row],[Oth Exp R Exp]],Input[[#This Row],[Oth Exp Loan]],Input[[#This Row],[Oth Exp Annuity]],Input[[#This Row],[Oth Exp Unexp]],Input[[#This Row],[Oth Exp R of Ind]],Input[[#This Row],[Oth Exp Inv in P]])</f>
        <v>0</v>
      </c>
      <c r="VH63" s="46">
        <f>SUM(Input[[#This Row],[Instr E&amp;G]],Input[[#This Row],[Instr Desg]],Input[[#This Row],[Instr R Exp]],Input[[#This Row],[Instr Loan]],Input[[#This Row],[Instr Annuity]],Input[[#This Row],[Instr Unexp]],Input[[#This Row],[Instr R of Ind]],Input[[#This Row],[Instr Inv in P]])</f>
        <v>10934935</v>
      </c>
      <c r="VI63" s="46">
        <f>SUM(Input[[#This Row],[Res E&amp;G]],Input[[#This Row],[Res Desg]],Input[[#This Row],[Res R Exp]],Input[[#This Row],[Res Loan]],Input[[#This Row],[Res Annuity]],Input[[#This Row],[Res Unexp]],Input[[#This Row],[Res R of Ind]],Input[[#This Row],[Res Inv in P]])</f>
        <v>2427591</v>
      </c>
      <c r="VJ63" s="46">
        <f>SUM(Input[[#This Row],[Acad Sup E&amp;G]],Input[[#This Row],[Acad Sup Desg]],Input[[#This Row],[Acad Sup R Exp]],Input[[#This Row],[Acad Sup Loan]],Input[[#This Row],[Acad Sup Annuity]],Input[[#This Row],[Acad Sup Unexp]],Input[[#This Row],[Acad Sup R of Ind]],Input[[#This Row],[Acad Sup Inv in P]])</f>
        <v>16283873</v>
      </c>
      <c r="VK63" s="46">
        <f>SUM(Input[[#This Row],[Stu Svc E&amp;G]],Input[[#This Row],[Stu Svc Desg]],Input[[#This Row],[Stu Svc R Exp]],Input[[#This Row],[Stu Svc Loan]],Input[[#This Row],[Stu Svc Annuity]],Input[[#This Row],[Stu Svc Unexp]],Input[[#This Row],[Stu Svc R of Ind]],Input[[#This Row],[Stu Svc Inv in P]])</f>
        <v>0</v>
      </c>
      <c r="VL63" s="46">
        <f>SUM(Input[[#This Row],[Inst. Spt E&amp;G]],Input[[#This Row],[Inst. Spt Desg]],Input[[#This Row],[Inst. Spt R Exp]],Input[[#This Row],[Inst. Spt Loan]],Input[[#This Row],[Inst. Spt Annuity]],Input[[#This Row],[Inst. Spt Unexp]],Input[[#This Row],[Inst. Spt R of Ind]],Input[[#This Row],[Inst. Spt Inv in P]])</f>
        <v>37726</v>
      </c>
      <c r="VM63" s="46">
        <f>SUM(Input[[#This Row],[M&amp;O Plnt E&amp;G]],Input[[#This Row],[M&amp;O Plnt Desg]],Input[[#This Row],[M&amp;O Plnt R Exp]],Input[[#This Row],[M&amp;O Plnt Loan]],Input[[#This Row],[M&amp;O Plnt Annuity]],Input[[#This Row],[M&amp;O Plnt Unexp]],Input[[#This Row],[M&amp;O Plnt R of Ind]],Input[[#This Row],[M&amp;O Plnt Inv in P]])</f>
        <v>2048120</v>
      </c>
      <c r="VN63" s="46">
        <f>SUM(Input[[#This Row],[Schl &amp; Fell E&amp;G]],Input[[#This Row],[Schl &amp; Fell Desg]],Input[[#This Row],[Schl &amp; Fell R Exp]],Input[[#This Row],[Schl &amp; Fell Loan]],Input[[#This Row],[Schl &amp; Fell Annuity]],Input[[#This Row],[Schl &amp; Fell Unexp]],Input[[#This Row],[Schl &amp; Fell R of Ind]],Input[[#This Row],[Schl &amp; Fell Inv in P]])</f>
        <v>605079</v>
      </c>
      <c r="VO63" s="46">
        <f>SUM(Input[[#This Row],[Cap Out fund E&amp;G]],Input[[#This Row],[Cap Out fund Desg]],Input[[#This Row],[Cap Out fund R Exp]],Input[[#This Row],[Cap Out fund Loan]],Input[[#This Row],[Cap Out fund Annuity]],Input[[#This Row],[Cap Out fund Unexp]],Input[[#This Row],[Cap Out fund R of Ind]],Input[[#This Row],[Cap Out fund Inv in P]])</f>
        <v>0</v>
      </c>
      <c r="VP63" s="46">
        <f>SUM(Input[[#This Row],[Oth Exp E&amp;G]],Input[[#This Row],[Oth Exp Desg]],Input[[#This Row],[Oth Exp R Exp]],Input[[#This Row],[Oth Exp Loan]],Input[[#This Row],[Oth Exp Annuity]],Input[[#This Row],[Oth Exp Unexp]],Input[[#This Row],[Oth Exp R of Ind]],Input[[#This Row],[Oth Exp Inv in P]],Input[[#This Row],[Oth Exp Inv in P]])</f>
        <v>0</v>
      </c>
    </row>
    <row r="64" spans="1:588" ht="30" customHeight="1" x14ac:dyDescent="0.3">
      <c r="A64" s="15" t="s">
        <v>45</v>
      </c>
      <c r="B64" s="36" t="s">
        <v>106</v>
      </c>
      <c r="C64" s="36" t="s">
        <v>117</v>
      </c>
      <c r="D64" s="36">
        <v>914</v>
      </c>
      <c r="E64" s="36" t="s">
        <v>132</v>
      </c>
      <c r="F64" s="95" cm="1">
        <f t="array" ref="F64">IFERROR(_xlfn.IFS(Input[[#This Row],[Type]]="HRI",SUMIFS('FTSE | FTFE'!$I$8:$I$77,'FTSE | FTFE'!$H$8:$H$77,A64),Input[[#This Row],[Type]]="UNIV",SUMIFS('FTSE | FTFE'!$I$104:$I$139,'FTSE | FTFE'!$H$104:$H$139,A64),OR(Input[[#This Row],[Type]]="TSTC",Input[[#This Row],[Type]]="LSC"),SUMIFS('FTSE | FTFE'!$I$88:$I$96,'FTSE | FTFE'!$H$88:$H$96,A64)),"N/A")</f>
        <v>103606</v>
      </c>
      <c r="G64" s="46">
        <v>17236971</v>
      </c>
      <c r="H64" s="46">
        <v>0</v>
      </c>
      <c r="I64" s="46">
        <v>0</v>
      </c>
      <c r="J64" s="46">
        <v>0</v>
      </c>
      <c r="K64" s="46">
        <v>0</v>
      </c>
      <c r="L64" s="46">
        <v>0</v>
      </c>
      <c r="M64" s="46">
        <v>0</v>
      </c>
      <c r="N64" s="46">
        <v>0</v>
      </c>
      <c r="O64" s="46">
        <v>0</v>
      </c>
      <c r="P64" s="46">
        <v>1314311</v>
      </c>
      <c r="Q64" s="46">
        <v>0</v>
      </c>
      <c r="R64" s="46">
        <v>0</v>
      </c>
      <c r="S64" s="46">
        <v>804301</v>
      </c>
      <c r="T64" s="46">
        <v>0</v>
      </c>
      <c r="U64" s="46">
        <v>0</v>
      </c>
      <c r="V64" s="46">
        <v>0</v>
      </c>
      <c r="W64" s="46">
        <v>0</v>
      </c>
      <c r="X64" s="46">
        <v>0</v>
      </c>
      <c r="Y64" s="46">
        <v>0</v>
      </c>
      <c r="Z64" s="46">
        <v>0</v>
      </c>
      <c r="AA64" s="46">
        <v>0</v>
      </c>
      <c r="AB64" s="46">
        <v>0</v>
      </c>
      <c r="AC64" s="46">
        <v>0</v>
      </c>
      <c r="AD64" s="46">
        <v>0</v>
      </c>
      <c r="AE64" s="46">
        <v>0</v>
      </c>
      <c r="AF64" s="46">
        <v>0</v>
      </c>
      <c r="AG64" s="46">
        <v>0</v>
      </c>
      <c r="AH64" s="46">
        <v>0</v>
      </c>
      <c r="AI64" s="46">
        <v>0</v>
      </c>
      <c r="AJ64" s="46">
        <v>0</v>
      </c>
      <c r="AK64" s="46">
        <v>0</v>
      </c>
      <c r="AL64" s="46">
        <v>0</v>
      </c>
      <c r="AM64" s="46">
        <v>0</v>
      </c>
      <c r="AN64" s="46">
        <v>0</v>
      </c>
      <c r="AO64" s="46">
        <v>0</v>
      </c>
      <c r="AP64" s="46">
        <v>0</v>
      </c>
      <c r="AQ64" s="46">
        <v>0</v>
      </c>
      <c r="AR64" s="46">
        <v>0</v>
      </c>
      <c r="AS64" s="46">
        <v>0</v>
      </c>
      <c r="AT64" s="46">
        <v>0</v>
      </c>
      <c r="AU64" s="46">
        <v>0</v>
      </c>
      <c r="AV64" s="46">
        <v>0</v>
      </c>
      <c r="AW64" s="46">
        <v>0</v>
      </c>
      <c r="AX64" s="46">
        <v>0</v>
      </c>
      <c r="AY64" s="46">
        <v>0</v>
      </c>
      <c r="AZ64" s="46">
        <v>0</v>
      </c>
      <c r="BA64" s="46">
        <v>0</v>
      </c>
      <c r="BB64" s="46">
        <v>0</v>
      </c>
      <c r="BC64" s="46">
        <v>0</v>
      </c>
      <c r="BD64" s="46">
        <v>0</v>
      </c>
      <c r="BE64" s="46">
        <v>0</v>
      </c>
      <c r="BF64" s="46">
        <v>0</v>
      </c>
      <c r="BG64" s="46">
        <v>0</v>
      </c>
      <c r="BH64" s="46">
        <v>0</v>
      </c>
      <c r="BI64" s="46">
        <v>0</v>
      </c>
      <c r="BJ64" s="46">
        <v>0</v>
      </c>
      <c r="BK64" s="46">
        <v>0</v>
      </c>
      <c r="BL64" s="46">
        <v>0</v>
      </c>
      <c r="BM64" s="46">
        <v>0</v>
      </c>
      <c r="BN64" s="46">
        <v>0</v>
      </c>
      <c r="BO64" s="46">
        <v>0</v>
      </c>
      <c r="BP64" s="46">
        <v>0</v>
      </c>
      <c r="BQ64" s="46">
        <v>0</v>
      </c>
      <c r="BR64" s="46">
        <v>0</v>
      </c>
      <c r="BS64" s="46">
        <v>0</v>
      </c>
      <c r="BT64" s="46">
        <v>0</v>
      </c>
      <c r="BU64" s="46">
        <v>0</v>
      </c>
      <c r="BV64" s="46">
        <v>0</v>
      </c>
      <c r="BW64" s="46">
        <v>0</v>
      </c>
      <c r="BX64" s="46">
        <v>0</v>
      </c>
      <c r="BY64" s="46">
        <v>0</v>
      </c>
      <c r="BZ64" s="46">
        <v>0</v>
      </c>
      <c r="CA64" s="46">
        <v>3790813</v>
      </c>
      <c r="CB64" s="46">
        <v>11313675</v>
      </c>
      <c r="CC64" s="46">
        <v>0</v>
      </c>
      <c r="CD64" s="46">
        <v>0</v>
      </c>
      <c r="CE64" s="46">
        <v>0</v>
      </c>
      <c r="CF64" s="46">
        <v>0</v>
      </c>
      <c r="CG64" s="46">
        <v>0</v>
      </c>
      <c r="CH64" s="46">
        <v>0</v>
      </c>
      <c r="CI64" s="46">
        <v>0</v>
      </c>
      <c r="CJ64" s="46">
        <v>0</v>
      </c>
      <c r="CK64" s="46">
        <v>0</v>
      </c>
      <c r="CL64" s="46">
        <v>0</v>
      </c>
      <c r="CM64" s="46">
        <v>0</v>
      </c>
      <c r="CN64" s="46">
        <v>0</v>
      </c>
      <c r="CO64" s="46">
        <v>0</v>
      </c>
      <c r="CP64" s="46">
        <v>0</v>
      </c>
      <c r="CQ64" s="46">
        <v>0</v>
      </c>
      <c r="CR64" s="46">
        <v>0</v>
      </c>
      <c r="CS64" s="46">
        <v>0</v>
      </c>
      <c r="CT64" s="46">
        <v>0</v>
      </c>
      <c r="CU64" s="46">
        <v>0</v>
      </c>
      <c r="CV64" s="46">
        <v>0</v>
      </c>
      <c r="CW64" s="46">
        <v>0</v>
      </c>
      <c r="CX64" s="46">
        <v>0</v>
      </c>
      <c r="CY64" s="46">
        <v>0</v>
      </c>
      <c r="CZ64" s="46">
        <v>0</v>
      </c>
      <c r="DA64" s="46">
        <v>0</v>
      </c>
      <c r="DB64" s="46">
        <v>0</v>
      </c>
      <c r="DC64" s="46">
        <v>0</v>
      </c>
      <c r="DD64" s="46">
        <v>0</v>
      </c>
      <c r="DE64" s="46">
        <v>0</v>
      </c>
      <c r="DF64" s="46">
        <v>0</v>
      </c>
      <c r="DG64" s="46">
        <v>0</v>
      </c>
      <c r="DH64" s="46">
        <v>0</v>
      </c>
      <c r="DI64" s="46">
        <v>0</v>
      </c>
      <c r="DJ64" s="46">
        <v>0</v>
      </c>
      <c r="DK64" s="46">
        <v>0</v>
      </c>
      <c r="DL64" s="46">
        <v>0</v>
      </c>
      <c r="DM64" s="46">
        <v>0</v>
      </c>
      <c r="DN64" s="46">
        <v>0</v>
      </c>
      <c r="DO64" s="46">
        <v>0</v>
      </c>
      <c r="DP64" s="46">
        <v>0</v>
      </c>
      <c r="DQ64" s="46">
        <v>0</v>
      </c>
      <c r="DR64" s="46">
        <v>0</v>
      </c>
      <c r="DS64" s="46">
        <v>0</v>
      </c>
      <c r="DT64" s="46">
        <v>0</v>
      </c>
      <c r="DU64" s="46">
        <v>-606930</v>
      </c>
      <c r="DV64" s="46">
        <v>0</v>
      </c>
      <c r="DW64" s="46">
        <v>0</v>
      </c>
      <c r="DX64" s="46">
        <v>0</v>
      </c>
      <c r="DY64" s="46">
        <v>0</v>
      </c>
      <c r="DZ64" s="46">
        <v>0</v>
      </c>
      <c r="EA64" s="46">
        <v>0</v>
      </c>
      <c r="EB64" s="46">
        <v>0</v>
      </c>
      <c r="EC64" s="46">
        <v>0</v>
      </c>
      <c r="ED64" s="46">
        <v>0</v>
      </c>
      <c r="EE64" s="46">
        <v>0</v>
      </c>
      <c r="EF64" s="46">
        <v>0</v>
      </c>
      <c r="EG64" s="46">
        <v>0</v>
      </c>
      <c r="EH64" s="46">
        <v>0</v>
      </c>
      <c r="EI64" s="46">
        <v>0</v>
      </c>
      <c r="EJ64" s="46">
        <v>0</v>
      </c>
      <c r="EK64" s="46">
        <v>0</v>
      </c>
      <c r="EL64" s="46">
        <v>0</v>
      </c>
      <c r="EM64" s="46">
        <v>0</v>
      </c>
      <c r="EN64" s="46">
        <v>0</v>
      </c>
      <c r="EO64" s="46">
        <v>0</v>
      </c>
      <c r="EP64" s="46">
        <v>0</v>
      </c>
      <c r="EQ64" s="46">
        <v>0</v>
      </c>
      <c r="ER64" s="46">
        <v>0</v>
      </c>
      <c r="ES64" s="46">
        <v>0</v>
      </c>
      <c r="ET64" s="46">
        <v>0</v>
      </c>
      <c r="EU64" s="46">
        <v>0</v>
      </c>
      <c r="EV64" s="46">
        <v>0</v>
      </c>
      <c r="EW64" s="46">
        <v>0</v>
      </c>
      <c r="EX64" s="46">
        <v>0</v>
      </c>
      <c r="EY64" s="46">
        <v>0</v>
      </c>
      <c r="EZ64" s="46">
        <v>0</v>
      </c>
      <c r="FA64" s="46">
        <v>0</v>
      </c>
      <c r="FB64" s="46">
        <v>0</v>
      </c>
      <c r="FC64" s="46">
        <v>0</v>
      </c>
      <c r="FD64" s="46">
        <v>0</v>
      </c>
      <c r="FE64" s="46">
        <v>0</v>
      </c>
      <c r="FF64" s="46">
        <v>0</v>
      </c>
      <c r="FG64" s="46">
        <v>0</v>
      </c>
      <c r="FH64" s="46">
        <v>0</v>
      </c>
      <c r="FI64" s="46">
        <v>0</v>
      </c>
      <c r="FJ64" s="46">
        <v>0</v>
      </c>
      <c r="FK64" s="46">
        <v>0</v>
      </c>
      <c r="FL64" s="46">
        <v>0</v>
      </c>
      <c r="FM64" s="46">
        <v>0</v>
      </c>
      <c r="FN64" s="46">
        <v>0</v>
      </c>
      <c r="FO64" s="46">
        <v>0</v>
      </c>
      <c r="FP64" s="46">
        <v>0</v>
      </c>
      <c r="FQ64" s="46">
        <v>0</v>
      </c>
      <c r="FR64" s="46">
        <v>0</v>
      </c>
      <c r="FS64" s="46">
        <v>0</v>
      </c>
      <c r="FT64" s="46">
        <v>0</v>
      </c>
      <c r="FU64" s="46">
        <v>0</v>
      </c>
      <c r="FV64" s="46">
        <v>0</v>
      </c>
      <c r="FW64" s="46">
        <v>0</v>
      </c>
      <c r="FX64" s="46">
        <v>0</v>
      </c>
      <c r="FY64" s="46">
        <v>0</v>
      </c>
      <c r="FZ64" s="46">
        <v>0</v>
      </c>
      <c r="GA64" s="46">
        <v>0</v>
      </c>
      <c r="GB64" s="46">
        <v>0</v>
      </c>
      <c r="GC64" s="46">
        <v>0</v>
      </c>
      <c r="GD64" s="46">
        <v>0</v>
      </c>
      <c r="GE64" s="46">
        <v>0</v>
      </c>
      <c r="GF64" s="46">
        <v>0</v>
      </c>
      <c r="GG64" s="46">
        <v>0</v>
      </c>
      <c r="GH64" s="46">
        <v>0</v>
      </c>
      <c r="GI64" s="46">
        <v>0</v>
      </c>
      <c r="GJ64" s="46">
        <v>0</v>
      </c>
      <c r="GK64" s="46">
        <v>0</v>
      </c>
      <c r="GL64" s="46">
        <v>0</v>
      </c>
      <c r="GM64" s="46">
        <v>0</v>
      </c>
      <c r="GN64" s="46">
        <v>0</v>
      </c>
      <c r="GO64" s="46">
        <v>0</v>
      </c>
      <c r="GP64" s="46">
        <v>0</v>
      </c>
      <c r="GQ64" s="46">
        <v>0</v>
      </c>
      <c r="GR64" s="46">
        <v>0</v>
      </c>
      <c r="GS64" s="46">
        <v>0</v>
      </c>
      <c r="GT64" s="46">
        <v>0</v>
      </c>
      <c r="GU64" s="46">
        <v>0</v>
      </c>
      <c r="GV64" s="46">
        <v>0</v>
      </c>
      <c r="GW64" s="46">
        <v>0</v>
      </c>
      <c r="GX64" s="46">
        <v>0</v>
      </c>
      <c r="GY64" s="46">
        <v>0</v>
      </c>
      <c r="GZ64" s="46">
        <v>0</v>
      </c>
      <c r="HA64" s="46">
        <v>0</v>
      </c>
      <c r="HB64" s="46">
        <v>0</v>
      </c>
      <c r="HC64" s="46">
        <v>0</v>
      </c>
      <c r="HD64" s="46">
        <v>0</v>
      </c>
      <c r="HE64" s="46">
        <v>0</v>
      </c>
      <c r="HF64" s="46">
        <v>0</v>
      </c>
      <c r="HG64" s="46">
        <v>0</v>
      </c>
      <c r="HH64" s="46">
        <v>0</v>
      </c>
      <c r="HI64" s="46">
        <v>0</v>
      </c>
      <c r="HJ64" s="46">
        <v>0</v>
      </c>
      <c r="HK64" s="46">
        <v>0</v>
      </c>
      <c r="HL64" s="46">
        <v>0</v>
      </c>
      <c r="HM64" s="46">
        <v>0</v>
      </c>
      <c r="HN64" s="46">
        <v>0</v>
      </c>
      <c r="HO64" s="46">
        <v>0</v>
      </c>
      <c r="HP64" s="46">
        <v>0</v>
      </c>
      <c r="HQ64" s="46">
        <v>0</v>
      </c>
      <c r="HR64" s="46">
        <v>69443</v>
      </c>
      <c r="HS64" s="46">
        <v>0</v>
      </c>
      <c r="HT64" s="46">
        <v>0</v>
      </c>
      <c r="HU64" s="46">
        <v>0</v>
      </c>
      <c r="HV64" s="46">
        <v>0</v>
      </c>
      <c r="HW64" s="46">
        <v>0</v>
      </c>
      <c r="HX64" s="46">
        <v>0</v>
      </c>
      <c r="HY64" s="46">
        <v>0</v>
      </c>
      <c r="HZ64" s="46">
        <v>0</v>
      </c>
      <c r="IA64" s="46">
        <v>0</v>
      </c>
      <c r="IB64" s="46">
        <v>0</v>
      </c>
      <c r="IC64" s="46">
        <v>0</v>
      </c>
      <c r="ID64" s="46">
        <v>0</v>
      </c>
      <c r="IE64" s="46">
        <v>0</v>
      </c>
      <c r="IF64" s="46">
        <v>0</v>
      </c>
      <c r="IG64" s="46">
        <v>0</v>
      </c>
      <c r="IH64" s="46">
        <v>0</v>
      </c>
      <c r="II64" s="46">
        <v>669481</v>
      </c>
      <c r="IJ64" s="46">
        <v>0</v>
      </c>
      <c r="IK64" s="46">
        <v>0</v>
      </c>
      <c r="IL64" s="46">
        <v>0</v>
      </c>
      <c r="IM64" s="46">
        <v>0</v>
      </c>
      <c r="IN64" s="46">
        <v>0</v>
      </c>
      <c r="IO64" s="46">
        <v>0</v>
      </c>
      <c r="IP64" s="46">
        <v>0</v>
      </c>
      <c r="IQ64" s="46">
        <v>0</v>
      </c>
      <c r="IR64" s="46">
        <v>0</v>
      </c>
      <c r="IS64" s="46">
        <v>14247</v>
      </c>
      <c r="IT64" s="46">
        <v>0</v>
      </c>
      <c r="IU64" s="46">
        <v>16669</v>
      </c>
      <c r="IV64" s="46">
        <v>0</v>
      </c>
      <c r="IW64" s="46">
        <v>0</v>
      </c>
      <c r="IX64" s="46">
        <v>0</v>
      </c>
      <c r="IY64" s="46">
        <v>0</v>
      </c>
      <c r="IZ64" s="46">
        <v>0</v>
      </c>
      <c r="JA64" s="46">
        <v>0</v>
      </c>
      <c r="JB64" s="46">
        <v>1058795</v>
      </c>
      <c r="JC64" s="46">
        <v>0</v>
      </c>
      <c r="JD64" s="46">
        <v>0</v>
      </c>
      <c r="JE64" s="46">
        <v>0</v>
      </c>
      <c r="JF64" s="46">
        <v>0</v>
      </c>
      <c r="JG64" s="46">
        <v>0</v>
      </c>
      <c r="JH64" s="46">
        <v>0</v>
      </c>
      <c r="JI64" s="46">
        <v>1520</v>
      </c>
      <c r="JJ64" s="46">
        <v>0</v>
      </c>
      <c r="JK64" s="46">
        <v>1186145</v>
      </c>
      <c r="JL64" s="46">
        <v>0</v>
      </c>
      <c r="JM64" s="46">
        <v>0</v>
      </c>
      <c r="JN64" s="46">
        <v>0</v>
      </c>
      <c r="JO64" s="46">
        <v>0</v>
      </c>
      <c r="JP64" s="46">
        <v>0</v>
      </c>
      <c r="JQ64" s="46">
        <v>0</v>
      </c>
      <c r="JR64" s="46">
        <v>321220</v>
      </c>
      <c r="JS64" s="46">
        <v>0</v>
      </c>
      <c r="JT64" s="46">
        <v>0</v>
      </c>
      <c r="JU64" s="46">
        <v>0</v>
      </c>
      <c r="JV64" s="46">
        <v>0</v>
      </c>
      <c r="JW64" s="46">
        <v>0</v>
      </c>
      <c r="JX64" s="46">
        <v>0</v>
      </c>
      <c r="JY64" s="46">
        <v>0</v>
      </c>
      <c r="JZ64" s="46">
        <v>0</v>
      </c>
      <c r="KA64" s="46">
        <v>0</v>
      </c>
      <c r="KB64" s="46">
        <v>0</v>
      </c>
      <c r="KC64" s="46">
        <v>0</v>
      </c>
      <c r="KD64" s="46">
        <v>0</v>
      </c>
      <c r="KE64" s="46">
        <v>0</v>
      </c>
      <c r="KF64" s="46">
        <v>0</v>
      </c>
      <c r="KG64" s="46">
        <v>0</v>
      </c>
      <c r="KH64" s="46">
        <v>0</v>
      </c>
      <c r="KI64" s="46">
        <v>169</v>
      </c>
      <c r="KJ64" s="46">
        <v>42041</v>
      </c>
      <c r="KK64" s="46">
        <v>0</v>
      </c>
      <c r="KL64" s="46">
        <v>0</v>
      </c>
      <c r="KM64" s="46">
        <v>0</v>
      </c>
      <c r="KN64" s="46">
        <v>0</v>
      </c>
      <c r="KO64" s="46">
        <v>0</v>
      </c>
      <c r="KP64" s="46">
        <v>0</v>
      </c>
      <c r="KQ64" s="46">
        <v>0</v>
      </c>
      <c r="KR64" s="46">
        <v>10981522</v>
      </c>
      <c r="KS64" s="46">
        <v>1246218</v>
      </c>
      <c r="KT64" s="46">
        <v>0</v>
      </c>
      <c r="KU64" s="46">
        <v>1274748</v>
      </c>
      <c r="KV64" s="46">
        <v>0</v>
      </c>
      <c r="KW64" s="46">
        <v>0</v>
      </c>
      <c r="KX64" s="46">
        <v>0</v>
      </c>
      <c r="KY64" s="46">
        <v>0</v>
      </c>
      <c r="KZ64" s="46">
        <v>0</v>
      </c>
      <c r="LA64" s="46">
        <v>1312472</v>
      </c>
      <c r="LB64" s="46">
        <v>166084</v>
      </c>
      <c r="LC64" s="46">
        <v>0</v>
      </c>
      <c r="LD64" s="46">
        <v>57439</v>
      </c>
      <c r="LE64" s="46">
        <v>0</v>
      </c>
      <c r="LF64" s="46">
        <v>0</v>
      </c>
      <c r="LG64" s="46">
        <v>0</v>
      </c>
      <c r="LH64" s="46">
        <v>0</v>
      </c>
      <c r="LI64" s="46">
        <v>0</v>
      </c>
      <c r="LJ64" s="46">
        <v>0</v>
      </c>
      <c r="LK64" s="46">
        <v>0</v>
      </c>
      <c r="LL64" s="46">
        <v>0</v>
      </c>
      <c r="LM64" s="46">
        <v>284809</v>
      </c>
      <c r="LN64" s="46">
        <v>0</v>
      </c>
      <c r="LO64" s="46">
        <v>0</v>
      </c>
      <c r="LP64" s="46">
        <v>0</v>
      </c>
      <c r="LQ64" s="46">
        <v>0</v>
      </c>
      <c r="LR64" s="46">
        <v>0</v>
      </c>
      <c r="LS64" s="46">
        <v>0</v>
      </c>
      <c r="LT64" s="46">
        <v>0</v>
      </c>
      <c r="LU64" s="46">
        <v>1527241</v>
      </c>
      <c r="LV64" s="46">
        <v>0</v>
      </c>
      <c r="LW64" s="46">
        <v>0</v>
      </c>
      <c r="LX64" s="46">
        <v>0</v>
      </c>
      <c r="LY64" s="46">
        <v>0</v>
      </c>
      <c r="LZ64" s="46">
        <v>0</v>
      </c>
      <c r="MA64" s="46">
        <v>0</v>
      </c>
      <c r="MB64" s="46">
        <v>5683400</v>
      </c>
      <c r="MC64" s="46">
        <v>1298986</v>
      </c>
      <c r="MD64" s="46">
        <v>0</v>
      </c>
      <c r="ME64" s="46">
        <v>934793</v>
      </c>
      <c r="MF64" s="46">
        <v>0</v>
      </c>
      <c r="MG64" s="46">
        <v>0</v>
      </c>
      <c r="MH64" s="46">
        <v>0</v>
      </c>
      <c r="MI64" s="46">
        <v>0</v>
      </c>
      <c r="MJ64" s="46">
        <v>0</v>
      </c>
      <c r="MK64" s="46">
        <v>1290099</v>
      </c>
      <c r="ML64" s="46">
        <v>744593</v>
      </c>
      <c r="MM64" s="46">
        <v>0</v>
      </c>
      <c r="MN64" s="46">
        <v>-23</v>
      </c>
      <c r="MO64" s="46">
        <v>0</v>
      </c>
      <c r="MP64" s="46">
        <v>0</v>
      </c>
      <c r="MQ64" s="46">
        <v>0</v>
      </c>
      <c r="MR64" s="46">
        <v>0</v>
      </c>
      <c r="MS64" s="46">
        <v>0</v>
      </c>
      <c r="MT64" s="46">
        <v>1195935</v>
      </c>
      <c r="MU64" s="46">
        <v>101904</v>
      </c>
      <c r="MV64" s="46">
        <v>0</v>
      </c>
      <c r="MW64" s="46">
        <v>0</v>
      </c>
      <c r="MX64" s="46">
        <v>0</v>
      </c>
      <c r="MY64" s="46">
        <v>0</v>
      </c>
      <c r="MZ64" s="46">
        <v>0</v>
      </c>
      <c r="NA64" s="46">
        <v>0</v>
      </c>
      <c r="NB64" s="46">
        <v>0</v>
      </c>
      <c r="NC64" s="46">
        <v>1101672</v>
      </c>
      <c r="ND64" s="46">
        <v>59326</v>
      </c>
      <c r="NE64" s="46">
        <v>0</v>
      </c>
      <c r="NF64" s="46">
        <v>0</v>
      </c>
      <c r="NG64" s="46">
        <v>0</v>
      </c>
      <c r="NH64" s="46">
        <v>0</v>
      </c>
      <c r="NI64" s="46">
        <v>0</v>
      </c>
      <c r="NJ64" s="46">
        <v>0</v>
      </c>
      <c r="NK64" s="46">
        <v>0</v>
      </c>
      <c r="NL64" s="46">
        <v>0</v>
      </c>
      <c r="NM64" s="46">
        <v>0</v>
      </c>
      <c r="NN64" s="46">
        <v>0</v>
      </c>
      <c r="NO64" s="46">
        <v>0</v>
      </c>
      <c r="NP64" s="46">
        <v>0</v>
      </c>
      <c r="NQ64" s="46">
        <v>0</v>
      </c>
      <c r="NR64" s="46">
        <v>0</v>
      </c>
      <c r="NS64" s="46">
        <v>0</v>
      </c>
      <c r="NT64" s="46">
        <v>0</v>
      </c>
      <c r="NU64" s="46">
        <v>0</v>
      </c>
      <c r="NV64" s="46">
        <v>0</v>
      </c>
      <c r="NW64" s="46">
        <v>0</v>
      </c>
      <c r="NX64" s="46">
        <v>0</v>
      </c>
      <c r="NY64" s="46">
        <v>0</v>
      </c>
      <c r="NZ64" s="46">
        <v>0</v>
      </c>
      <c r="OA64" s="46">
        <v>0</v>
      </c>
      <c r="OB64" s="46">
        <v>0</v>
      </c>
      <c r="OC64" s="46">
        <v>0</v>
      </c>
      <c r="OD64" s="46">
        <v>0</v>
      </c>
      <c r="OE64" s="46">
        <v>43599</v>
      </c>
      <c r="OF64" s="46">
        <v>0</v>
      </c>
      <c r="OG64" s="46">
        <v>0</v>
      </c>
      <c r="OH64" s="46">
        <v>0</v>
      </c>
      <c r="OI64" s="46">
        <v>0</v>
      </c>
      <c r="OJ64" s="46">
        <v>0</v>
      </c>
      <c r="OK64" s="46">
        <v>0</v>
      </c>
      <c r="OL64" s="46">
        <v>0</v>
      </c>
      <c r="OM64" s="46">
        <v>0</v>
      </c>
      <c r="ON64" s="46">
        <v>0</v>
      </c>
      <c r="OO64" s="46">
        <v>0</v>
      </c>
      <c r="OP64" s="46">
        <v>0</v>
      </c>
      <c r="OQ64" s="46">
        <v>0</v>
      </c>
      <c r="OR64" s="46">
        <v>0</v>
      </c>
      <c r="OS64" s="46">
        <v>0</v>
      </c>
      <c r="OT64" s="46">
        <v>0</v>
      </c>
      <c r="OU64" s="46">
        <v>0</v>
      </c>
      <c r="OV64" s="46">
        <v>0</v>
      </c>
      <c r="OW64" s="46">
        <v>0</v>
      </c>
      <c r="OX64" s="46">
        <v>0</v>
      </c>
      <c r="OY64" s="46">
        <v>0</v>
      </c>
      <c r="OZ64" s="46">
        <v>0</v>
      </c>
      <c r="PA64" s="46">
        <v>0</v>
      </c>
      <c r="PB64" s="46">
        <v>-1940370</v>
      </c>
      <c r="PC64" s="46">
        <v>0</v>
      </c>
      <c r="PD64" s="46">
        <v>0</v>
      </c>
      <c r="PE64" s="46">
        <v>-39752</v>
      </c>
      <c r="PF64" s="46">
        <v>-461544</v>
      </c>
      <c r="PG64" s="46">
        <v>0</v>
      </c>
      <c r="PH64" s="46">
        <v>61267</v>
      </c>
      <c r="PI64" s="46">
        <v>0</v>
      </c>
      <c r="PJ64" s="46">
        <v>0</v>
      </c>
      <c r="PK64" s="46">
        <v>0</v>
      </c>
      <c r="PL64" s="46">
        <v>0</v>
      </c>
      <c r="PM64" s="46">
        <v>0</v>
      </c>
      <c r="PN64" s="46">
        <v>0</v>
      </c>
      <c r="PO64" s="46">
        <v>0</v>
      </c>
      <c r="PP64" s="46">
        <v>0</v>
      </c>
      <c r="PQ64" s="46">
        <v>0</v>
      </c>
      <c r="PR64" s="46">
        <v>0</v>
      </c>
      <c r="PS64" s="46">
        <v>0</v>
      </c>
      <c r="PT64" s="46">
        <v>0</v>
      </c>
      <c r="PU64" s="46">
        <v>0</v>
      </c>
      <c r="PV64" s="46">
        <v>0</v>
      </c>
      <c r="PW64" s="46">
        <v>0</v>
      </c>
      <c r="PX64" s="46">
        <v>0</v>
      </c>
      <c r="PY64" s="46">
        <v>0</v>
      </c>
      <c r="PZ64" s="46">
        <v>0</v>
      </c>
      <c r="QA64" s="46">
        <v>0</v>
      </c>
      <c r="QB64" s="46">
        <v>0</v>
      </c>
      <c r="QC64" s="46">
        <v>0</v>
      </c>
      <c r="QD64" s="46">
        <v>0</v>
      </c>
      <c r="QE64" s="46">
        <v>0</v>
      </c>
      <c r="QF64" s="46">
        <v>0</v>
      </c>
      <c r="QG64" s="46">
        <v>0</v>
      </c>
      <c r="QH64" s="46">
        <v>0</v>
      </c>
      <c r="QI64" s="46">
        <v>0</v>
      </c>
      <c r="QJ64" s="46">
        <v>0</v>
      </c>
      <c r="QK64" s="46">
        <v>26581</v>
      </c>
      <c r="QL64" s="46">
        <v>0</v>
      </c>
      <c r="QM64" s="46">
        <v>0</v>
      </c>
      <c r="QN64" s="46">
        <v>0</v>
      </c>
      <c r="QO64" s="46">
        <v>0</v>
      </c>
      <c r="QP64" s="46">
        <v>0</v>
      </c>
      <c r="QQ64" s="46">
        <v>0</v>
      </c>
      <c r="QR64" s="46">
        <v>0</v>
      </c>
      <c r="QS64" s="46">
        <v>0</v>
      </c>
      <c r="QT64" s="46">
        <v>41000</v>
      </c>
      <c r="QU64" s="46">
        <v>0</v>
      </c>
      <c r="QV64" s="46">
        <v>0</v>
      </c>
      <c r="QW64" s="46">
        <v>0</v>
      </c>
      <c r="QX64" s="46">
        <v>0</v>
      </c>
      <c r="QY64" s="46">
        <v>0</v>
      </c>
      <c r="QZ64" s="46">
        <v>0</v>
      </c>
      <c r="RA64" s="46">
        <v>0</v>
      </c>
      <c r="RB64" s="46">
        <v>0</v>
      </c>
      <c r="RC64" s="46">
        <v>0</v>
      </c>
      <c r="RD64" s="46">
        <v>0</v>
      </c>
      <c r="RE64" s="46">
        <v>0</v>
      </c>
      <c r="RF64" s="46">
        <v>0</v>
      </c>
      <c r="RG64" s="46">
        <v>0</v>
      </c>
      <c r="RH64" s="46">
        <v>0</v>
      </c>
      <c r="RI64" s="46">
        <v>0</v>
      </c>
      <c r="RJ64" s="46">
        <v>0</v>
      </c>
      <c r="RK64" s="46">
        <v>0</v>
      </c>
      <c r="RL64" s="46">
        <v>0</v>
      </c>
      <c r="RM64" s="46">
        <v>0</v>
      </c>
      <c r="RN64" s="46">
        <v>0</v>
      </c>
      <c r="RO64" s="46">
        <v>-1009761</v>
      </c>
      <c r="RP64" s="46">
        <v>0</v>
      </c>
      <c r="RQ64" s="46">
        <v>0</v>
      </c>
      <c r="RR64" s="46">
        <v>0</v>
      </c>
      <c r="RS64" s="46">
        <v>0</v>
      </c>
      <c r="RT64" s="46">
        <v>0</v>
      </c>
      <c r="RU64" s="46">
        <v>0</v>
      </c>
      <c r="RV64" s="46">
        <v>0</v>
      </c>
      <c r="RW64" s="46">
        <v>0</v>
      </c>
      <c r="RX64" s="46">
        <v>0</v>
      </c>
      <c r="RY64" s="46">
        <v>0</v>
      </c>
      <c r="RZ64" s="46">
        <v>0</v>
      </c>
      <c r="SA64" s="46">
        <v>0</v>
      </c>
      <c r="SB64" s="46">
        <v>0</v>
      </c>
      <c r="SC64" s="46">
        <v>0</v>
      </c>
      <c r="SD64" s="46">
        <v>0</v>
      </c>
      <c r="SE64" s="46">
        <v>0</v>
      </c>
      <c r="SF64" s="46">
        <v>0</v>
      </c>
      <c r="SG64" s="46">
        <v>0</v>
      </c>
      <c r="SH64" s="46">
        <v>0</v>
      </c>
      <c r="SI64" s="46">
        <v>0</v>
      </c>
      <c r="SJ64" s="46">
        <v>0</v>
      </c>
      <c r="SK64" s="46">
        <v>0</v>
      </c>
      <c r="SL64" s="46">
        <v>0</v>
      </c>
      <c r="SM64" s="46">
        <v>0</v>
      </c>
      <c r="SN64" s="46">
        <v>0</v>
      </c>
      <c r="SO64" s="46">
        <v>0</v>
      </c>
      <c r="SP64" s="46">
        <v>0</v>
      </c>
      <c r="SQ64" s="46">
        <v>0</v>
      </c>
      <c r="SR64" s="46">
        <v>43599</v>
      </c>
      <c r="SS64" s="46">
        <v>0</v>
      </c>
      <c r="ST64" s="46">
        <v>0</v>
      </c>
      <c r="SU64" s="46">
        <v>0</v>
      </c>
      <c r="SV64" s="46">
        <v>0</v>
      </c>
      <c r="SW64" s="46">
        <v>1940370</v>
      </c>
      <c r="SX64" s="46">
        <v>0</v>
      </c>
      <c r="SY64" s="46">
        <v>0</v>
      </c>
      <c r="SZ64" s="46">
        <v>0</v>
      </c>
      <c r="TA64" s="46">
        <v>26660</v>
      </c>
      <c r="TB64" s="46">
        <v>0</v>
      </c>
      <c r="TC64" s="46">
        <v>0</v>
      </c>
      <c r="TD64" s="46">
        <v>0</v>
      </c>
      <c r="TE64" s="46">
        <v>16939</v>
      </c>
      <c r="TF64" s="46">
        <v>0</v>
      </c>
      <c r="TG64" s="46">
        <v>0</v>
      </c>
      <c r="TH64" s="46">
        <v>0</v>
      </c>
      <c r="TI64" s="46">
        <v>0</v>
      </c>
      <c r="TJ64" s="46">
        <v>0</v>
      </c>
      <c r="TK64" s="46">
        <v>0</v>
      </c>
      <c r="TL64" s="46">
        <v>0</v>
      </c>
      <c r="TM64" s="46">
        <v>0</v>
      </c>
      <c r="TN64" s="46">
        <v>0</v>
      </c>
      <c r="TO64" s="46">
        <v>0</v>
      </c>
      <c r="TP64" s="46">
        <v>0</v>
      </c>
      <c r="TQ64" s="46">
        <v>0</v>
      </c>
      <c r="TR64" s="46">
        <v>0</v>
      </c>
      <c r="TS64" s="46">
        <v>0</v>
      </c>
      <c r="TT64" s="46">
        <v>0</v>
      </c>
      <c r="TU64" s="46">
        <v>0</v>
      </c>
      <c r="TV64" s="46">
        <v>0</v>
      </c>
      <c r="TW64" s="46">
        <v>0</v>
      </c>
      <c r="TX64" s="46">
        <v>0</v>
      </c>
      <c r="TY64" s="46">
        <v>0</v>
      </c>
      <c r="TZ64" s="46">
        <v>0</v>
      </c>
      <c r="UA64" s="46">
        <v>0</v>
      </c>
      <c r="UB64" s="46">
        <v>0</v>
      </c>
      <c r="UC64" s="46">
        <v>669481</v>
      </c>
      <c r="UD64" s="46">
        <v>606930</v>
      </c>
      <c r="UE64" s="46">
        <v>13502488</v>
      </c>
      <c r="UF64" s="46">
        <v>1535995</v>
      </c>
      <c r="UG64" s="46">
        <v>284809</v>
      </c>
      <c r="UH64" s="46">
        <v>1527241</v>
      </c>
      <c r="UI64" s="46">
        <v>7917179</v>
      </c>
      <c r="UJ64" s="46">
        <v>2034669</v>
      </c>
      <c r="UK64" s="46">
        <v>1297839</v>
      </c>
      <c r="UL64" s="46">
        <v>1160998</v>
      </c>
      <c r="UM64" s="46">
        <v>0</v>
      </c>
      <c r="UN64" s="46">
        <v>0</v>
      </c>
      <c r="UO64"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43599</v>
      </c>
      <c r="UP64" s="46">
        <f>SUM(Input[[#This Row],[Oth Exp E&amp;G]],Input[[#This Row],[Oth Exp Desg]],Input[[#This Row],[Oth Exp Aux]],Input[[#This Row],[Oth Exp R Exp]],Input[[#This Row],[Oth Exp Loan]],Input[[#This Row],[Oth Exp Annuity]],Input[[#This Row],[Oth Exp Unexp]],Input[[#This Row],[Oth Exp R of Ind]],Input[[#This Row],[Oth Exp Inv in P]])</f>
        <v>0</v>
      </c>
      <c r="UQ64" s="46"/>
      <c r="UR64" s="46"/>
      <c r="US64" s="8" t="s">
        <v>761</v>
      </c>
      <c r="UT64" s="47">
        <v>9362943405</v>
      </c>
      <c r="UU64" s="8" t="s">
        <v>80</v>
      </c>
      <c r="UV64" s="8" t="s">
        <v>762</v>
      </c>
      <c r="UW64" s="47">
        <v>9362943860</v>
      </c>
      <c r="UX64" s="8" t="s">
        <v>763</v>
      </c>
      <c r="UY64" s="51" cm="1">
        <f t="array" ref="UY64">IFERROR(_xlfn.IFS(Input[[#This Row],[Type]]="HRI",SUMIFS('FTSE | FTFE'!$P$8:$P$77,'FTSE | FTFE'!$H$8:$H$77,A64),Input[[#This Row],[Type]]="UNIV",SUMIFS('FTSE | FTFE'!$P$104:$P$139,'FTSE | FTFE'!$H$104:$H$139,A64),OR(Input[[#This Row],[Type]]="TSTC",Input[[#This Row],[Type]]="LSC"),SUMIFS('FTSE | FTFE'!$O$88:$O$96,'FTSE | FTFE'!$H$88:$H$96,A64),Input[[#This Row],[Type]]="AHM",SUMIFS(Hidden!$H$42:$H$45,Hidden!$G$42:$G$45,A64)),"N/A")</f>
        <v>574</v>
      </c>
      <c r="UZ64" s="51" cm="1">
        <f t="array" ref="UZ64">IFERROR(_xlfn.IFS(Input[[#This Row],[Type]]="HRI",SUMIFS('FTSE | FTFE'!$Q$8:$Q$77,'FTSE | FTFE'!$H$8:$H$77,A64),Input[[#This Row],[Type]]="UNIV",SUMIFS('FTSE | FTFE'!$Q$104:$Q$139,'FTSE | FTFE'!$H$104:$H$139,A64),OR(Input[[#This Row],[Type]]="TSTC",Input[[#This Row],[Type]]="LSC"),SUMIFS('FTSE | FTFE'!$P$88:$P$96,'FTSE | FTFE'!$H$88:$H$96,A64)),"N/A")</f>
        <v>5.05</v>
      </c>
      <c r="VA6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19355583</v>
      </c>
      <c r="VB6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64" s="46">
        <f>SUM(Input[[#This Row],[Fed G&amp;C E&amp;G]],Input[[#This Row],[Fed G&amp;C Desg]],Input[[#This Row],[Fed G&amp;C R Exp]],Input[[#This Row],[Fed G&amp;C Loan]],Input[[#This Row],[Fed G&amp;C Annuity]],Input[[#This Row],[Fed G&amp;C Unexp]],Input[[#This Row],[Fed G&amp;C R of Ind]],Input[[#This Row],[Fed G&amp;C Inv in P]])</f>
        <v>69443</v>
      </c>
      <c r="VD6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2640806</v>
      </c>
      <c r="VE6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14497558</v>
      </c>
      <c r="VF6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64" s="46">
        <f>SUM(Input[[#This Row],[Oth Inc E&amp;G]],Input[[#This Row],[Oth Exp Desg]],Input[[#This Row],[Oth Exp R Exp]],Input[[#This Row],[Oth Exp Loan]],Input[[#This Row],[Oth Exp Annuity]],Input[[#This Row],[Oth Exp Unexp]],Input[[#This Row],[Oth Exp R of Ind]],Input[[#This Row],[Oth Exp Inv in P]])</f>
        <v>169</v>
      </c>
      <c r="VH64" s="46">
        <f>SUM(Input[[#This Row],[Instr E&amp;G]],Input[[#This Row],[Instr Desg]],Input[[#This Row],[Instr R Exp]],Input[[#This Row],[Instr Loan]],Input[[#This Row],[Instr Annuity]],Input[[#This Row],[Instr Unexp]],Input[[#This Row],[Instr R of Ind]],Input[[#This Row],[Instr Inv in P]])</f>
        <v>13502488</v>
      </c>
      <c r="VI64" s="46">
        <f>SUM(Input[[#This Row],[Res E&amp;G]],Input[[#This Row],[Res Desg]],Input[[#This Row],[Res R Exp]],Input[[#This Row],[Res Loan]],Input[[#This Row],[Res Annuity]],Input[[#This Row],[Res Unexp]],Input[[#This Row],[Res R of Ind]],Input[[#This Row],[Res Inv in P]])</f>
        <v>1535995</v>
      </c>
      <c r="VJ64" s="46">
        <f>SUM(Input[[#This Row],[Acad Sup E&amp;G]],Input[[#This Row],[Acad Sup Desg]],Input[[#This Row],[Acad Sup R Exp]],Input[[#This Row],[Acad Sup Loan]],Input[[#This Row],[Acad Sup Annuity]],Input[[#This Row],[Acad Sup Unexp]],Input[[#This Row],[Acad Sup R of Ind]],Input[[#This Row],[Acad Sup Inv in P]])</f>
        <v>7917179</v>
      </c>
      <c r="VK64" s="46">
        <f>SUM(Input[[#This Row],[Stu Svc E&amp;G]],Input[[#This Row],[Stu Svc Desg]],Input[[#This Row],[Stu Svc R Exp]],Input[[#This Row],[Stu Svc Loan]],Input[[#This Row],[Stu Svc Annuity]],Input[[#This Row],[Stu Svc Unexp]],Input[[#This Row],[Stu Svc R of Ind]],Input[[#This Row],[Stu Svc Inv in P]])</f>
        <v>2034669</v>
      </c>
      <c r="VL64" s="46">
        <f>SUM(Input[[#This Row],[Inst. Spt E&amp;G]],Input[[#This Row],[Inst. Spt Desg]],Input[[#This Row],[Inst. Spt R Exp]],Input[[#This Row],[Inst. Spt Loan]],Input[[#This Row],[Inst. Spt Annuity]],Input[[#This Row],[Inst. Spt Unexp]],Input[[#This Row],[Inst. Spt R of Ind]],Input[[#This Row],[Inst. Spt Inv in P]])</f>
        <v>1297839</v>
      </c>
      <c r="VM64" s="46">
        <f>SUM(Input[[#This Row],[M&amp;O Plnt E&amp;G]],Input[[#This Row],[M&amp;O Plnt Desg]],Input[[#This Row],[M&amp;O Plnt R Exp]],Input[[#This Row],[M&amp;O Plnt Loan]],Input[[#This Row],[M&amp;O Plnt Annuity]],Input[[#This Row],[M&amp;O Plnt Unexp]],Input[[#This Row],[M&amp;O Plnt R of Ind]],Input[[#This Row],[M&amp;O Plnt Inv in P]])</f>
        <v>1160998</v>
      </c>
      <c r="VN64"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64" s="46">
        <f>SUM(Input[[#This Row],[Cap Out fund E&amp;G]],Input[[#This Row],[Cap Out fund Desg]],Input[[#This Row],[Cap Out fund R Exp]],Input[[#This Row],[Cap Out fund Loan]],Input[[#This Row],[Cap Out fund Annuity]],Input[[#This Row],[Cap Out fund Unexp]],Input[[#This Row],[Cap Out fund R of Ind]],Input[[#This Row],[Cap Out fund Inv in P]])</f>
        <v>43599</v>
      </c>
      <c r="VP64" s="46">
        <f>SUM(Input[[#This Row],[Oth Exp E&amp;G]],Input[[#This Row],[Oth Exp Desg]],Input[[#This Row],[Oth Exp R Exp]],Input[[#This Row],[Oth Exp Loan]],Input[[#This Row],[Oth Exp Annuity]],Input[[#This Row],[Oth Exp Unexp]],Input[[#This Row],[Oth Exp R of Ind]],Input[[#This Row],[Oth Exp Inv in P]],Input[[#This Row],[Oth Exp Inv in P]])</f>
        <v>0</v>
      </c>
    </row>
    <row r="65" spans="1:588" ht="30" customHeight="1" x14ac:dyDescent="0.3">
      <c r="A65" s="15" t="s">
        <v>173</v>
      </c>
      <c r="B65" s="36" t="s">
        <v>121</v>
      </c>
      <c r="C65" s="36" t="s">
        <v>120</v>
      </c>
      <c r="D65" s="36">
        <v>1000</v>
      </c>
      <c r="E65" s="36" t="s">
        <v>132</v>
      </c>
      <c r="F65" s="95" t="s">
        <v>106</v>
      </c>
      <c r="G65" s="46">
        <v>9149709</v>
      </c>
      <c r="H65" s="46">
        <v>0</v>
      </c>
      <c r="I65" s="46">
        <v>0</v>
      </c>
      <c r="J65" s="46">
        <v>0</v>
      </c>
      <c r="K65" s="46">
        <v>0</v>
      </c>
      <c r="L65" s="46">
        <v>0</v>
      </c>
      <c r="M65" s="46">
        <v>0</v>
      </c>
      <c r="N65" s="46">
        <v>0</v>
      </c>
      <c r="O65" s="46">
        <v>0</v>
      </c>
      <c r="P65" s="46">
        <v>0</v>
      </c>
      <c r="Q65" s="46">
        <v>0</v>
      </c>
      <c r="R65" s="46">
        <v>0</v>
      </c>
      <c r="S65" s="46">
        <v>8725268</v>
      </c>
      <c r="T65" s="46">
        <v>0</v>
      </c>
      <c r="U65" s="46">
        <v>0</v>
      </c>
      <c r="V65" s="46">
        <v>0</v>
      </c>
      <c r="W65" s="46">
        <v>0</v>
      </c>
      <c r="X65" s="46">
        <v>0</v>
      </c>
      <c r="Y65" s="46">
        <v>0</v>
      </c>
      <c r="Z65" s="46">
        <v>0</v>
      </c>
      <c r="AA65" s="46">
        <v>0</v>
      </c>
      <c r="AB65" s="46">
        <v>0</v>
      </c>
      <c r="AC65" s="46">
        <v>0</v>
      </c>
      <c r="AD65" s="46">
        <v>0</v>
      </c>
      <c r="AE65" s="46">
        <v>0</v>
      </c>
      <c r="AF65" s="46">
        <v>0</v>
      </c>
      <c r="AG65" s="46">
        <v>0</v>
      </c>
      <c r="AH65" s="46">
        <v>0</v>
      </c>
      <c r="AI65" s="46">
        <v>0</v>
      </c>
      <c r="AJ65" s="46">
        <v>0</v>
      </c>
      <c r="AK65" s="46">
        <v>0</v>
      </c>
      <c r="AL65" s="46">
        <v>0</v>
      </c>
      <c r="AM65" s="46">
        <v>0</v>
      </c>
      <c r="AN65" s="46">
        <v>0</v>
      </c>
      <c r="AO65" s="46">
        <v>0</v>
      </c>
      <c r="AP65" s="46">
        <v>0</v>
      </c>
      <c r="AQ65" s="46">
        <v>0</v>
      </c>
      <c r="AR65" s="46">
        <v>0</v>
      </c>
      <c r="AS65" s="46">
        <v>0</v>
      </c>
      <c r="AT65" s="46">
        <v>0</v>
      </c>
      <c r="AU65" s="46">
        <v>0</v>
      </c>
      <c r="AV65" s="46">
        <v>0</v>
      </c>
      <c r="AW65" s="46">
        <v>0</v>
      </c>
      <c r="AX65" s="46">
        <v>0</v>
      </c>
      <c r="AY65" s="46">
        <v>0</v>
      </c>
      <c r="AZ65" s="46">
        <v>0</v>
      </c>
      <c r="BA65" s="46">
        <v>0</v>
      </c>
      <c r="BB65" s="46">
        <v>0</v>
      </c>
      <c r="BC65" s="46">
        <v>0</v>
      </c>
      <c r="BD65" s="46">
        <v>0</v>
      </c>
      <c r="BE65" s="46">
        <v>0</v>
      </c>
      <c r="BF65" s="46">
        <v>0</v>
      </c>
      <c r="BG65" s="46">
        <v>0</v>
      </c>
      <c r="BH65" s="46">
        <v>0</v>
      </c>
      <c r="BI65" s="46">
        <v>0</v>
      </c>
      <c r="BJ65" s="46">
        <v>0</v>
      </c>
      <c r="BK65" s="46">
        <v>0</v>
      </c>
      <c r="BL65" s="46">
        <v>0</v>
      </c>
      <c r="BM65" s="46">
        <v>0</v>
      </c>
      <c r="BN65" s="46">
        <v>0</v>
      </c>
      <c r="BO65" s="46">
        <v>0</v>
      </c>
      <c r="BP65" s="46">
        <v>0</v>
      </c>
      <c r="BQ65" s="46">
        <v>0</v>
      </c>
      <c r="BR65" s="46">
        <v>0</v>
      </c>
      <c r="BS65" s="46">
        <v>0</v>
      </c>
      <c r="BT65" s="46">
        <v>0</v>
      </c>
      <c r="BU65" s="46">
        <v>0</v>
      </c>
      <c r="BV65" s="46">
        <v>0</v>
      </c>
      <c r="BW65" s="46">
        <v>0</v>
      </c>
      <c r="BX65" s="46">
        <v>0</v>
      </c>
      <c r="BY65" s="46">
        <v>0</v>
      </c>
      <c r="BZ65" s="46">
        <v>0</v>
      </c>
      <c r="CA65" s="46">
        <v>0</v>
      </c>
      <c r="CB65" s="46">
        <v>0</v>
      </c>
      <c r="CC65" s="46">
        <v>0</v>
      </c>
      <c r="CD65" s="46">
        <v>0</v>
      </c>
      <c r="CE65" s="46">
        <v>0</v>
      </c>
      <c r="CF65" s="46">
        <v>0</v>
      </c>
      <c r="CG65" s="46">
        <v>0</v>
      </c>
      <c r="CH65" s="46">
        <v>0</v>
      </c>
      <c r="CI65" s="46">
        <v>0</v>
      </c>
      <c r="CJ65" s="46">
        <v>0</v>
      </c>
      <c r="CK65" s="46">
        <v>0</v>
      </c>
      <c r="CL65" s="46">
        <v>0</v>
      </c>
      <c r="CM65" s="46">
        <v>0</v>
      </c>
      <c r="CN65" s="46">
        <v>0</v>
      </c>
      <c r="CO65" s="46">
        <v>0</v>
      </c>
      <c r="CP65" s="46">
        <v>0</v>
      </c>
      <c r="CQ65" s="46">
        <v>0</v>
      </c>
      <c r="CR65" s="46">
        <v>0</v>
      </c>
      <c r="CS65" s="46">
        <v>0</v>
      </c>
      <c r="CT65" s="46">
        <v>0</v>
      </c>
      <c r="CU65" s="46">
        <v>0</v>
      </c>
      <c r="CV65" s="46">
        <v>0</v>
      </c>
      <c r="CW65" s="46">
        <v>0</v>
      </c>
      <c r="CX65" s="46">
        <v>0</v>
      </c>
      <c r="CY65" s="46">
        <v>0</v>
      </c>
      <c r="CZ65" s="46">
        <v>0</v>
      </c>
      <c r="DA65" s="46">
        <v>0</v>
      </c>
      <c r="DB65" s="46">
        <v>0</v>
      </c>
      <c r="DC65" s="46">
        <v>0</v>
      </c>
      <c r="DD65" s="46">
        <v>0</v>
      </c>
      <c r="DE65" s="46">
        <v>0</v>
      </c>
      <c r="DF65" s="46">
        <v>0</v>
      </c>
      <c r="DG65" s="46">
        <v>0</v>
      </c>
      <c r="DH65" s="46">
        <v>0</v>
      </c>
      <c r="DI65" s="46">
        <v>0</v>
      </c>
      <c r="DJ65" s="46">
        <v>0</v>
      </c>
      <c r="DK65" s="46">
        <v>0</v>
      </c>
      <c r="DL65" s="46">
        <v>0</v>
      </c>
      <c r="DM65" s="46">
        <v>0</v>
      </c>
      <c r="DN65" s="46">
        <v>0</v>
      </c>
      <c r="DO65" s="46">
        <v>0</v>
      </c>
      <c r="DP65" s="46">
        <v>0</v>
      </c>
      <c r="DQ65" s="46">
        <v>0</v>
      </c>
      <c r="DR65" s="46">
        <v>0</v>
      </c>
      <c r="DS65" s="46">
        <v>0</v>
      </c>
      <c r="DT65" s="46">
        <v>0</v>
      </c>
      <c r="DU65" s="46">
        <v>0</v>
      </c>
      <c r="DV65" s="46">
        <v>0</v>
      </c>
      <c r="DW65" s="46">
        <v>0</v>
      </c>
      <c r="DX65" s="46">
        <v>0</v>
      </c>
      <c r="DY65" s="46">
        <v>0</v>
      </c>
      <c r="DZ65" s="46">
        <v>0</v>
      </c>
      <c r="EA65" s="46">
        <v>0</v>
      </c>
      <c r="EB65" s="46">
        <v>0</v>
      </c>
      <c r="EC65" s="46">
        <v>0</v>
      </c>
      <c r="ED65" s="46">
        <v>0</v>
      </c>
      <c r="EE65" s="46">
        <v>0</v>
      </c>
      <c r="EF65" s="46">
        <v>0</v>
      </c>
      <c r="EG65" s="46">
        <v>0</v>
      </c>
      <c r="EH65" s="46">
        <v>0</v>
      </c>
      <c r="EI65" s="46">
        <v>0</v>
      </c>
      <c r="EJ65" s="46">
        <v>0</v>
      </c>
      <c r="EK65" s="46">
        <v>0</v>
      </c>
      <c r="EL65" s="46">
        <v>0</v>
      </c>
      <c r="EM65" s="46">
        <v>0</v>
      </c>
      <c r="EN65" s="46">
        <v>0</v>
      </c>
      <c r="EO65" s="46">
        <v>0</v>
      </c>
      <c r="EP65" s="46">
        <v>0</v>
      </c>
      <c r="EQ65" s="46">
        <v>0</v>
      </c>
      <c r="ER65" s="46">
        <v>0</v>
      </c>
      <c r="ES65" s="46">
        <v>0</v>
      </c>
      <c r="ET65" s="46">
        <v>0</v>
      </c>
      <c r="EU65" s="46">
        <v>0</v>
      </c>
      <c r="EV65" s="46">
        <v>0</v>
      </c>
      <c r="EW65" s="46">
        <v>0</v>
      </c>
      <c r="EX65" s="46">
        <v>0</v>
      </c>
      <c r="EY65" s="46">
        <v>0</v>
      </c>
      <c r="EZ65" s="46">
        <v>0</v>
      </c>
      <c r="FA65" s="46">
        <v>0</v>
      </c>
      <c r="FB65" s="46">
        <v>0</v>
      </c>
      <c r="FC65" s="46">
        <v>0</v>
      </c>
      <c r="FD65" s="46">
        <v>0</v>
      </c>
      <c r="FE65" s="46">
        <v>0</v>
      </c>
      <c r="FF65" s="46">
        <v>0</v>
      </c>
      <c r="FG65" s="46">
        <v>0</v>
      </c>
      <c r="FH65" s="46">
        <v>0</v>
      </c>
      <c r="FI65" s="46">
        <v>0</v>
      </c>
      <c r="FJ65" s="46">
        <v>0</v>
      </c>
      <c r="FK65" s="46">
        <v>0</v>
      </c>
      <c r="FL65" s="46">
        <v>0</v>
      </c>
      <c r="FM65" s="46">
        <v>0</v>
      </c>
      <c r="FN65" s="46">
        <v>0</v>
      </c>
      <c r="FO65" s="46">
        <v>0</v>
      </c>
      <c r="FP65" s="46">
        <v>0</v>
      </c>
      <c r="FQ65" s="46">
        <v>0</v>
      </c>
      <c r="FR65" s="46">
        <v>0</v>
      </c>
      <c r="FS65" s="46">
        <v>0</v>
      </c>
      <c r="FT65" s="46">
        <v>0</v>
      </c>
      <c r="FU65" s="46">
        <v>0</v>
      </c>
      <c r="FV65" s="46">
        <v>0</v>
      </c>
      <c r="FW65" s="46">
        <v>0</v>
      </c>
      <c r="FX65" s="46">
        <v>0</v>
      </c>
      <c r="FY65" s="46">
        <v>0</v>
      </c>
      <c r="FZ65" s="46">
        <v>0</v>
      </c>
      <c r="GA65" s="46">
        <v>0</v>
      </c>
      <c r="GB65" s="46">
        <v>0</v>
      </c>
      <c r="GC65" s="46">
        <v>0</v>
      </c>
      <c r="GD65" s="46">
        <v>0</v>
      </c>
      <c r="GE65" s="46">
        <v>0</v>
      </c>
      <c r="GF65" s="46">
        <v>0</v>
      </c>
      <c r="GG65" s="46">
        <v>0</v>
      </c>
      <c r="GH65" s="46">
        <v>0</v>
      </c>
      <c r="GI65" s="46">
        <v>0</v>
      </c>
      <c r="GJ65" s="46">
        <v>0</v>
      </c>
      <c r="GK65" s="46">
        <v>0</v>
      </c>
      <c r="GL65" s="46">
        <v>0</v>
      </c>
      <c r="GM65" s="46">
        <v>0</v>
      </c>
      <c r="GN65" s="46">
        <v>0</v>
      </c>
      <c r="GO65" s="46">
        <v>0</v>
      </c>
      <c r="GP65" s="46">
        <v>0</v>
      </c>
      <c r="GQ65" s="46">
        <v>0</v>
      </c>
      <c r="GR65" s="46">
        <v>0</v>
      </c>
      <c r="GS65" s="46">
        <v>0</v>
      </c>
      <c r="GT65" s="46">
        <v>0</v>
      </c>
      <c r="GU65" s="46">
        <v>0</v>
      </c>
      <c r="GV65" s="46">
        <v>0</v>
      </c>
      <c r="GW65" s="46">
        <v>0</v>
      </c>
      <c r="GX65" s="46">
        <v>0</v>
      </c>
      <c r="GY65" s="46">
        <v>0</v>
      </c>
      <c r="GZ65" s="46">
        <v>0</v>
      </c>
      <c r="HA65" s="46">
        <v>0</v>
      </c>
      <c r="HB65" s="46">
        <v>0</v>
      </c>
      <c r="HC65" s="46">
        <v>0</v>
      </c>
      <c r="HD65" s="46">
        <v>0</v>
      </c>
      <c r="HE65" s="46">
        <v>0</v>
      </c>
      <c r="HF65" s="46">
        <v>0</v>
      </c>
      <c r="HG65" s="46">
        <v>0</v>
      </c>
      <c r="HH65" s="46">
        <v>0</v>
      </c>
      <c r="HI65" s="46">
        <v>0</v>
      </c>
      <c r="HJ65" s="46">
        <v>0</v>
      </c>
      <c r="HK65" s="46">
        <v>0</v>
      </c>
      <c r="HL65" s="46">
        <v>0</v>
      </c>
      <c r="HM65" s="46">
        <v>0</v>
      </c>
      <c r="HN65" s="46">
        <v>0</v>
      </c>
      <c r="HO65" s="46">
        <v>0</v>
      </c>
      <c r="HP65" s="46">
        <v>0</v>
      </c>
      <c r="HQ65" s="46">
        <v>0</v>
      </c>
      <c r="HR65" s="46">
        <v>34485453</v>
      </c>
      <c r="HS65" s="46">
        <v>0</v>
      </c>
      <c r="HT65" s="46">
        <v>0</v>
      </c>
      <c r="HU65" s="46">
        <v>0</v>
      </c>
      <c r="HV65" s="46">
        <v>0</v>
      </c>
      <c r="HW65" s="46">
        <v>0</v>
      </c>
      <c r="HX65" s="46">
        <v>0</v>
      </c>
      <c r="HY65" s="46">
        <v>0</v>
      </c>
      <c r="HZ65" s="46">
        <v>0</v>
      </c>
      <c r="IA65" s="46">
        <v>0</v>
      </c>
      <c r="IB65" s="46">
        <v>0</v>
      </c>
      <c r="IC65" s="46">
        <v>0</v>
      </c>
      <c r="ID65" s="46">
        <v>0</v>
      </c>
      <c r="IE65" s="46">
        <v>0</v>
      </c>
      <c r="IF65" s="46">
        <v>0</v>
      </c>
      <c r="IG65" s="46">
        <v>0</v>
      </c>
      <c r="IH65" s="46">
        <v>0</v>
      </c>
      <c r="II65" s="46">
        <v>0</v>
      </c>
      <c r="IJ65" s="46">
        <v>0</v>
      </c>
      <c r="IK65" s="46">
        <v>0</v>
      </c>
      <c r="IL65" s="46">
        <v>0</v>
      </c>
      <c r="IM65" s="46">
        <v>0</v>
      </c>
      <c r="IN65" s="46">
        <v>0</v>
      </c>
      <c r="IO65" s="46">
        <v>0</v>
      </c>
      <c r="IP65" s="46">
        <v>243166</v>
      </c>
      <c r="IQ65" s="46">
        <v>1751070</v>
      </c>
      <c r="IR65" s="46">
        <v>0</v>
      </c>
      <c r="IS65" s="46">
        <v>0</v>
      </c>
      <c r="IT65" s="46">
        <v>0</v>
      </c>
      <c r="IU65" s="46">
        <v>0</v>
      </c>
      <c r="IV65" s="46">
        <v>9630510</v>
      </c>
      <c r="IW65" s="46">
        <v>0</v>
      </c>
      <c r="IX65" s="46">
        <v>0</v>
      </c>
      <c r="IY65" s="46">
        <v>0</v>
      </c>
      <c r="IZ65" s="46">
        <v>0</v>
      </c>
      <c r="JA65" s="46">
        <v>0</v>
      </c>
      <c r="JB65" s="46">
        <v>0</v>
      </c>
      <c r="JC65" s="46">
        <v>0</v>
      </c>
      <c r="JD65" s="46">
        <v>0</v>
      </c>
      <c r="JE65" s="46">
        <v>0</v>
      </c>
      <c r="JF65" s="46">
        <v>0</v>
      </c>
      <c r="JG65" s="46">
        <v>0</v>
      </c>
      <c r="JH65" s="46">
        <v>0</v>
      </c>
      <c r="JI65" s="46">
        <v>0</v>
      </c>
      <c r="JJ65" s="46">
        <v>0</v>
      </c>
      <c r="JK65" s="46">
        <v>0</v>
      </c>
      <c r="JL65" s="46">
        <v>0</v>
      </c>
      <c r="JM65" s="46">
        <v>0</v>
      </c>
      <c r="JN65" s="46">
        <v>0</v>
      </c>
      <c r="JO65" s="46">
        <v>0</v>
      </c>
      <c r="JP65" s="46">
        <v>0</v>
      </c>
      <c r="JQ65" s="46">
        <v>0</v>
      </c>
      <c r="JR65" s="46">
        <v>327824</v>
      </c>
      <c r="JS65" s="46">
        <v>0</v>
      </c>
      <c r="JT65" s="46">
        <v>0</v>
      </c>
      <c r="JU65" s="46">
        <v>0</v>
      </c>
      <c r="JV65" s="46">
        <v>0</v>
      </c>
      <c r="JW65" s="46">
        <v>0</v>
      </c>
      <c r="JX65" s="46">
        <v>0</v>
      </c>
      <c r="JY65" s="46">
        <v>0</v>
      </c>
      <c r="JZ65" s="46">
        <v>0</v>
      </c>
      <c r="KA65" s="46">
        <v>0</v>
      </c>
      <c r="KB65" s="46">
        <v>0</v>
      </c>
      <c r="KC65" s="46">
        <v>0</v>
      </c>
      <c r="KD65" s="46">
        <v>0</v>
      </c>
      <c r="KE65" s="46">
        <v>0</v>
      </c>
      <c r="KF65" s="46">
        <v>0</v>
      </c>
      <c r="KG65" s="46">
        <v>0</v>
      </c>
      <c r="KH65" s="46">
        <v>0</v>
      </c>
      <c r="KI65" s="46">
        <v>0</v>
      </c>
      <c r="KJ65" s="46">
        <v>3092</v>
      </c>
      <c r="KK65" s="46">
        <v>0</v>
      </c>
      <c r="KL65" s="46">
        <v>0</v>
      </c>
      <c r="KM65" s="46">
        <v>0</v>
      </c>
      <c r="KN65" s="46">
        <v>0</v>
      </c>
      <c r="KO65" s="46">
        <v>0</v>
      </c>
      <c r="KP65" s="46">
        <v>0</v>
      </c>
      <c r="KQ65" s="46">
        <v>0</v>
      </c>
      <c r="KR65" s="46">
        <v>903455</v>
      </c>
      <c r="KS65" s="46">
        <v>1902655</v>
      </c>
      <c r="KT65" s="46">
        <v>-245</v>
      </c>
      <c r="KU65" s="46">
        <v>0</v>
      </c>
      <c r="KV65" s="46">
        <v>0</v>
      </c>
      <c r="KW65" s="46">
        <v>0</v>
      </c>
      <c r="KX65" s="46">
        <v>0</v>
      </c>
      <c r="KY65" s="46">
        <v>0</v>
      </c>
      <c r="KZ65" s="46">
        <v>0</v>
      </c>
      <c r="LA65" s="46">
        <v>111458</v>
      </c>
      <c r="LB65" s="46">
        <v>1878966</v>
      </c>
      <c r="LC65" s="46">
        <v>-5</v>
      </c>
      <c r="LD65" s="46">
        <v>0</v>
      </c>
      <c r="LE65" s="46">
        <v>0</v>
      </c>
      <c r="LF65" s="46">
        <v>0</v>
      </c>
      <c r="LG65" s="46">
        <v>0</v>
      </c>
      <c r="LH65" s="46">
        <v>0</v>
      </c>
      <c r="LI65" s="46">
        <v>0</v>
      </c>
      <c r="LJ65" s="46">
        <v>0</v>
      </c>
      <c r="LK65" s="46">
        <v>0</v>
      </c>
      <c r="LL65" s="46">
        <v>0</v>
      </c>
      <c r="LM65" s="46">
        <v>0</v>
      </c>
      <c r="LN65" s="46">
        <v>0</v>
      </c>
      <c r="LO65" s="46">
        <v>0</v>
      </c>
      <c r="LP65" s="46">
        <v>0</v>
      </c>
      <c r="LQ65" s="46">
        <v>0</v>
      </c>
      <c r="LR65" s="46">
        <v>0</v>
      </c>
      <c r="LS65" s="46">
        <v>0</v>
      </c>
      <c r="LT65" s="46">
        <v>0</v>
      </c>
      <c r="LU65" s="46">
        <v>0</v>
      </c>
      <c r="LV65" s="46">
        <v>0</v>
      </c>
      <c r="LW65" s="46">
        <v>0</v>
      </c>
      <c r="LX65" s="46">
        <v>0</v>
      </c>
      <c r="LY65" s="46">
        <v>0</v>
      </c>
      <c r="LZ65" s="46">
        <v>0</v>
      </c>
      <c r="MA65" s="46">
        <v>0</v>
      </c>
      <c r="MB65" s="46">
        <v>3773</v>
      </c>
      <c r="MC65" s="46">
        <v>811785</v>
      </c>
      <c r="MD65" s="46">
        <v>-78</v>
      </c>
      <c r="ME65" s="46">
        <v>0</v>
      </c>
      <c r="MF65" s="46">
        <v>0</v>
      </c>
      <c r="MG65" s="46">
        <v>0</v>
      </c>
      <c r="MH65" s="46">
        <v>0</v>
      </c>
      <c r="MI65" s="46">
        <v>0</v>
      </c>
      <c r="MJ65" s="46">
        <v>0</v>
      </c>
      <c r="MK65" s="46">
        <v>3367</v>
      </c>
      <c r="ML65" s="46">
        <v>923078</v>
      </c>
      <c r="MM65" s="46">
        <v>-69</v>
      </c>
      <c r="MN65" s="46">
        <v>0</v>
      </c>
      <c r="MO65" s="46">
        <v>0</v>
      </c>
      <c r="MP65" s="46">
        <v>0</v>
      </c>
      <c r="MQ65" s="46">
        <v>0</v>
      </c>
      <c r="MR65" s="46">
        <v>0</v>
      </c>
      <c r="MS65" s="46">
        <v>0</v>
      </c>
      <c r="MT65" s="46">
        <v>4645784</v>
      </c>
      <c r="MU65" s="46">
        <v>5793094</v>
      </c>
      <c r="MV65" s="46">
        <v>438</v>
      </c>
      <c r="MW65" s="46">
        <v>0</v>
      </c>
      <c r="MX65" s="46">
        <v>0</v>
      </c>
      <c r="MY65" s="46">
        <v>0</v>
      </c>
      <c r="MZ65" s="46">
        <v>0</v>
      </c>
      <c r="NA65" s="46">
        <v>0</v>
      </c>
      <c r="NB65" s="46">
        <v>0</v>
      </c>
      <c r="NC65" s="46">
        <v>747552</v>
      </c>
      <c r="ND65" s="46">
        <v>406724</v>
      </c>
      <c r="NE65" s="46">
        <v>-30</v>
      </c>
      <c r="NF65" s="46">
        <v>0</v>
      </c>
      <c r="NG65" s="46">
        <v>0</v>
      </c>
      <c r="NH65" s="46">
        <v>0</v>
      </c>
      <c r="NI65" s="46">
        <v>0</v>
      </c>
      <c r="NJ65" s="46">
        <v>0</v>
      </c>
      <c r="NK65" s="46">
        <v>0</v>
      </c>
      <c r="NL65" s="46">
        <v>0</v>
      </c>
      <c r="NM65" s="46">
        <v>-181</v>
      </c>
      <c r="NN65" s="46">
        <v>0</v>
      </c>
      <c r="NO65" s="46">
        <v>-1093</v>
      </c>
      <c r="NP65" s="46">
        <v>0</v>
      </c>
      <c r="NQ65" s="46">
        <v>0</v>
      </c>
      <c r="NR65" s="46">
        <v>0</v>
      </c>
      <c r="NS65" s="46">
        <v>0</v>
      </c>
      <c r="NT65" s="46">
        <v>0</v>
      </c>
      <c r="NU65" s="46">
        <v>448</v>
      </c>
      <c r="NV65" s="46">
        <v>70555</v>
      </c>
      <c r="NW65" s="46">
        <v>-541</v>
      </c>
      <c r="NX65" s="46">
        <v>0</v>
      </c>
      <c r="NY65" s="46">
        <v>0</v>
      </c>
      <c r="NZ65" s="46">
        <v>0</v>
      </c>
      <c r="OA65" s="46">
        <v>0</v>
      </c>
      <c r="OB65" s="46">
        <v>0</v>
      </c>
      <c r="OC65" s="46">
        <v>0</v>
      </c>
      <c r="OD65" s="46">
        <v>0</v>
      </c>
      <c r="OE65" s="46">
        <v>169570</v>
      </c>
      <c r="OF65" s="46">
        <v>0</v>
      </c>
      <c r="OG65" s="46">
        <v>0</v>
      </c>
      <c r="OH65" s="46">
        <v>0</v>
      </c>
      <c r="OI65" s="46">
        <v>0</v>
      </c>
      <c r="OJ65" s="46">
        <v>0</v>
      </c>
      <c r="OK65" s="46">
        <v>0</v>
      </c>
      <c r="OL65" s="46">
        <v>0</v>
      </c>
      <c r="OM65" s="46">
        <v>0</v>
      </c>
      <c r="ON65" s="46">
        <v>0</v>
      </c>
      <c r="OO65" s="46">
        <v>0</v>
      </c>
      <c r="OP65" s="46">
        <v>0</v>
      </c>
      <c r="OQ65" s="46">
        <v>0</v>
      </c>
      <c r="OR65" s="46">
        <v>0</v>
      </c>
      <c r="OS65" s="46">
        <v>0</v>
      </c>
      <c r="OT65" s="46">
        <v>0</v>
      </c>
      <c r="OU65" s="46">
        <v>0</v>
      </c>
      <c r="OV65" s="46">
        <v>0</v>
      </c>
      <c r="OW65" s="46">
        <v>0</v>
      </c>
      <c r="OX65" s="46">
        <v>0</v>
      </c>
      <c r="OY65" s="46">
        <v>0</v>
      </c>
      <c r="OZ65" s="46">
        <v>0</v>
      </c>
      <c r="PA65" s="46">
        <v>0</v>
      </c>
      <c r="PB65" s="46">
        <v>0</v>
      </c>
      <c r="PC65" s="46">
        <v>0</v>
      </c>
      <c r="PD65" s="46">
        <v>0</v>
      </c>
      <c r="PE65" s="46">
        <v>-3233205</v>
      </c>
      <c r="PF65" s="46">
        <v>-2655172</v>
      </c>
      <c r="PG65" s="46">
        <v>0</v>
      </c>
      <c r="PH65" s="46">
        <v>0</v>
      </c>
      <c r="PI65" s="46">
        <v>0</v>
      </c>
      <c r="PJ65" s="46">
        <v>0</v>
      </c>
      <c r="PK65" s="46">
        <v>-7411345</v>
      </c>
      <c r="PL65" s="46">
        <v>0</v>
      </c>
      <c r="PM65" s="46">
        <v>0</v>
      </c>
      <c r="PN65" s="46">
        <v>0</v>
      </c>
      <c r="PO65" s="46">
        <v>0</v>
      </c>
      <c r="PP65" s="46">
        <v>0</v>
      </c>
      <c r="PQ65" s="46">
        <v>0</v>
      </c>
      <c r="PR65" s="46">
        <v>0</v>
      </c>
      <c r="PS65" s="46">
        <v>0</v>
      </c>
      <c r="PT65" s="46">
        <v>0</v>
      </c>
      <c r="PU65" s="46">
        <v>0</v>
      </c>
      <c r="PV65" s="46">
        <v>0</v>
      </c>
      <c r="PW65" s="46">
        <v>0</v>
      </c>
      <c r="PX65" s="46">
        <v>0</v>
      </c>
      <c r="PY65" s="46">
        <v>0</v>
      </c>
      <c r="PZ65" s="46">
        <v>0</v>
      </c>
      <c r="QA65" s="46">
        <v>0</v>
      </c>
      <c r="QB65" s="46">
        <v>0</v>
      </c>
      <c r="QC65" s="46">
        <v>0</v>
      </c>
      <c r="QD65" s="46">
        <v>0</v>
      </c>
      <c r="QE65" s="46">
        <v>-266597</v>
      </c>
      <c r="QF65" s="46">
        <v>0</v>
      </c>
      <c r="QG65" s="46">
        <v>0</v>
      </c>
      <c r="QH65" s="46">
        <v>0</v>
      </c>
      <c r="QI65" s="46">
        <v>0</v>
      </c>
      <c r="QJ65" s="46">
        <v>0</v>
      </c>
      <c r="QK65" s="46">
        <v>0</v>
      </c>
      <c r="QL65" s="46">
        <v>0</v>
      </c>
      <c r="QM65" s="46">
        <v>0</v>
      </c>
      <c r="QN65" s="46">
        <v>0</v>
      </c>
      <c r="QO65" s="46">
        <v>0</v>
      </c>
      <c r="QP65" s="46">
        <v>0</v>
      </c>
      <c r="QQ65" s="46">
        <v>0</v>
      </c>
      <c r="QR65" s="46">
        <v>0</v>
      </c>
      <c r="QS65" s="46">
        <v>0</v>
      </c>
      <c r="QT65" s="46">
        <v>0</v>
      </c>
      <c r="QU65" s="46">
        <v>0</v>
      </c>
      <c r="QV65" s="46">
        <v>0</v>
      </c>
      <c r="QW65" s="46">
        <v>0</v>
      </c>
      <c r="QX65" s="46">
        <v>0</v>
      </c>
      <c r="QY65" s="46">
        <v>0</v>
      </c>
      <c r="QZ65" s="46">
        <v>0</v>
      </c>
      <c r="RA65" s="46">
        <v>0</v>
      </c>
      <c r="RB65" s="46">
        <v>0</v>
      </c>
      <c r="RC65" s="46">
        <v>0</v>
      </c>
      <c r="RD65" s="46">
        <v>0</v>
      </c>
      <c r="RE65" s="46">
        <v>0</v>
      </c>
      <c r="RF65" s="46">
        <v>0</v>
      </c>
      <c r="RG65" s="46">
        <v>0</v>
      </c>
      <c r="RH65" s="46">
        <v>0</v>
      </c>
      <c r="RI65" s="46">
        <v>0</v>
      </c>
      <c r="RJ65" s="46">
        <v>0</v>
      </c>
      <c r="RK65" s="46">
        <v>0</v>
      </c>
      <c r="RL65" s="46">
        <v>0</v>
      </c>
      <c r="RM65" s="46">
        <v>0</v>
      </c>
      <c r="RN65" s="46">
        <v>0</v>
      </c>
      <c r="RO65" s="46">
        <v>-3355889</v>
      </c>
      <c r="RP65" s="46">
        <v>0</v>
      </c>
      <c r="RQ65" s="46">
        <v>0</v>
      </c>
      <c r="RR65" s="46">
        <v>0</v>
      </c>
      <c r="RS65" s="46">
        <v>0</v>
      </c>
      <c r="RT65" s="46">
        <v>0</v>
      </c>
      <c r="RU65" s="46">
        <v>0</v>
      </c>
      <c r="RV65" s="46">
        <v>0</v>
      </c>
      <c r="RW65" s="46">
        <v>0</v>
      </c>
      <c r="RX65" s="46">
        <v>0</v>
      </c>
      <c r="RY65" s="46">
        <v>0</v>
      </c>
      <c r="RZ65" s="46">
        <v>0</v>
      </c>
      <c r="SA65" s="46">
        <v>0</v>
      </c>
      <c r="SB65" s="46">
        <v>0</v>
      </c>
      <c r="SC65" s="46">
        <v>0</v>
      </c>
      <c r="SD65" s="46">
        <v>0</v>
      </c>
      <c r="SE65" s="46">
        <v>0</v>
      </c>
      <c r="SF65" s="46">
        <v>0</v>
      </c>
      <c r="SG65" s="46">
        <v>0</v>
      </c>
      <c r="SH65" s="46">
        <v>0</v>
      </c>
      <c r="SI65" s="46">
        <v>0</v>
      </c>
      <c r="SJ65" s="46">
        <v>0</v>
      </c>
      <c r="SK65" s="46">
        <v>0</v>
      </c>
      <c r="SL65" s="46">
        <v>0</v>
      </c>
      <c r="SM65" s="46">
        <v>0</v>
      </c>
      <c r="SN65" s="46">
        <v>0</v>
      </c>
      <c r="SO65" s="46">
        <v>0</v>
      </c>
      <c r="SP65" s="46">
        <v>0</v>
      </c>
      <c r="SQ65" s="46">
        <v>0</v>
      </c>
      <c r="SR65" s="46">
        <v>169570</v>
      </c>
      <c r="SS65" s="46">
        <v>0</v>
      </c>
      <c r="ST65" s="46">
        <v>0</v>
      </c>
      <c r="SU65" s="46">
        <v>0</v>
      </c>
      <c r="SV65" s="46">
        <v>0</v>
      </c>
      <c r="SW65" s="46">
        <v>0</v>
      </c>
      <c r="SX65" s="46">
        <v>0</v>
      </c>
      <c r="SY65" s="46">
        <v>0</v>
      </c>
      <c r="SZ65" s="46">
        <v>0</v>
      </c>
      <c r="TA65" s="46">
        <v>0</v>
      </c>
      <c r="TB65" s="46">
        <v>0</v>
      </c>
      <c r="TC65" s="46">
        <v>0</v>
      </c>
      <c r="TD65" s="46">
        <v>0</v>
      </c>
      <c r="TE65" s="46">
        <v>0</v>
      </c>
      <c r="TF65" s="46">
        <v>169570</v>
      </c>
      <c r="TG65" s="46">
        <v>0</v>
      </c>
      <c r="TH65" s="46">
        <v>0</v>
      </c>
      <c r="TI65" s="46">
        <v>0</v>
      </c>
      <c r="TJ65" s="46">
        <v>0</v>
      </c>
      <c r="TK65" s="46">
        <v>0</v>
      </c>
      <c r="TL65" s="46">
        <v>0</v>
      </c>
      <c r="TM65" s="46">
        <v>0</v>
      </c>
      <c r="TN65" s="46">
        <v>0</v>
      </c>
      <c r="TO65" s="46">
        <v>0</v>
      </c>
      <c r="TP65" s="46">
        <v>0</v>
      </c>
      <c r="TQ65" s="46">
        <v>0</v>
      </c>
      <c r="TR65" s="46">
        <v>0</v>
      </c>
      <c r="TS65" s="46">
        <v>0</v>
      </c>
      <c r="TT65" s="46">
        <v>0</v>
      </c>
      <c r="TU65" s="46">
        <v>0</v>
      </c>
      <c r="TV65" s="46">
        <v>0</v>
      </c>
      <c r="TW65" s="46">
        <v>0</v>
      </c>
      <c r="TX65" s="46">
        <v>0</v>
      </c>
      <c r="TY65" s="46">
        <v>0</v>
      </c>
      <c r="TZ65" s="46">
        <v>0</v>
      </c>
      <c r="UA65" s="46">
        <v>0</v>
      </c>
      <c r="UB65" s="46">
        <v>0</v>
      </c>
      <c r="UC65" s="46">
        <v>0</v>
      </c>
      <c r="UD65" s="46">
        <v>0</v>
      </c>
      <c r="UE65" s="46">
        <v>2805865</v>
      </c>
      <c r="UF65" s="46">
        <v>1990419</v>
      </c>
      <c r="UG65" s="46">
        <v>0</v>
      </c>
      <c r="UH65" s="46">
        <v>0</v>
      </c>
      <c r="UI65" s="46">
        <v>815480</v>
      </c>
      <c r="UJ65" s="46">
        <v>926376</v>
      </c>
      <c r="UK65" s="46">
        <v>10439316</v>
      </c>
      <c r="UL65" s="46">
        <v>1154246</v>
      </c>
      <c r="UM65" s="46">
        <v>-1274</v>
      </c>
      <c r="UN65" s="46">
        <v>70462</v>
      </c>
      <c r="UO65" s="46" t="s">
        <v>106</v>
      </c>
      <c r="UP65" s="46" t="s">
        <v>106</v>
      </c>
      <c r="UQ65" s="46"/>
      <c r="UR65" s="46"/>
      <c r="US65" s="8" t="s">
        <v>808</v>
      </c>
      <c r="UT65" s="47">
        <v>2548673931</v>
      </c>
      <c r="UU65" s="8" t="s">
        <v>96</v>
      </c>
      <c r="UV65" s="8" t="s">
        <v>809</v>
      </c>
      <c r="UW65" s="47" t="s">
        <v>1269</v>
      </c>
      <c r="UX65" s="8" t="s">
        <v>810</v>
      </c>
      <c r="UY65" s="51" t="str" cm="1">
        <f t="array" ref="UY65">IFERROR(_xlfn.IFS(Input[[#This Row],[Type]]="HRI",SUMIFS('FTSE | FTFE'!$P$8:$P$77,'FTSE | FTFE'!$H$8:$H$77,A65),Input[[#This Row],[Type]]="UNIV",SUMIFS('FTSE | FTFE'!$P$104:$P$139,'FTSE | FTFE'!$H$104:$H$139,A65),OR(Input[[#This Row],[Type]]="TSTC",Input[[#This Row],[Type]]="LSC"),SUMIFS('FTSE | FTFE'!$O$88:$O$96,'FTSE | FTFE'!$H$88:$H$96,A65),Input[[#This Row],[Type]]="AHM",SUMIFS(Hidden!$H$42:$H$45,Hidden!$G$42:$G$45,A65)),"N/A")</f>
        <v>N/A</v>
      </c>
      <c r="UZ65" s="51" t="str" cm="1">
        <f t="array" ref="UZ65">IFERROR(_xlfn.IFS(Input[[#This Row],[Type]]="HRI",SUMIFS('FTSE | FTFE'!$Q$8:$Q$77,'FTSE | FTFE'!$H$8:$H$77,A65),Input[[#This Row],[Type]]="UNIV",SUMIFS('FTSE | FTFE'!$Q$104:$Q$139,'FTSE | FTFE'!$H$104:$H$139,A65),OR(Input[[#This Row],[Type]]="TSTC",Input[[#This Row],[Type]]="LSC"),SUMIFS('FTSE | FTFE'!$P$88:$P$96,'FTSE | FTFE'!$H$88:$H$96,A65)),"N/A")</f>
        <v>N/A</v>
      </c>
      <c r="VA6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17874977</v>
      </c>
      <c r="VB6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65" s="46">
        <f>SUM(Input[[#This Row],[Fed G&amp;C E&amp;G]],Input[[#This Row],[Fed G&amp;C Desg]],Input[[#This Row],[Fed G&amp;C R Exp]],Input[[#This Row],[Fed G&amp;C Loan]],Input[[#This Row],[Fed G&amp;C Annuity]],Input[[#This Row],[Fed G&amp;C Unexp]],Input[[#This Row],[Fed G&amp;C R of Ind]],Input[[#This Row],[Fed G&amp;C Inv in P]])</f>
        <v>34485453</v>
      </c>
      <c r="VD6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11955662</v>
      </c>
      <c r="VE6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6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65" s="46">
        <f>SUM(Input[[#This Row],[Oth Inc E&amp;G]],Input[[#This Row],[Oth Exp Desg]],Input[[#This Row],[Oth Exp R Exp]],Input[[#This Row],[Oth Exp Loan]],Input[[#This Row],[Oth Exp Annuity]],Input[[#This Row],[Oth Exp Unexp]],Input[[#This Row],[Oth Exp R of Ind]],Input[[#This Row],[Oth Exp Inv in P]])</f>
        <v>0</v>
      </c>
      <c r="VH65" s="46">
        <f>SUM(Input[[#This Row],[Instr E&amp;G]],Input[[#This Row],[Instr Desg]],Input[[#This Row],[Instr R Exp]],Input[[#This Row],[Instr Loan]],Input[[#This Row],[Instr Annuity]],Input[[#This Row],[Instr Unexp]],Input[[#This Row],[Instr R of Ind]],Input[[#This Row],[Instr Inv in P]])</f>
        <v>2806110</v>
      </c>
      <c r="VI65" s="46">
        <f>SUM(Input[[#This Row],[Res E&amp;G]],Input[[#This Row],[Res Desg]],Input[[#This Row],[Res R Exp]],Input[[#This Row],[Res Loan]],Input[[#This Row],[Res Annuity]],Input[[#This Row],[Res Unexp]],Input[[#This Row],[Res R of Ind]],Input[[#This Row],[Res Inv in P]])</f>
        <v>1990424</v>
      </c>
      <c r="VJ65" s="46">
        <f>SUM(Input[[#This Row],[Acad Sup E&amp;G]],Input[[#This Row],[Acad Sup Desg]],Input[[#This Row],[Acad Sup R Exp]],Input[[#This Row],[Acad Sup Loan]],Input[[#This Row],[Acad Sup Annuity]],Input[[#This Row],[Acad Sup Unexp]],Input[[#This Row],[Acad Sup R of Ind]],Input[[#This Row],[Acad Sup Inv in P]])</f>
        <v>815558</v>
      </c>
      <c r="VK65" s="46">
        <f>SUM(Input[[#This Row],[Stu Svc E&amp;G]],Input[[#This Row],[Stu Svc Desg]],Input[[#This Row],[Stu Svc R Exp]],Input[[#This Row],[Stu Svc Loan]],Input[[#This Row],[Stu Svc Annuity]],Input[[#This Row],[Stu Svc Unexp]],Input[[#This Row],[Stu Svc R of Ind]],Input[[#This Row],[Stu Svc Inv in P]])</f>
        <v>926445</v>
      </c>
      <c r="VL65" s="46">
        <f>SUM(Input[[#This Row],[Inst. Spt E&amp;G]],Input[[#This Row],[Inst. Spt Desg]],Input[[#This Row],[Inst. Spt R Exp]],Input[[#This Row],[Inst. Spt Loan]],Input[[#This Row],[Inst. Spt Annuity]],Input[[#This Row],[Inst. Spt Unexp]],Input[[#This Row],[Inst. Spt R of Ind]],Input[[#This Row],[Inst. Spt Inv in P]])</f>
        <v>10438878</v>
      </c>
      <c r="VM65" s="46">
        <f>SUM(Input[[#This Row],[M&amp;O Plnt E&amp;G]],Input[[#This Row],[M&amp;O Plnt Desg]],Input[[#This Row],[M&amp;O Plnt R Exp]],Input[[#This Row],[M&amp;O Plnt Loan]],Input[[#This Row],[M&amp;O Plnt Annuity]],Input[[#This Row],[M&amp;O Plnt Unexp]],Input[[#This Row],[M&amp;O Plnt R of Ind]],Input[[#This Row],[M&amp;O Plnt Inv in P]])</f>
        <v>1154276</v>
      </c>
      <c r="VN65" s="46">
        <f>SUM(Input[[#This Row],[Schl &amp; Fell E&amp;G]],Input[[#This Row],[Schl &amp; Fell Desg]],Input[[#This Row],[Schl &amp; Fell R Exp]],Input[[#This Row],[Schl &amp; Fell Loan]],Input[[#This Row],[Schl &amp; Fell Annuity]],Input[[#This Row],[Schl &amp; Fell Unexp]],Input[[#This Row],[Schl &amp; Fell R of Ind]],Input[[#This Row],[Schl &amp; Fell Inv in P]])</f>
        <v>-1274</v>
      </c>
      <c r="VO65" s="46">
        <f>SUM(Input[[#This Row],[Cap Out fund E&amp;G]],Input[[#This Row],[Cap Out fund Desg]],Input[[#This Row],[Cap Out fund R Exp]],Input[[#This Row],[Cap Out fund Loan]],Input[[#This Row],[Cap Out fund Annuity]],Input[[#This Row],[Cap Out fund Unexp]],Input[[#This Row],[Cap Out fund R of Ind]],Input[[#This Row],[Cap Out fund Inv in P]])</f>
        <v>169570</v>
      </c>
      <c r="VP65" s="46">
        <f>SUM(Input[[#This Row],[Oth Exp E&amp;G]],Input[[#This Row],[Oth Exp Desg]],Input[[#This Row],[Oth Exp R Exp]],Input[[#This Row],[Oth Exp Loan]],Input[[#This Row],[Oth Exp Annuity]],Input[[#This Row],[Oth Exp Unexp]],Input[[#This Row],[Oth Exp R of Ind]],Input[[#This Row],[Oth Exp Inv in P]],Input[[#This Row],[Oth Exp Inv in P]])</f>
        <v>0</v>
      </c>
    </row>
    <row r="66" spans="1:588" ht="30" customHeight="1" x14ac:dyDescent="0.3">
      <c r="A66" s="15" t="s">
        <v>43</v>
      </c>
      <c r="B66" s="36" t="s">
        <v>121</v>
      </c>
      <c r="C66" s="36" t="s">
        <v>121</v>
      </c>
      <c r="D66" s="36">
        <v>1001</v>
      </c>
      <c r="E66" s="36" t="s">
        <v>132</v>
      </c>
      <c r="F66" s="95" cm="1">
        <f t="array" ref="F66">IFERROR(_xlfn.IFS(Input[[#This Row],[Type]]="HRI",SUMIFS('FTSE | FTFE'!$I$8:$I$77,'FTSE | FTFE'!$H$8:$H$77,A66),Input[[#This Row],[Type]]="UNIV",SUMIFS('FTSE | FTFE'!$I$104:$I$139,'FTSE | FTFE'!$H$104:$H$139,A66),OR(Input[[#This Row],[Type]]="TSTC",Input[[#This Row],[Type]]="LSC"),SUMIFS('FTSE | FTFE'!$I$88:$I$96,'FTSE | FTFE'!$H$88:$H$96,A66)),"N/A")</f>
        <v>9225</v>
      </c>
      <c r="G66" s="46">
        <v>42836979</v>
      </c>
      <c r="H66" s="46">
        <v>0</v>
      </c>
      <c r="I66" s="46">
        <v>0</v>
      </c>
      <c r="J66" s="46">
        <v>0</v>
      </c>
      <c r="K66" s="46">
        <v>0</v>
      </c>
      <c r="L66" s="46">
        <v>0</v>
      </c>
      <c r="M66" s="46">
        <v>0</v>
      </c>
      <c r="N66" s="46">
        <v>0</v>
      </c>
      <c r="O66" s="46">
        <v>0</v>
      </c>
      <c r="P66" s="46">
        <v>133858</v>
      </c>
      <c r="Q66" s="46">
        <v>0</v>
      </c>
      <c r="R66" s="46">
        <v>0</v>
      </c>
      <c r="S66" s="46">
        <v>253359</v>
      </c>
      <c r="T66" s="46">
        <v>0</v>
      </c>
      <c r="U66" s="46">
        <v>0</v>
      </c>
      <c r="V66" s="46">
        <v>0</v>
      </c>
      <c r="W66" s="46">
        <v>0</v>
      </c>
      <c r="X66" s="46">
        <v>0</v>
      </c>
      <c r="Y66" s="46">
        <v>1777200</v>
      </c>
      <c r="Z66" s="46">
        <v>0</v>
      </c>
      <c r="AA66" s="46">
        <v>0</v>
      </c>
      <c r="AB66" s="46">
        <v>0</v>
      </c>
      <c r="AC66" s="46">
        <v>0</v>
      </c>
      <c r="AD66" s="46">
        <v>0</v>
      </c>
      <c r="AE66" s="46">
        <v>0</v>
      </c>
      <c r="AF66" s="46">
        <v>0</v>
      </c>
      <c r="AG66" s="46">
        <v>0</v>
      </c>
      <c r="AH66" s="46">
        <v>0</v>
      </c>
      <c r="AI66" s="46">
        <v>0</v>
      </c>
      <c r="AJ66" s="46">
        <v>0</v>
      </c>
      <c r="AK66" s="46">
        <v>0</v>
      </c>
      <c r="AL66" s="46">
        <v>0</v>
      </c>
      <c r="AM66" s="46">
        <v>0</v>
      </c>
      <c r="AN66" s="46">
        <v>0</v>
      </c>
      <c r="AO66" s="46">
        <v>0</v>
      </c>
      <c r="AP66" s="46">
        <v>0</v>
      </c>
      <c r="AQ66" s="46">
        <v>-38346</v>
      </c>
      <c r="AR66" s="46">
        <v>0</v>
      </c>
      <c r="AS66" s="46">
        <v>0</v>
      </c>
      <c r="AT66" s="46">
        <v>0</v>
      </c>
      <c r="AU66" s="46">
        <v>0</v>
      </c>
      <c r="AV66" s="46">
        <v>0</v>
      </c>
      <c r="AW66" s="46">
        <v>0</v>
      </c>
      <c r="AX66" s="46">
        <v>0</v>
      </c>
      <c r="AY66" s="46">
        <v>0</v>
      </c>
      <c r="AZ66" s="46">
        <v>0</v>
      </c>
      <c r="BA66" s="46">
        <v>0</v>
      </c>
      <c r="BB66" s="46">
        <v>0</v>
      </c>
      <c r="BC66" s="46">
        <v>0</v>
      </c>
      <c r="BD66" s="46">
        <v>0</v>
      </c>
      <c r="BE66" s="46">
        <v>0</v>
      </c>
      <c r="BF66" s="46">
        <v>0</v>
      </c>
      <c r="BG66" s="46">
        <v>0</v>
      </c>
      <c r="BH66" s="46">
        <v>0</v>
      </c>
      <c r="BI66" s="46">
        <v>0</v>
      </c>
      <c r="BJ66" s="46">
        <v>0</v>
      </c>
      <c r="BK66" s="46">
        <v>0</v>
      </c>
      <c r="BL66" s="46">
        <v>0</v>
      </c>
      <c r="BM66" s="46">
        <v>0</v>
      </c>
      <c r="BN66" s="46">
        <v>0</v>
      </c>
      <c r="BO66" s="46">
        <v>0</v>
      </c>
      <c r="BP66" s="46">
        <v>0</v>
      </c>
      <c r="BQ66" s="46">
        <v>0</v>
      </c>
      <c r="BR66" s="46">
        <v>0</v>
      </c>
      <c r="BS66" s="46">
        <v>0</v>
      </c>
      <c r="BT66" s="46">
        <v>0</v>
      </c>
      <c r="BU66" s="46">
        <v>0</v>
      </c>
      <c r="BV66" s="46">
        <v>0</v>
      </c>
      <c r="BW66" s="46">
        <v>0</v>
      </c>
      <c r="BX66" s="46">
        <v>0</v>
      </c>
      <c r="BY66" s="46">
        <v>0</v>
      </c>
      <c r="BZ66" s="46">
        <v>0</v>
      </c>
      <c r="CA66" s="46">
        <v>1254963</v>
      </c>
      <c r="CB66" s="46">
        <v>9381939</v>
      </c>
      <c r="CC66" s="46">
        <v>0</v>
      </c>
      <c r="CD66" s="46">
        <v>0</v>
      </c>
      <c r="CE66" s="46">
        <v>0</v>
      </c>
      <c r="CF66" s="46">
        <v>0</v>
      </c>
      <c r="CG66" s="46">
        <v>0</v>
      </c>
      <c r="CH66" s="46">
        <v>0</v>
      </c>
      <c r="CI66" s="46">
        <v>0</v>
      </c>
      <c r="CJ66" s="46">
        <v>0</v>
      </c>
      <c r="CK66" s="46">
        <v>0</v>
      </c>
      <c r="CL66" s="46">
        <v>0</v>
      </c>
      <c r="CM66" s="46">
        <v>0</v>
      </c>
      <c r="CN66" s="46">
        <v>0</v>
      </c>
      <c r="CO66" s="46">
        <v>0</v>
      </c>
      <c r="CP66" s="46">
        <v>0</v>
      </c>
      <c r="CQ66" s="46">
        <v>0</v>
      </c>
      <c r="CR66" s="46">
        <v>0</v>
      </c>
      <c r="CS66" s="46">
        <v>0</v>
      </c>
      <c r="CT66" s="46">
        <v>0</v>
      </c>
      <c r="CU66" s="46">
        <v>0</v>
      </c>
      <c r="CV66" s="46">
        <v>0</v>
      </c>
      <c r="CW66" s="46">
        <v>0</v>
      </c>
      <c r="CX66" s="46">
        <v>0</v>
      </c>
      <c r="CY66" s="46">
        <v>0</v>
      </c>
      <c r="CZ66" s="46">
        <v>0</v>
      </c>
      <c r="DA66" s="46">
        <v>0</v>
      </c>
      <c r="DB66" s="46">
        <v>-279937</v>
      </c>
      <c r="DC66" s="46">
        <v>0</v>
      </c>
      <c r="DD66" s="46">
        <v>0</v>
      </c>
      <c r="DE66" s="46">
        <v>0</v>
      </c>
      <c r="DF66" s="46">
        <v>0</v>
      </c>
      <c r="DG66" s="46">
        <v>0</v>
      </c>
      <c r="DH66" s="46">
        <v>0</v>
      </c>
      <c r="DI66" s="46">
        <v>0</v>
      </c>
      <c r="DJ66" s="46">
        <v>0</v>
      </c>
      <c r="DK66" s="46">
        <v>0</v>
      </c>
      <c r="DL66" s="46">
        <v>-1152266</v>
      </c>
      <c r="DM66" s="46">
        <v>0</v>
      </c>
      <c r="DN66" s="46">
        <v>0</v>
      </c>
      <c r="DO66" s="46">
        <v>0</v>
      </c>
      <c r="DP66" s="46">
        <v>0</v>
      </c>
      <c r="DQ66" s="46">
        <v>0</v>
      </c>
      <c r="DR66" s="46">
        <v>0</v>
      </c>
      <c r="DS66" s="46">
        <v>0</v>
      </c>
      <c r="DT66" s="46">
        <v>-565021</v>
      </c>
      <c r="DU66" s="46">
        <v>-6728874</v>
      </c>
      <c r="DV66" s="46">
        <v>0</v>
      </c>
      <c r="DW66" s="46">
        <v>0</v>
      </c>
      <c r="DX66" s="46">
        <v>0</v>
      </c>
      <c r="DY66" s="46">
        <v>0</v>
      </c>
      <c r="DZ66" s="46">
        <v>0</v>
      </c>
      <c r="EA66" s="46">
        <v>0</v>
      </c>
      <c r="EB66" s="46">
        <v>0</v>
      </c>
      <c r="EC66" s="46">
        <v>0</v>
      </c>
      <c r="ED66" s="46">
        <v>0</v>
      </c>
      <c r="EE66" s="46">
        <v>0</v>
      </c>
      <c r="EF66" s="46">
        <v>0</v>
      </c>
      <c r="EG66" s="46">
        <v>0</v>
      </c>
      <c r="EH66" s="46">
        <v>0</v>
      </c>
      <c r="EI66" s="46">
        <v>0</v>
      </c>
      <c r="EJ66" s="46">
        <v>0</v>
      </c>
      <c r="EK66" s="46">
        <v>0</v>
      </c>
      <c r="EL66" s="46">
        <v>0</v>
      </c>
      <c r="EM66" s="46">
        <v>0</v>
      </c>
      <c r="EN66" s="46">
        <v>0</v>
      </c>
      <c r="EO66" s="46">
        <v>0</v>
      </c>
      <c r="EP66" s="46">
        <v>0</v>
      </c>
      <c r="EQ66" s="46">
        <v>0</v>
      </c>
      <c r="ER66" s="46">
        <v>0</v>
      </c>
      <c r="ES66" s="46">
        <v>0</v>
      </c>
      <c r="ET66" s="46">
        <v>0</v>
      </c>
      <c r="EU66" s="46">
        <v>0</v>
      </c>
      <c r="EV66" s="46">
        <v>0</v>
      </c>
      <c r="EW66" s="46">
        <v>0</v>
      </c>
      <c r="EX66" s="46">
        <v>0</v>
      </c>
      <c r="EY66" s="46">
        <v>0</v>
      </c>
      <c r="EZ66" s="46">
        <v>0</v>
      </c>
      <c r="FA66" s="46">
        <v>0</v>
      </c>
      <c r="FB66" s="46">
        <v>0</v>
      </c>
      <c r="FC66" s="46">
        <v>0</v>
      </c>
      <c r="FD66" s="46">
        <v>0</v>
      </c>
      <c r="FE66" s="46">
        <v>0</v>
      </c>
      <c r="FF66" s="46">
        <v>0</v>
      </c>
      <c r="FG66" s="46">
        <v>0</v>
      </c>
      <c r="FH66" s="46">
        <v>0</v>
      </c>
      <c r="FI66" s="46">
        <v>0</v>
      </c>
      <c r="FJ66" s="46">
        <v>0</v>
      </c>
      <c r="FK66" s="46">
        <v>0</v>
      </c>
      <c r="FL66" s="46">
        <v>0</v>
      </c>
      <c r="FM66" s="46">
        <v>0</v>
      </c>
      <c r="FN66" s="46">
        <v>0</v>
      </c>
      <c r="FO66" s="46">
        <v>0</v>
      </c>
      <c r="FP66" s="46">
        <v>0</v>
      </c>
      <c r="FQ66" s="46">
        <v>0</v>
      </c>
      <c r="FR66" s="46">
        <v>0</v>
      </c>
      <c r="FS66" s="46">
        <v>0</v>
      </c>
      <c r="FT66" s="46">
        <v>0</v>
      </c>
      <c r="FU66" s="46">
        <v>0</v>
      </c>
      <c r="FV66" s="46">
        <v>0</v>
      </c>
      <c r="FW66" s="46">
        <v>0</v>
      </c>
      <c r="FX66" s="46">
        <v>0</v>
      </c>
      <c r="FY66" s="46">
        <v>0</v>
      </c>
      <c r="FZ66" s="46">
        <v>0</v>
      </c>
      <c r="GA66" s="46">
        <v>0</v>
      </c>
      <c r="GB66" s="46">
        <v>0</v>
      </c>
      <c r="GC66" s="46">
        <v>0</v>
      </c>
      <c r="GD66" s="46">
        <v>0</v>
      </c>
      <c r="GE66" s="46">
        <v>0</v>
      </c>
      <c r="GF66" s="46">
        <v>0</v>
      </c>
      <c r="GG66" s="46">
        <v>0</v>
      </c>
      <c r="GH66" s="46">
        <v>0</v>
      </c>
      <c r="GI66" s="46">
        <v>0</v>
      </c>
      <c r="GJ66" s="46">
        <v>0</v>
      </c>
      <c r="GK66" s="46">
        <v>0</v>
      </c>
      <c r="GL66" s="46">
        <v>0</v>
      </c>
      <c r="GM66" s="46">
        <v>0</v>
      </c>
      <c r="GN66" s="46">
        <v>0</v>
      </c>
      <c r="GO66" s="46">
        <v>0</v>
      </c>
      <c r="GP66" s="46">
        <v>0</v>
      </c>
      <c r="GQ66" s="46">
        <v>0</v>
      </c>
      <c r="GR66" s="46">
        <v>0</v>
      </c>
      <c r="GS66" s="46">
        <v>0</v>
      </c>
      <c r="GT66" s="46">
        <v>0</v>
      </c>
      <c r="GU66" s="46">
        <v>0</v>
      </c>
      <c r="GV66" s="46">
        <v>0</v>
      </c>
      <c r="GW66" s="46">
        <v>0</v>
      </c>
      <c r="GX66" s="46">
        <v>0</v>
      </c>
      <c r="GY66" s="46">
        <v>0</v>
      </c>
      <c r="GZ66" s="46">
        <v>0</v>
      </c>
      <c r="HA66" s="46">
        <v>0</v>
      </c>
      <c r="HB66" s="46">
        <v>0</v>
      </c>
      <c r="HC66" s="46">
        <v>0</v>
      </c>
      <c r="HD66" s="46">
        <v>0</v>
      </c>
      <c r="HE66" s="46">
        <v>0</v>
      </c>
      <c r="HF66" s="46">
        <v>0</v>
      </c>
      <c r="HG66" s="46">
        <v>0</v>
      </c>
      <c r="HH66" s="46">
        <v>0</v>
      </c>
      <c r="HI66" s="46">
        <v>0</v>
      </c>
      <c r="HJ66" s="46">
        <v>0</v>
      </c>
      <c r="HK66" s="46">
        <v>0</v>
      </c>
      <c r="HL66" s="46">
        <v>0</v>
      </c>
      <c r="HM66" s="46">
        <v>0</v>
      </c>
      <c r="HN66" s="46">
        <v>0</v>
      </c>
      <c r="HO66" s="46">
        <v>0</v>
      </c>
      <c r="HP66" s="46">
        <v>0</v>
      </c>
      <c r="HQ66" s="46">
        <v>0</v>
      </c>
      <c r="HR66" s="46">
        <v>5670633</v>
      </c>
      <c r="HS66" s="46">
        <v>0</v>
      </c>
      <c r="HT66" s="46">
        <v>0</v>
      </c>
      <c r="HU66" s="46">
        <v>0</v>
      </c>
      <c r="HV66" s="46">
        <v>0</v>
      </c>
      <c r="HW66" s="46">
        <v>0</v>
      </c>
      <c r="HX66" s="46">
        <v>0</v>
      </c>
      <c r="HY66" s="46">
        <v>0</v>
      </c>
      <c r="HZ66" s="46">
        <v>0</v>
      </c>
      <c r="IA66" s="46">
        <v>0</v>
      </c>
      <c r="IB66" s="46">
        <v>0</v>
      </c>
      <c r="IC66" s="46">
        <v>0</v>
      </c>
      <c r="ID66" s="46">
        <v>0</v>
      </c>
      <c r="IE66" s="46">
        <v>0</v>
      </c>
      <c r="IF66" s="46">
        <v>0</v>
      </c>
      <c r="IG66" s="46">
        <v>0</v>
      </c>
      <c r="IH66" s="46">
        <v>0</v>
      </c>
      <c r="II66" s="46">
        <v>0</v>
      </c>
      <c r="IJ66" s="46">
        <v>0</v>
      </c>
      <c r="IK66" s="46">
        <v>0</v>
      </c>
      <c r="IL66" s="46">
        <v>0</v>
      </c>
      <c r="IM66" s="46">
        <v>0</v>
      </c>
      <c r="IN66" s="46">
        <v>0</v>
      </c>
      <c r="IO66" s="46">
        <v>0</v>
      </c>
      <c r="IP66" s="46">
        <v>0</v>
      </c>
      <c r="IQ66" s="46">
        <v>0</v>
      </c>
      <c r="IR66" s="46">
        <v>0</v>
      </c>
      <c r="IS66" s="46">
        <v>0</v>
      </c>
      <c r="IT66" s="46">
        <v>0</v>
      </c>
      <c r="IU66" s="46">
        <v>0</v>
      </c>
      <c r="IV66" s="46">
        <v>0</v>
      </c>
      <c r="IW66" s="46">
        <v>0</v>
      </c>
      <c r="IX66" s="46">
        <v>0</v>
      </c>
      <c r="IY66" s="46">
        <v>0</v>
      </c>
      <c r="IZ66" s="46">
        <v>0</v>
      </c>
      <c r="JA66" s="46">
        <v>0</v>
      </c>
      <c r="JB66" s="46">
        <v>0</v>
      </c>
      <c r="JC66" s="46">
        <v>0</v>
      </c>
      <c r="JD66" s="46">
        <v>0</v>
      </c>
      <c r="JE66" s="46">
        <v>0</v>
      </c>
      <c r="JF66" s="46">
        <v>0</v>
      </c>
      <c r="JG66" s="46">
        <v>0</v>
      </c>
      <c r="JH66" s="46">
        <v>0</v>
      </c>
      <c r="JI66" s="46">
        <v>53298</v>
      </c>
      <c r="JJ66" s="46">
        <v>0</v>
      </c>
      <c r="JK66" s="46">
        <v>786703</v>
      </c>
      <c r="JL66" s="46">
        <v>0</v>
      </c>
      <c r="JM66" s="46">
        <v>0</v>
      </c>
      <c r="JN66" s="46">
        <v>1500000</v>
      </c>
      <c r="JO66" s="46">
        <v>0</v>
      </c>
      <c r="JP66" s="46">
        <v>0</v>
      </c>
      <c r="JQ66" s="46">
        <v>0</v>
      </c>
      <c r="JR66" s="46">
        <v>1615953</v>
      </c>
      <c r="JS66" s="46">
        <v>0</v>
      </c>
      <c r="JT66" s="46">
        <v>0</v>
      </c>
      <c r="JU66" s="46">
        <v>0</v>
      </c>
      <c r="JV66" s="46">
        <v>0</v>
      </c>
      <c r="JW66" s="46">
        <v>0</v>
      </c>
      <c r="JX66" s="46">
        <v>0</v>
      </c>
      <c r="JY66" s="46">
        <v>0</v>
      </c>
      <c r="JZ66" s="46">
        <v>0</v>
      </c>
      <c r="KA66" s="46">
        <v>0</v>
      </c>
      <c r="KB66" s="46">
        <v>1298429</v>
      </c>
      <c r="KC66" s="46">
        <v>0</v>
      </c>
      <c r="KD66" s="46">
        <v>0</v>
      </c>
      <c r="KE66" s="46">
        <v>0</v>
      </c>
      <c r="KF66" s="46">
        <v>0</v>
      </c>
      <c r="KG66" s="46">
        <v>0</v>
      </c>
      <c r="KH66" s="46">
        <v>0</v>
      </c>
      <c r="KI66" s="46">
        <v>0</v>
      </c>
      <c r="KJ66" s="46">
        <v>0</v>
      </c>
      <c r="KK66" s="46">
        <v>0</v>
      </c>
      <c r="KL66" s="46">
        <v>0</v>
      </c>
      <c r="KM66" s="46">
        <v>0</v>
      </c>
      <c r="KN66" s="46">
        <v>0</v>
      </c>
      <c r="KO66" s="46">
        <v>0</v>
      </c>
      <c r="KP66" s="46">
        <v>0</v>
      </c>
      <c r="KQ66" s="46">
        <v>0</v>
      </c>
      <c r="KR66" s="46">
        <v>25458345</v>
      </c>
      <c r="KS66" s="46">
        <v>3557191</v>
      </c>
      <c r="KT66" s="46">
        <v>-22580</v>
      </c>
      <c r="KU66" s="46">
        <v>1296499</v>
      </c>
      <c r="KV66" s="46">
        <v>0</v>
      </c>
      <c r="KW66" s="46">
        <v>0</v>
      </c>
      <c r="KX66" s="46">
        <v>0</v>
      </c>
      <c r="KY66" s="46">
        <v>0</v>
      </c>
      <c r="KZ66" s="46">
        <v>0</v>
      </c>
      <c r="LA66" s="46">
        <v>1489</v>
      </c>
      <c r="LB66" s="46">
        <v>-667</v>
      </c>
      <c r="LC66" s="46">
        <v>22</v>
      </c>
      <c r="LD66" s="46">
        <v>1984</v>
      </c>
      <c r="LE66" s="46">
        <v>0</v>
      </c>
      <c r="LF66" s="46">
        <v>0</v>
      </c>
      <c r="LG66" s="46">
        <v>0</v>
      </c>
      <c r="LH66" s="46">
        <v>0</v>
      </c>
      <c r="LI66" s="46">
        <v>0</v>
      </c>
      <c r="LJ66" s="46">
        <v>0</v>
      </c>
      <c r="LK66" s="46">
        <v>0</v>
      </c>
      <c r="LL66" s="46">
        <v>0</v>
      </c>
      <c r="LM66" s="46">
        <v>0</v>
      </c>
      <c r="LN66" s="46">
        <v>0</v>
      </c>
      <c r="LO66" s="46">
        <v>0</v>
      </c>
      <c r="LP66" s="46">
        <v>0</v>
      </c>
      <c r="LQ66" s="46">
        <v>0</v>
      </c>
      <c r="LR66" s="46">
        <v>0</v>
      </c>
      <c r="LS66" s="46">
        <v>0</v>
      </c>
      <c r="LT66" s="46">
        <v>0</v>
      </c>
      <c r="LU66" s="46">
        <v>0</v>
      </c>
      <c r="LV66" s="46">
        <v>0</v>
      </c>
      <c r="LW66" s="46">
        <v>0</v>
      </c>
      <c r="LX66" s="46">
        <v>0</v>
      </c>
      <c r="LY66" s="46">
        <v>0</v>
      </c>
      <c r="LZ66" s="46">
        <v>0</v>
      </c>
      <c r="MA66" s="46">
        <v>0</v>
      </c>
      <c r="MB66" s="46">
        <v>4854306</v>
      </c>
      <c r="MC66" s="46">
        <v>314929</v>
      </c>
      <c r="MD66" s="46">
        <v>288</v>
      </c>
      <c r="ME66" s="46">
        <v>465920</v>
      </c>
      <c r="MF66" s="46">
        <v>0</v>
      </c>
      <c r="MG66" s="46">
        <v>0</v>
      </c>
      <c r="MH66" s="46">
        <v>0</v>
      </c>
      <c r="MI66" s="46">
        <v>0</v>
      </c>
      <c r="MJ66" s="46">
        <v>0</v>
      </c>
      <c r="MK66" s="46">
        <v>5523990</v>
      </c>
      <c r="ML66" s="46">
        <v>2599743</v>
      </c>
      <c r="MM66" s="46">
        <v>257</v>
      </c>
      <c r="MN66" s="46">
        <v>156585</v>
      </c>
      <c r="MO66" s="46">
        <v>0</v>
      </c>
      <c r="MP66" s="46">
        <v>0</v>
      </c>
      <c r="MQ66" s="46">
        <v>0</v>
      </c>
      <c r="MR66" s="46">
        <v>0</v>
      </c>
      <c r="MS66" s="46">
        <v>0</v>
      </c>
      <c r="MT66" s="46">
        <v>4555493</v>
      </c>
      <c r="MU66" s="46">
        <v>1222926</v>
      </c>
      <c r="MV66" s="46">
        <v>-1619</v>
      </c>
      <c r="MW66" s="46">
        <v>-2181</v>
      </c>
      <c r="MX66" s="46">
        <v>0</v>
      </c>
      <c r="MY66" s="46">
        <v>0</v>
      </c>
      <c r="MZ66" s="46">
        <v>0</v>
      </c>
      <c r="NA66" s="46">
        <v>0</v>
      </c>
      <c r="NB66" s="46">
        <v>0</v>
      </c>
      <c r="NC66" s="46">
        <v>2059639</v>
      </c>
      <c r="ND66" s="46">
        <v>2495566</v>
      </c>
      <c r="NE66" s="46">
        <v>111</v>
      </c>
      <c r="NF66" s="46">
        <v>-699</v>
      </c>
      <c r="NG66" s="46">
        <v>0</v>
      </c>
      <c r="NH66" s="46">
        <v>0</v>
      </c>
      <c r="NI66" s="46">
        <v>0</v>
      </c>
      <c r="NJ66" s="46">
        <v>0</v>
      </c>
      <c r="NK66" s="46">
        <v>0</v>
      </c>
      <c r="NL66" s="46">
        <v>279937</v>
      </c>
      <c r="NM66" s="46">
        <v>2567531</v>
      </c>
      <c r="NN66" s="46">
        <v>0</v>
      </c>
      <c r="NO66" s="46">
        <v>-643117</v>
      </c>
      <c r="NP66" s="46">
        <v>0</v>
      </c>
      <c r="NQ66" s="46">
        <v>0</v>
      </c>
      <c r="NR66" s="46">
        <v>0</v>
      </c>
      <c r="NS66" s="46">
        <v>0</v>
      </c>
      <c r="NT66" s="46">
        <v>0</v>
      </c>
      <c r="NU66" s="46">
        <v>26807</v>
      </c>
      <c r="NV66" s="46">
        <v>-12712</v>
      </c>
      <c r="NW66" s="46">
        <v>2244593</v>
      </c>
      <c r="NX66" s="46">
        <v>-215</v>
      </c>
      <c r="NY66" s="46">
        <v>0</v>
      </c>
      <c r="NZ66" s="46">
        <v>0</v>
      </c>
      <c r="OA66" s="46">
        <v>0</v>
      </c>
      <c r="OB66" s="46">
        <v>0</v>
      </c>
      <c r="OC66" s="46">
        <v>0</v>
      </c>
      <c r="OD66" s="46">
        <v>0</v>
      </c>
      <c r="OE66" s="46">
        <v>209069</v>
      </c>
      <c r="OF66" s="46">
        <v>0</v>
      </c>
      <c r="OG66" s="46">
        <v>403020</v>
      </c>
      <c r="OH66" s="46">
        <v>0</v>
      </c>
      <c r="OI66" s="46">
        <v>0</v>
      </c>
      <c r="OJ66" s="46">
        <v>0</v>
      </c>
      <c r="OK66" s="46">
        <v>0</v>
      </c>
      <c r="OL66" s="46">
        <v>0</v>
      </c>
      <c r="OM66" s="46">
        <v>0</v>
      </c>
      <c r="ON66" s="46">
        <v>0</v>
      </c>
      <c r="OO66" s="46">
        <v>0</v>
      </c>
      <c r="OP66" s="46">
        <v>0</v>
      </c>
      <c r="OQ66" s="46">
        <v>0</v>
      </c>
      <c r="OR66" s="46">
        <v>0</v>
      </c>
      <c r="OS66" s="46">
        <v>2351835</v>
      </c>
      <c r="OT66" s="46">
        <v>0</v>
      </c>
      <c r="OU66" s="46">
        <v>9880</v>
      </c>
      <c r="OV66" s="46">
        <v>0</v>
      </c>
      <c r="OW66" s="46">
        <v>0</v>
      </c>
      <c r="OX66" s="46">
        <v>0</v>
      </c>
      <c r="OY66" s="46">
        <v>0</v>
      </c>
      <c r="OZ66" s="46">
        <v>0</v>
      </c>
      <c r="PA66" s="46">
        <v>0</v>
      </c>
      <c r="PB66" s="46">
        <v>-45719179</v>
      </c>
      <c r="PC66" s="46">
        <v>0</v>
      </c>
      <c r="PD66" s="46">
        <v>0</v>
      </c>
      <c r="PE66" s="46">
        <v>-5265225</v>
      </c>
      <c r="PF66" s="46">
        <v>6858607</v>
      </c>
      <c r="PG66" s="46">
        <v>619149</v>
      </c>
      <c r="PH66" s="46">
        <v>-9461526</v>
      </c>
      <c r="PI66" s="46">
        <v>0</v>
      </c>
      <c r="PJ66" s="46">
        <v>0</v>
      </c>
      <c r="PK66" s="46">
        <v>46376426</v>
      </c>
      <c r="PL66" s="46">
        <v>3083571</v>
      </c>
      <c r="PM66" s="46">
        <v>-38631622</v>
      </c>
      <c r="PN66" s="46">
        <v>0</v>
      </c>
      <c r="PO66" s="46">
        <v>0</v>
      </c>
      <c r="PP66" s="46">
        <v>0</v>
      </c>
      <c r="PQ66" s="46">
        <v>0</v>
      </c>
      <c r="PR66" s="46">
        <v>0</v>
      </c>
      <c r="PS66" s="46">
        <v>0</v>
      </c>
      <c r="PT66" s="46">
        <v>0</v>
      </c>
      <c r="PU66" s="46">
        <v>0</v>
      </c>
      <c r="PV66" s="46">
        <v>0</v>
      </c>
      <c r="PW66" s="46">
        <v>0</v>
      </c>
      <c r="PX66" s="46">
        <v>0</v>
      </c>
      <c r="PY66" s="46">
        <v>0</v>
      </c>
      <c r="PZ66" s="46">
        <v>0</v>
      </c>
      <c r="QA66" s="46">
        <v>0</v>
      </c>
      <c r="QB66" s="46">
        <v>0</v>
      </c>
      <c r="QC66" s="46">
        <v>51105</v>
      </c>
      <c r="QD66" s="46">
        <v>-6386955</v>
      </c>
      <c r="QE66" s="46">
        <v>3469582</v>
      </c>
      <c r="QF66" s="46">
        <v>0</v>
      </c>
      <c r="QG66" s="46">
        <v>0</v>
      </c>
      <c r="QH66" s="46">
        <v>0</v>
      </c>
      <c r="QI66" s="46">
        <v>0</v>
      </c>
      <c r="QJ66" s="46">
        <v>0</v>
      </c>
      <c r="QK66" s="46">
        <v>0</v>
      </c>
      <c r="QL66" s="46">
        <v>0</v>
      </c>
      <c r="QM66" s="46">
        <v>0</v>
      </c>
      <c r="QN66" s="46">
        <v>0</v>
      </c>
      <c r="QO66" s="46">
        <v>0</v>
      </c>
      <c r="QP66" s="46">
        <v>0</v>
      </c>
      <c r="QQ66" s="46">
        <v>0</v>
      </c>
      <c r="QR66" s="46">
        <v>0</v>
      </c>
      <c r="QS66" s="46">
        <v>0</v>
      </c>
      <c r="QT66" s="46">
        <v>0</v>
      </c>
      <c r="QU66" s="46">
        <v>0</v>
      </c>
      <c r="QV66" s="46">
        <v>0</v>
      </c>
      <c r="QW66" s="46">
        <v>0</v>
      </c>
      <c r="QX66" s="46">
        <v>0</v>
      </c>
      <c r="QY66" s="46">
        <v>0</v>
      </c>
      <c r="QZ66" s="46">
        <v>0</v>
      </c>
      <c r="RA66" s="46">
        <v>0</v>
      </c>
      <c r="RB66" s="46">
        <v>0</v>
      </c>
      <c r="RC66" s="46">
        <v>0</v>
      </c>
      <c r="RD66" s="46">
        <v>0</v>
      </c>
      <c r="RE66" s="46">
        <v>0</v>
      </c>
      <c r="RF66" s="46">
        <v>0</v>
      </c>
      <c r="RG66" s="46">
        <v>0</v>
      </c>
      <c r="RH66" s="46">
        <v>0</v>
      </c>
      <c r="RI66" s="46">
        <v>0</v>
      </c>
      <c r="RJ66" s="46">
        <v>0</v>
      </c>
      <c r="RK66" s="46">
        <v>0</v>
      </c>
      <c r="RL66" s="46">
        <v>0</v>
      </c>
      <c r="RM66" s="46">
        <v>0</v>
      </c>
      <c r="RN66" s="46">
        <v>0</v>
      </c>
      <c r="RO66" s="46">
        <v>-3592343</v>
      </c>
      <c r="RP66" s="46">
        <v>0</v>
      </c>
      <c r="RQ66" s="46">
        <v>0</v>
      </c>
      <c r="RR66" s="46">
        <v>0</v>
      </c>
      <c r="RS66" s="46">
        <v>0</v>
      </c>
      <c r="RT66" s="46">
        <v>0</v>
      </c>
      <c r="RU66" s="46">
        <v>0</v>
      </c>
      <c r="RV66" s="46">
        <v>0</v>
      </c>
      <c r="RW66" s="46">
        <v>0</v>
      </c>
      <c r="RX66" s="46">
        <v>0</v>
      </c>
      <c r="RY66" s="46">
        <v>0</v>
      </c>
      <c r="RZ66" s="46">
        <v>0</v>
      </c>
      <c r="SA66" s="46">
        <v>0</v>
      </c>
      <c r="SB66" s="46">
        <v>0</v>
      </c>
      <c r="SC66" s="46">
        <v>0</v>
      </c>
      <c r="SD66" s="46">
        <v>0</v>
      </c>
      <c r="SE66" s="46">
        <v>0</v>
      </c>
      <c r="SF66" s="46">
        <v>0</v>
      </c>
      <c r="SG66" s="46">
        <v>0</v>
      </c>
      <c r="SH66" s="46">
        <v>0</v>
      </c>
      <c r="SI66" s="46">
        <v>0</v>
      </c>
      <c r="SJ66" s="46">
        <v>0</v>
      </c>
      <c r="SK66" s="46">
        <v>0</v>
      </c>
      <c r="SL66" s="46">
        <v>0</v>
      </c>
      <c r="SM66" s="46">
        <v>0</v>
      </c>
      <c r="SN66" s="46">
        <v>0</v>
      </c>
      <c r="SO66" s="46">
        <v>0</v>
      </c>
      <c r="SP66" s="46">
        <v>20000</v>
      </c>
      <c r="SQ66" s="46">
        <v>0</v>
      </c>
      <c r="SR66" s="46">
        <v>209069</v>
      </c>
      <c r="SS66" s="46">
        <v>0</v>
      </c>
      <c r="ST66" s="46">
        <v>403020</v>
      </c>
      <c r="SU66" s="46">
        <v>0</v>
      </c>
      <c r="SV66" s="46">
        <v>0</v>
      </c>
      <c r="SW66" s="46">
        <v>45719179</v>
      </c>
      <c r="SX66" s="46">
        <v>0</v>
      </c>
      <c r="SY66" s="46">
        <v>0</v>
      </c>
      <c r="SZ66" s="46">
        <v>513089</v>
      </c>
      <c r="TA66" s="46">
        <v>0</v>
      </c>
      <c r="TB66" s="46">
        <v>0</v>
      </c>
      <c r="TC66" s="46">
        <v>0</v>
      </c>
      <c r="TD66" s="46">
        <v>71647</v>
      </c>
      <c r="TE66" s="46">
        <v>0</v>
      </c>
      <c r="TF66" s="46">
        <v>0</v>
      </c>
      <c r="TG66" s="46">
        <v>27353</v>
      </c>
      <c r="TH66" s="46">
        <v>0</v>
      </c>
      <c r="TI66" s="46">
        <v>0</v>
      </c>
      <c r="TJ66" s="46">
        <v>0</v>
      </c>
      <c r="TK66" s="46">
        <v>0</v>
      </c>
      <c r="TL66" s="46">
        <v>0</v>
      </c>
      <c r="TM66" s="46">
        <v>0</v>
      </c>
      <c r="TN66" s="46">
        <v>0</v>
      </c>
      <c r="TO66" s="46">
        <v>0</v>
      </c>
      <c r="TP66" s="46">
        <v>0</v>
      </c>
      <c r="TQ66" s="46">
        <v>0</v>
      </c>
      <c r="TR66" s="46">
        <v>0</v>
      </c>
      <c r="TS66" s="46">
        <v>0</v>
      </c>
      <c r="TT66" s="46">
        <v>0</v>
      </c>
      <c r="TU66" s="46">
        <v>0</v>
      </c>
      <c r="TV66" s="46">
        <v>0</v>
      </c>
      <c r="TW66" s="46">
        <v>0</v>
      </c>
      <c r="TX66" s="46">
        <v>0</v>
      </c>
      <c r="TY66" s="46">
        <v>0</v>
      </c>
      <c r="TZ66" s="46">
        <v>0</v>
      </c>
      <c r="UA66" s="46">
        <v>0</v>
      </c>
      <c r="UB66" s="46">
        <v>0</v>
      </c>
      <c r="UC66" s="46">
        <v>0</v>
      </c>
      <c r="UD66" s="46">
        <v>0</v>
      </c>
      <c r="UE66" s="46">
        <v>30289455</v>
      </c>
      <c r="UF66" s="46">
        <v>2828</v>
      </c>
      <c r="UG66" s="46">
        <v>0</v>
      </c>
      <c r="UH66" s="46">
        <v>0</v>
      </c>
      <c r="UI66" s="46">
        <v>5635443</v>
      </c>
      <c r="UJ66" s="46">
        <v>8280575</v>
      </c>
      <c r="UK66" s="46">
        <v>5774619</v>
      </c>
      <c r="UL66" s="46">
        <v>4554617</v>
      </c>
      <c r="UM66" s="46">
        <v>2204351</v>
      </c>
      <c r="UN66" s="46">
        <v>2258473</v>
      </c>
      <c r="UO6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612089</v>
      </c>
      <c r="UP66" s="46">
        <f>SUM(Input[[#This Row],[Oth Exp E&amp;G]],Input[[#This Row],[Oth Exp Desg]],Input[[#This Row],[Oth Exp Aux]],Input[[#This Row],[Oth Exp R Exp]],Input[[#This Row],[Oth Exp Loan]],Input[[#This Row],[Oth Exp Annuity]],Input[[#This Row],[Oth Exp Unexp]],Input[[#This Row],[Oth Exp R of Ind]],Input[[#This Row],[Oth Exp Inv in P]])</f>
        <v>2361715</v>
      </c>
      <c r="UQ66" s="46"/>
      <c r="UR66" s="46"/>
      <c r="US66" s="8" t="s">
        <v>808</v>
      </c>
      <c r="UT66" s="47">
        <v>2548673931</v>
      </c>
      <c r="UU66" s="8" t="s">
        <v>96</v>
      </c>
      <c r="UV66" s="8" t="s">
        <v>809</v>
      </c>
      <c r="UW66" s="47">
        <v>9563644058</v>
      </c>
      <c r="UX66" s="8" t="s">
        <v>810</v>
      </c>
      <c r="UY66" s="51" cm="1">
        <f t="array" ref="UY66">IFERROR(_xlfn.IFS(Input[[#This Row],[Type]]="HRI",SUMIFS('FTSE | FTFE'!$P$8:$P$77,'FTSE | FTFE'!$H$8:$H$77,A66),Input[[#This Row],[Type]]="UNIV",SUMIFS('FTSE | FTFE'!$P$104:$P$139,'FTSE | FTFE'!$H$104:$H$139,A66),OR(Input[[#This Row],[Type]]="TSTC",Input[[#This Row],[Type]]="LSC"),SUMIFS('FTSE | FTFE'!$O$88:$O$96,'FTSE | FTFE'!$H$88:$H$96,A66),Input[[#This Row],[Type]]="AHM",SUMIFS(Hidden!$H$42:$H$45,Hidden!$G$42:$G$45,A66)),"N/A")</f>
        <v>1321</v>
      </c>
      <c r="UZ66" s="51" cm="1">
        <f t="array" ref="UZ66">IFERROR(_xlfn.IFS(Input[[#This Row],[Type]]="HRI",SUMIFS('FTSE | FTFE'!$Q$8:$Q$77,'FTSE | FTFE'!$H$8:$H$77,A66),Input[[#This Row],[Type]]="UNIV",SUMIFS('FTSE | FTFE'!$Q$104:$Q$139,'FTSE | FTFE'!$H$104:$H$139,A66),OR(Input[[#This Row],[Type]]="TSTC",Input[[#This Row],[Type]]="LSC"),SUMIFS('FTSE | FTFE'!$P$88:$P$96,'FTSE | FTFE'!$H$88:$H$96,A66)),"N/A")</f>
        <v>102.50999999999999</v>
      </c>
      <c r="VA6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43224196</v>
      </c>
      <c r="VB6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1777200</v>
      </c>
      <c r="VC66" s="46">
        <f>SUM(Input[[#This Row],[Fed G&amp;C E&amp;G]],Input[[#This Row],[Fed G&amp;C Desg]],Input[[#This Row],[Fed G&amp;C R Exp]],Input[[#This Row],[Fed G&amp;C Loan]],Input[[#This Row],[Fed G&amp;C Annuity]],Input[[#This Row],[Fed G&amp;C Unexp]],Input[[#This Row],[Fed G&amp;C R of Ind]],Input[[#This Row],[Fed G&amp;C Inv in P]])</f>
        <v>5670633</v>
      </c>
      <c r="VD6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3955954</v>
      </c>
      <c r="VE6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1910804</v>
      </c>
      <c r="VF6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66" s="46">
        <f>SUM(Input[[#This Row],[Oth Inc E&amp;G]],Input[[#This Row],[Oth Exp Desg]],Input[[#This Row],[Oth Exp R Exp]],Input[[#This Row],[Oth Exp Loan]],Input[[#This Row],[Oth Exp Annuity]],Input[[#This Row],[Oth Exp Unexp]],Input[[#This Row],[Oth Exp R of Ind]],Input[[#This Row],[Oth Exp Inv in P]])</f>
        <v>2361715</v>
      </c>
      <c r="VH66" s="46">
        <f>SUM(Input[[#This Row],[Instr E&amp;G]],Input[[#This Row],[Instr Desg]],Input[[#This Row],[Instr R Exp]],Input[[#This Row],[Instr Loan]],Input[[#This Row],[Instr Annuity]],Input[[#This Row],[Instr Unexp]],Input[[#This Row],[Instr R of Ind]],Input[[#This Row],[Instr Inv in P]])</f>
        <v>30312035</v>
      </c>
      <c r="VI66" s="46">
        <f>SUM(Input[[#This Row],[Res E&amp;G]],Input[[#This Row],[Res Desg]],Input[[#This Row],[Res R Exp]],Input[[#This Row],[Res Loan]],Input[[#This Row],[Res Annuity]],Input[[#This Row],[Res Unexp]],Input[[#This Row],[Res R of Ind]],Input[[#This Row],[Res Inv in P]])</f>
        <v>2806</v>
      </c>
      <c r="VJ66" s="46">
        <f>SUM(Input[[#This Row],[Acad Sup E&amp;G]],Input[[#This Row],[Acad Sup Desg]],Input[[#This Row],[Acad Sup R Exp]],Input[[#This Row],[Acad Sup Loan]],Input[[#This Row],[Acad Sup Annuity]],Input[[#This Row],[Acad Sup Unexp]],Input[[#This Row],[Acad Sup R of Ind]],Input[[#This Row],[Acad Sup Inv in P]])</f>
        <v>5635155</v>
      </c>
      <c r="VK66" s="46">
        <f>SUM(Input[[#This Row],[Stu Svc E&amp;G]],Input[[#This Row],[Stu Svc Desg]],Input[[#This Row],[Stu Svc R Exp]],Input[[#This Row],[Stu Svc Loan]],Input[[#This Row],[Stu Svc Annuity]],Input[[#This Row],[Stu Svc Unexp]],Input[[#This Row],[Stu Svc R of Ind]],Input[[#This Row],[Stu Svc Inv in P]])</f>
        <v>8280318</v>
      </c>
      <c r="VL66" s="46">
        <f>SUM(Input[[#This Row],[Inst. Spt E&amp;G]],Input[[#This Row],[Inst. Spt Desg]],Input[[#This Row],[Inst. Spt R Exp]],Input[[#This Row],[Inst. Spt Loan]],Input[[#This Row],[Inst. Spt Annuity]],Input[[#This Row],[Inst. Spt Unexp]],Input[[#This Row],[Inst. Spt R of Ind]],Input[[#This Row],[Inst. Spt Inv in P]])</f>
        <v>5776238</v>
      </c>
      <c r="VM66" s="46">
        <f>SUM(Input[[#This Row],[M&amp;O Plnt E&amp;G]],Input[[#This Row],[M&amp;O Plnt Desg]],Input[[#This Row],[M&amp;O Plnt R Exp]],Input[[#This Row],[M&amp;O Plnt Loan]],Input[[#This Row],[M&amp;O Plnt Annuity]],Input[[#This Row],[M&amp;O Plnt Unexp]],Input[[#This Row],[M&amp;O Plnt R of Ind]],Input[[#This Row],[M&amp;O Plnt Inv in P]])</f>
        <v>4554506</v>
      </c>
      <c r="VN66" s="46">
        <f>SUM(Input[[#This Row],[Schl &amp; Fell E&amp;G]],Input[[#This Row],[Schl &amp; Fell Desg]],Input[[#This Row],[Schl &amp; Fell R Exp]],Input[[#This Row],[Schl &amp; Fell Loan]],Input[[#This Row],[Schl &amp; Fell Annuity]],Input[[#This Row],[Schl &amp; Fell Unexp]],Input[[#This Row],[Schl &amp; Fell R of Ind]],Input[[#This Row],[Schl &amp; Fell Inv in P]])</f>
        <v>2204351</v>
      </c>
      <c r="VO66" s="46">
        <f>SUM(Input[[#This Row],[Cap Out fund E&amp;G]],Input[[#This Row],[Cap Out fund Desg]],Input[[#This Row],[Cap Out fund R Exp]],Input[[#This Row],[Cap Out fund Loan]],Input[[#This Row],[Cap Out fund Annuity]],Input[[#This Row],[Cap Out fund Unexp]],Input[[#This Row],[Cap Out fund R of Ind]],Input[[#This Row],[Cap Out fund Inv in P]])</f>
        <v>612089</v>
      </c>
      <c r="VP66" s="46">
        <f>SUM(Input[[#This Row],[Oth Exp E&amp;G]],Input[[#This Row],[Oth Exp Desg]],Input[[#This Row],[Oth Exp R Exp]],Input[[#This Row],[Oth Exp Loan]],Input[[#This Row],[Oth Exp Annuity]],Input[[#This Row],[Oth Exp Unexp]],Input[[#This Row],[Oth Exp R of Ind]],Input[[#This Row],[Oth Exp Inv in P]],Input[[#This Row],[Oth Exp Inv in P]])</f>
        <v>2371595</v>
      </c>
    </row>
    <row r="67" spans="1:588" ht="30" customHeight="1" x14ac:dyDescent="0.3">
      <c r="A67" s="15" t="s">
        <v>46</v>
      </c>
      <c r="B67" s="36" t="s">
        <v>121</v>
      </c>
      <c r="C67" s="36" t="s">
        <v>121</v>
      </c>
      <c r="D67" s="36">
        <v>1002</v>
      </c>
      <c r="E67" s="36" t="s">
        <v>132</v>
      </c>
      <c r="F67" s="95" cm="1">
        <f t="array" ref="F67">IFERROR(_xlfn.IFS(Input[[#This Row],[Type]]="HRI",SUMIFS('FTSE | FTFE'!$I$8:$I$77,'FTSE | FTFE'!$H$8:$H$77,A67),Input[[#This Row],[Type]]="UNIV",SUMIFS('FTSE | FTFE'!$I$104:$I$139,'FTSE | FTFE'!$H$104:$H$139,A67),OR(Input[[#This Row],[Type]]="TSTC",Input[[#This Row],[Type]]="LSC"),SUMIFS('FTSE | FTFE'!$I$88:$I$96,'FTSE | FTFE'!$H$88:$H$96,A67)),"N/A")</f>
        <v>9932</v>
      </c>
      <c r="G67" s="46">
        <v>21252389</v>
      </c>
      <c r="H67" s="46">
        <v>0</v>
      </c>
      <c r="I67" s="46">
        <v>0</v>
      </c>
      <c r="J67" s="46">
        <v>0</v>
      </c>
      <c r="K67" s="46">
        <v>0</v>
      </c>
      <c r="L67" s="46">
        <v>0</v>
      </c>
      <c r="M67" s="46">
        <v>0</v>
      </c>
      <c r="N67" s="46">
        <v>0</v>
      </c>
      <c r="O67" s="46">
        <v>0</v>
      </c>
      <c r="P67" s="46">
        <v>113336</v>
      </c>
      <c r="Q67" s="46">
        <v>0</v>
      </c>
      <c r="R67" s="46">
        <v>0</v>
      </c>
      <c r="S67" s="46">
        <v>207878</v>
      </c>
      <c r="T67" s="46">
        <v>0</v>
      </c>
      <c r="U67" s="46">
        <v>0</v>
      </c>
      <c r="V67" s="46">
        <v>0</v>
      </c>
      <c r="W67" s="46">
        <v>0</v>
      </c>
      <c r="X67" s="46">
        <v>0</v>
      </c>
      <c r="Y67" s="46">
        <v>626781</v>
      </c>
      <c r="Z67" s="46">
        <v>0</v>
      </c>
      <c r="AA67" s="46">
        <v>0</v>
      </c>
      <c r="AB67" s="46">
        <v>0</v>
      </c>
      <c r="AC67" s="46">
        <v>0</v>
      </c>
      <c r="AD67" s="46">
        <v>0</v>
      </c>
      <c r="AE67" s="46">
        <v>0</v>
      </c>
      <c r="AF67" s="46">
        <v>0</v>
      </c>
      <c r="AG67" s="46">
        <v>0</v>
      </c>
      <c r="AH67" s="46">
        <v>0</v>
      </c>
      <c r="AI67" s="46">
        <v>0</v>
      </c>
      <c r="AJ67" s="46">
        <v>0</v>
      </c>
      <c r="AK67" s="46">
        <v>0</v>
      </c>
      <c r="AL67" s="46">
        <v>0</v>
      </c>
      <c r="AM67" s="46">
        <v>0</v>
      </c>
      <c r="AN67" s="46">
        <v>0</v>
      </c>
      <c r="AO67" s="46">
        <v>0</v>
      </c>
      <c r="AP67" s="46">
        <v>0</v>
      </c>
      <c r="AQ67" s="46">
        <v>-50036</v>
      </c>
      <c r="AR67" s="46">
        <v>0</v>
      </c>
      <c r="AS67" s="46">
        <v>0</v>
      </c>
      <c r="AT67" s="46">
        <v>0</v>
      </c>
      <c r="AU67" s="46">
        <v>0</v>
      </c>
      <c r="AV67" s="46">
        <v>0</v>
      </c>
      <c r="AW67" s="46">
        <v>0</v>
      </c>
      <c r="AX67" s="46">
        <v>0</v>
      </c>
      <c r="AY67" s="46">
        <v>0</v>
      </c>
      <c r="AZ67" s="46">
        <v>0</v>
      </c>
      <c r="BA67" s="46">
        <v>0</v>
      </c>
      <c r="BB67" s="46">
        <v>0</v>
      </c>
      <c r="BC67" s="46">
        <v>0</v>
      </c>
      <c r="BD67" s="46">
        <v>0</v>
      </c>
      <c r="BE67" s="46">
        <v>0</v>
      </c>
      <c r="BF67" s="46">
        <v>0</v>
      </c>
      <c r="BG67" s="46">
        <v>0</v>
      </c>
      <c r="BH67" s="46">
        <v>0</v>
      </c>
      <c r="BI67" s="46">
        <v>0</v>
      </c>
      <c r="BJ67" s="46">
        <v>0</v>
      </c>
      <c r="BK67" s="46">
        <v>0</v>
      </c>
      <c r="BL67" s="46">
        <v>0</v>
      </c>
      <c r="BM67" s="46">
        <v>0</v>
      </c>
      <c r="BN67" s="46">
        <v>0</v>
      </c>
      <c r="BO67" s="46">
        <v>0</v>
      </c>
      <c r="BP67" s="46">
        <v>0</v>
      </c>
      <c r="BQ67" s="46">
        <v>0</v>
      </c>
      <c r="BR67" s="46">
        <v>0</v>
      </c>
      <c r="BS67" s="46">
        <v>0</v>
      </c>
      <c r="BT67" s="46">
        <v>0</v>
      </c>
      <c r="BU67" s="46">
        <v>0</v>
      </c>
      <c r="BV67" s="46">
        <v>0</v>
      </c>
      <c r="BW67" s="46">
        <v>0</v>
      </c>
      <c r="BX67" s="46">
        <v>0</v>
      </c>
      <c r="BY67" s="46">
        <v>0</v>
      </c>
      <c r="BZ67" s="46">
        <v>0</v>
      </c>
      <c r="CA67" s="46">
        <v>655325</v>
      </c>
      <c r="CB67" s="46">
        <v>4811562</v>
      </c>
      <c r="CC67" s="46">
        <v>0</v>
      </c>
      <c r="CD67" s="46">
        <v>0</v>
      </c>
      <c r="CE67" s="46">
        <v>0</v>
      </c>
      <c r="CF67" s="46">
        <v>0</v>
      </c>
      <c r="CG67" s="46">
        <v>0</v>
      </c>
      <c r="CH67" s="46">
        <v>0</v>
      </c>
      <c r="CI67" s="46">
        <v>0</v>
      </c>
      <c r="CJ67" s="46">
        <v>0</v>
      </c>
      <c r="CK67" s="46">
        <v>0</v>
      </c>
      <c r="CL67" s="46">
        <v>0</v>
      </c>
      <c r="CM67" s="46">
        <v>0</v>
      </c>
      <c r="CN67" s="46">
        <v>0</v>
      </c>
      <c r="CO67" s="46">
        <v>0</v>
      </c>
      <c r="CP67" s="46">
        <v>0</v>
      </c>
      <c r="CQ67" s="46">
        <v>0</v>
      </c>
      <c r="CR67" s="46">
        <v>0</v>
      </c>
      <c r="CS67" s="46">
        <v>0</v>
      </c>
      <c r="CT67" s="46">
        <v>0</v>
      </c>
      <c r="CU67" s="46">
        <v>0</v>
      </c>
      <c r="CV67" s="46">
        <v>0</v>
      </c>
      <c r="CW67" s="46">
        <v>0</v>
      </c>
      <c r="CX67" s="46">
        <v>0</v>
      </c>
      <c r="CY67" s="46">
        <v>0</v>
      </c>
      <c r="CZ67" s="46">
        <v>0</v>
      </c>
      <c r="DA67" s="46">
        <v>0</v>
      </c>
      <c r="DB67" s="46">
        <v>-159204</v>
      </c>
      <c r="DC67" s="46">
        <v>0</v>
      </c>
      <c r="DD67" s="46">
        <v>0</v>
      </c>
      <c r="DE67" s="46">
        <v>0</v>
      </c>
      <c r="DF67" s="46">
        <v>0</v>
      </c>
      <c r="DG67" s="46">
        <v>0</v>
      </c>
      <c r="DH67" s="46">
        <v>0</v>
      </c>
      <c r="DI67" s="46">
        <v>0</v>
      </c>
      <c r="DJ67" s="46">
        <v>0</v>
      </c>
      <c r="DK67" s="46">
        <v>0</v>
      </c>
      <c r="DL67" s="46">
        <v>-786342</v>
      </c>
      <c r="DM67" s="46">
        <v>0</v>
      </c>
      <c r="DN67" s="46">
        <v>0</v>
      </c>
      <c r="DO67" s="46">
        <v>0</v>
      </c>
      <c r="DP67" s="46">
        <v>0</v>
      </c>
      <c r="DQ67" s="46">
        <v>0</v>
      </c>
      <c r="DR67" s="46">
        <v>0</v>
      </c>
      <c r="DS67" s="46">
        <v>0</v>
      </c>
      <c r="DT67" s="46">
        <v>-93577</v>
      </c>
      <c r="DU67" s="46">
        <v>-1796847</v>
      </c>
      <c r="DV67" s="46">
        <v>0</v>
      </c>
      <c r="DW67" s="46">
        <v>0</v>
      </c>
      <c r="DX67" s="46">
        <v>0</v>
      </c>
      <c r="DY67" s="46">
        <v>0</v>
      </c>
      <c r="DZ67" s="46">
        <v>0</v>
      </c>
      <c r="EA67" s="46">
        <v>0</v>
      </c>
      <c r="EB67" s="46">
        <v>0</v>
      </c>
      <c r="EC67" s="46">
        <v>0</v>
      </c>
      <c r="ED67" s="46">
        <v>0</v>
      </c>
      <c r="EE67" s="46">
        <v>0</v>
      </c>
      <c r="EF67" s="46">
        <v>0</v>
      </c>
      <c r="EG67" s="46">
        <v>0</v>
      </c>
      <c r="EH67" s="46">
        <v>0</v>
      </c>
      <c r="EI67" s="46">
        <v>0</v>
      </c>
      <c r="EJ67" s="46">
        <v>0</v>
      </c>
      <c r="EK67" s="46">
        <v>0</v>
      </c>
      <c r="EL67" s="46">
        <v>0</v>
      </c>
      <c r="EM67" s="46">
        <v>0</v>
      </c>
      <c r="EN67" s="46">
        <v>0</v>
      </c>
      <c r="EO67" s="46">
        <v>0</v>
      </c>
      <c r="EP67" s="46">
        <v>0</v>
      </c>
      <c r="EQ67" s="46">
        <v>0</v>
      </c>
      <c r="ER67" s="46">
        <v>0</v>
      </c>
      <c r="ES67" s="46">
        <v>0</v>
      </c>
      <c r="ET67" s="46">
        <v>0</v>
      </c>
      <c r="EU67" s="46">
        <v>0</v>
      </c>
      <c r="EV67" s="46">
        <v>0</v>
      </c>
      <c r="EW67" s="46">
        <v>0</v>
      </c>
      <c r="EX67" s="46">
        <v>0</v>
      </c>
      <c r="EY67" s="46">
        <v>0</v>
      </c>
      <c r="EZ67" s="46">
        <v>0</v>
      </c>
      <c r="FA67" s="46">
        <v>0</v>
      </c>
      <c r="FB67" s="46">
        <v>0</v>
      </c>
      <c r="FC67" s="46">
        <v>0</v>
      </c>
      <c r="FD67" s="46">
        <v>0</v>
      </c>
      <c r="FE67" s="46">
        <v>0</v>
      </c>
      <c r="FF67" s="46">
        <v>0</v>
      </c>
      <c r="FG67" s="46">
        <v>0</v>
      </c>
      <c r="FH67" s="46">
        <v>0</v>
      </c>
      <c r="FI67" s="46">
        <v>0</v>
      </c>
      <c r="FJ67" s="46">
        <v>0</v>
      </c>
      <c r="FK67" s="46">
        <v>0</v>
      </c>
      <c r="FL67" s="46">
        <v>0</v>
      </c>
      <c r="FM67" s="46">
        <v>0</v>
      </c>
      <c r="FN67" s="46">
        <v>0</v>
      </c>
      <c r="FO67" s="46">
        <v>0</v>
      </c>
      <c r="FP67" s="46">
        <v>0</v>
      </c>
      <c r="FQ67" s="46">
        <v>0</v>
      </c>
      <c r="FR67" s="46">
        <v>0</v>
      </c>
      <c r="FS67" s="46">
        <v>0</v>
      </c>
      <c r="FT67" s="46">
        <v>0</v>
      </c>
      <c r="FU67" s="46">
        <v>0</v>
      </c>
      <c r="FV67" s="46">
        <v>0</v>
      </c>
      <c r="FW67" s="46">
        <v>0</v>
      </c>
      <c r="FX67" s="46">
        <v>0</v>
      </c>
      <c r="FY67" s="46">
        <v>0</v>
      </c>
      <c r="FZ67" s="46">
        <v>0</v>
      </c>
      <c r="GA67" s="46">
        <v>0</v>
      </c>
      <c r="GB67" s="46">
        <v>0</v>
      </c>
      <c r="GC67" s="46">
        <v>0</v>
      </c>
      <c r="GD67" s="46">
        <v>0</v>
      </c>
      <c r="GE67" s="46">
        <v>0</v>
      </c>
      <c r="GF67" s="46">
        <v>0</v>
      </c>
      <c r="GG67" s="46">
        <v>0</v>
      </c>
      <c r="GH67" s="46">
        <v>0</v>
      </c>
      <c r="GI67" s="46">
        <v>0</v>
      </c>
      <c r="GJ67" s="46">
        <v>0</v>
      </c>
      <c r="GK67" s="46">
        <v>0</v>
      </c>
      <c r="GL67" s="46">
        <v>0</v>
      </c>
      <c r="GM67" s="46">
        <v>0</v>
      </c>
      <c r="GN67" s="46">
        <v>0</v>
      </c>
      <c r="GO67" s="46">
        <v>0</v>
      </c>
      <c r="GP67" s="46">
        <v>0</v>
      </c>
      <c r="GQ67" s="46">
        <v>0</v>
      </c>
      <c r="GR67" s="46">
        <v>0</v>
      </c>
      <c r="GS67" s="46">
        <v>0</v>
      </c>
      <c r="GT67" s="46">
        <v>0</v>
      </c>
      <c r="GU67" s="46">
        <v>0</v>
      </c>
      <c r="GV67" s="46">
        <v>0</v>
      </c>
      <c r="GW67" s="46">
        <v>0</v>
      </c>
      <c r="GX67" s="46">
        <v>0</v>
      </c>
      <c r="GY67" s="46">
        <v>0</v>
      </c>
      <c r="GZ67" s="46">
        <v>0</v>
      </c>
      <c r="HA67" s="46">
        <v>0</v>
      </c>
      <c r="HB67" s="46">
        <v>0</v>
      </c>
      <c r="HC67" s="46">
        <v>0</v>
      </c>
      <c r="HD67" s="46">
        <v>0</v>
      </c>
      <c r="HE67" s="46">
        <v>0</v>
      </c>
      <c r="HF67" s="46">
        <v>0</v>
      </c>
      <c r="HG67" s="46">
        <v>0</v>
      </c>
      <c r="HH67" s="46">
        <v>0</v>
      </c>
      <c r="HI67" s="46">
        <v>0</v>
      </c>
      <c r="HJ67" s="46">
        <v>0</v>
      </c>
      <c r="HK67" s="46">
        <v>0</v>
      </c>
      <c r="HL67" s="46">
        <v>0</v>
      </c>
      <c r="HM67" s="46">
        <v>0</v>
      </c>
      <c r="HN67" s="46">
        <v>0</v>
      </c>
      <c r="HO67" s="46">
        <v>0</v>
      </c>
      <c r="HP67" s="46">
        <v>0</v>
      </c>
      <c r="HQ67" s="46">
        <v>0</v>
      </c>
      <c r="HR67" s="46">
        <v>1690151</v>
      </c>
      <c r="HS67" s="46">
        <v>0</v>
      </c>
      <c r="HT67" s="46">
        <v>0</v>
      </c>
      <c r="HU67" s="46">
        <v>0</v>
      </c>
      <c r="HV67" s="46">
        <v>0</v>
      </c>
      <c r="HW67" s="46">
        <v>0</v>
      </c>
      <c r="HX67" s="46">
        <v>0</v>
      </c>
      <c r="HY67" s="46">
        <v>0</v>
      </c>
      <c r="HZ67" s="46">
        <v>0</v>
      </c>
      <c r="IA67" s="46">
        <v>0</v>
      </c>
      <c r="IB67" s="46">
        <v>0</v>
      </c>
      <c r="IC67" s="46">
        <v>0</v>
      </c>
      <c r="ID67" s="46">
        <v>0</v>
      </c>
      <c r="IE67" s="46">
        <v>0</v>
      </c>
      <c r="IF67" s="46">
        <v>0</v>
      </c>
      <c r="IG67" s="46">
        <v>0</v>
      </c>
      <c r="IH67" s="46">
        <v>0</v>
      </c>
      <c r="II67" s="46">
        <v>0</v>
      </c>
      <c r="IJ67" s="46">
        <v>0</v>
      </c>
      <c r="IK67" s="46">
        <v>0</v>
      </c>
      <c r="IL67" s="46">
        <v>0</v>
      </c>
      <c r="IM67" s="46">
        <v>0</v>
      </c>
      <c r="IN67" s="46">
        <v>0</v>
      </c>
      <c r="IO67" s="46">
        <v>0</v>
      </c>
      <c r="IP67" s="46">
        <v>0</v>
      </c>
      <c r="IQ67" s="46">
        <v>0</v>
      </c>
      <c r="IR67" s="46">
        <v>0</v>
      </c>
      <c r="IS67" s="46">
        <v>4668</v>
      </c>
      <c r="IT67" s="46">
        <v>0</v>
      </c>
      <c r="IU67" s="46">
        <v>0</v>
      </c>
      <c r="IV67" s="46">
        <v>0</v>
      </c>
      <c r="IW67" s="46">
        <v>0</v>
      </c>
      <c r="IX67" s="46">
        <v>0</v>
      </c>
      <c r="IY67" s="46">
        <v>0</v>
      </c>
      <c r="IZ67" s="46">
        <v>0</v>
      </c>
      <c r="JA67" s="46">
        <v>0</v>
      </c>
      <c r="JB67" s="46">
        <v>0</v>
      </c>
      <c r="JC67" s="46">
        <v>0</v>
      </c>
      <c r="JD67" s="46">
        <v>0</v>
      </c>
      <c r="JE67" s="46">
        <v>0</v>
      </c>
      <c r="JF67" s="46">
        <v>0</v>
      </c>
      <c r="JG67" s="46">
        <v>0</v>
      </c>
      <c r="JH67" s="46">
        <v>0</v>
      </c>
      <c r="JI67" s="46">
        <v>21350</v>
      </c>
      <c r="JJ67" s="46">
        <v>0</v>
      </c>
      <c r="JK67" s="46">
        <v>427694</v>
      </c>
      <c r="JL67" s="46">
        <v>0</v>
      </c>
      <c r="JM67" s="46">
        <v>0</v>
      </c>
      <c r="JN67" s="46">
        <v>0</v>
      </c>
      <c r="JO67" s="46">
        <v>0</v>
      </c>
      <c r="JP67" s="46">
        <v>0</v>
      </c>
      <c r="JQ67" s="46">
        <v>0</v>
      </c>
      <c r="JR67" s="46">
        <v>1668102</v>
      </c>
      <c r="JS67" s="46">
        <v>0</v>
      </c>
      <c r="JT67" s="46">
        <v>0</v>
      </c>
      <c r="JU67" s="46">
        <v>0</v>
      </c>
      <c r="JV67" s="46">
        <v>0</v>
      </c>
      <c r="JW67" s="46">
        <v>0</v>
      </c>
      <c r="JX67" s="46">
        <v>0</v>
      </c>
      <c r="JY67" s="46">
        <v>0</v>
      </c>
      <c r="JZ67" s="46">
        <v>0</v>
      </c>
      <c r="KA67" s="46">
        <v>0</v>
      </c>
      <c r="KB67" s="46">
        <v>977987</v>
      </c>
      <c r="KC67" s="46">
        <v>0</v>
      </c>
      <c r="KD67" s="46">
        <v>0</v>
      </c>
      <c r="KE67" s="46">
        <v>0</v>
      </c>
      <c r="KF67" s="46">
        <v>0</v>
      </c>
      <c r="KG67" s="46">
        <v>0</v>
      </c>
      <c r="KH67" s="46">
        <v>0</v>
      </c>
      <c r="KI67" s="46">
        <v>0</v>
      </c>
      <c r="KJ67" s="46">
        <v>0</v>
      </c>
      <c r="KK67" s="46">
        <v>0</v>
      </c>
      <c r="KL67" s="46">
        <v>0</v>
      </c>
      <c r="KM67" s="46">
        <v>0</v>
      </c>
      <c r="KN67" s="46">
        <v>0</v>
      </c>
      <c r="KO67" s="46">
        <v>0</v>
      </c>
      <c r="KP67" s="46">
        <v>0</v>
      </c>
      <c r="KQ67" s="46">
        <v>0</v>
      </c>
      <c r="KR67" s="46">
        <v>11903983</v>
      </c>
      <c r="KS67" s="46">
        <v>2289136</v>
      </c>
      <c r="KT67" s="46">
        <v>-21114</v>
      </c>
      <c r="KU67" s="46">
        <v>199806</v>
      </c>
      <c r="KV67" s="46">
        <v>0</v>
      </c>
      <c r="KW67" s="46">
        <v>0</v>
      </c>
      <c r="KX67" s="46">
        <v>0</v>
      </c>
      <c r="KY67" s="46">
        <v>0</v>
      </c>
      <c r="KZ67" s="46">
        <v>0</v>
      </c>
      <c r="LA67" s="46">
        <v>333</v>
      </c>
      <c r="LB67" s="46">
        <v>-170</v>
      </c>
      <c r="LC67" s="46">
        <v>-198</v>
      </c>
      <c r="LD67" s="46">
        <v>0</v>
      </c>
      <c r="LE67" s="46">
        <v>0</v>
      </c>
      <c r="LF67" s="46">
        <v>0</v>
      </c>
      <c r="LG67" s="46">
        <v>0</v>
      </c>
      <c r="LH67" s="46">
        <v>0</v>
      </c>
      <c r="LI67" s="46">
        <v>0</v>
      </c>
      <c r="LJ67" s="46">
        <v>0</v>
      </c>
      <c r="LK67" s="46">
        <v>0</v>
      </c>
      <c r="LL67" s="46">
        <v>0</v>
      </c>
      <c r="LM67" s="46">
        <v>0</v>
      </c>
      <c r="LN67" s="46">
        <v>0</v>
      </c>
      <c r="LO67" s="46">
        <v>0</v>
      </c>
      <c r="LP67" s="46">
        <v>0</v>
      </c>
      <c r="LQ67" s="46">
        <v>0</v>
      </c>
      <c r="LR67" s="46">
        <v>0</v>
      </c>
      <c r="LS67" s="46">
        <v>0</v>
      </c>
      <c r="LT67" s="46">
        <v>0</v>
      </c>
      <c r="LU67" s="46">
        <v>0</v>
      </c>
      <c r="LV67" s="46">
        <v>0</v>
      </c>
      <c r="LW67" s="46">
        <v>0</v>
      </c>
      <c r="LX67" s="46">
        <v>0</v>
      </c>
      <c r="LY67" s="46">
        <v>0</v>
      </c>
      <c r="LZ67" s="46">
        <v>0</v>
      </c>
      <c r="MA67" s="46">
        <v>0</v>
      </c>
      <c r="MB67" s="46">
        <v>2166420</v>
      </c>
      <c r="MC67" s="46">
        <v>128395</v>
      </c>
      <c r="MD67" s="46">
        <v>-2627</v>
      </c>
      <c r="ME67" s="46">
        <v>1781</v>
      </c>
      <c r="MF67" s="46">
        <v>0</v>
      </c>
      <c r="MG67" s="46">
        <v>0</v>
      </c>
      <c r="MH67" s="46">
        <v>0</v>
      </c>
      <c r="MI67" s="46">
        <v>0</v>
      </c>
      <c r="MJ67" s="46">
        <v>0</v>
      </c>
      <c r="MK67" s="46">
        <v>2871924</v>
      </c>
      <c r="ML67" s="46">
        <v>572613</v>
      </c>
      <c r="MM67" s="46">
        <v>-2345</v>
      </c>
      <c r="MN67" s="46">
        <v>4583</v>
      </c>
      <c r="MO67" s="46">
        <v>0</v>
      </c>
      <c r="MP67" s="46">
        <v>0</v>
      </c>
      <c r="MQ67" s="46">
        <v>0</v>
      </c>
      <c r="MR67" s="46">
        <v>0</v>
      </c>
      <c r="MS67" s="46">
        <v>0</v>
      </c>
      <c r="MT67" s="46">
        <v>2592046</v>
      </c>
      <c r="MU67" s="46">
        <v>562198</v>
      </c>
      <c r="MV67" s="46">
        <v>14744</v>
      </c>
      <c r="MW67" s="46">
        <v>0</v>
      </c>
      <c r="MX67" s="46">
        <v>0</v>
      </c>
      <c r="MY67" s="46">
        <v>0</v>
      </c>
      <c r="MZ67" s="46">
        <v>0</v>
      </c>
      <c r="NA67" s="46">
        <v>0</v>
      </c>
      <c r="NB67" s="46">
        <v>0</v>
      </c>
      <c r="NC67" s="46">
        <v>1478130</v>
      </c>
      <c r="ND67" s="46">
        <v>2383034</v>
      </c>
      <c r="NE67" s="46">
        <v>-1014</v>
      </c>
      <c r="NF67" s="46">
        <v>0</v>
      </c>
      <c r="NG67" s="46">
        <v>0</v>
      </c>
      <c r="NH67" s="46">
        <v>0</v>
      </c>
      <c r="NI67" s="46">
        <v>0</v>
      </c>
      <c r="NJ67" s="46">
        <v>0</v>
      </c>
      <c r="NK67" s="46">
        <v>0</v>
      </c>
      <c r="NL67" s="46">
        <v>159204</v>
      </c>
      <c r="NM67" s="46">
        <v>1545444</v>
      </c>
      <c r="NN67" s="46">
        <v>0</v>
      </c>
      <c r="NO67" s="46">
        <v>1290284</v>
      </c>
      <c r="NP67" s="46">
        <v>0</v>
      </c>
      <c r="NQ67" s="46">
        <v>0</v>
      </c>
      <c r="NR67" s="46">
        <v>0</v>
      </c>
      <c r="NS67" s="46">
        <v>0</v>
      </c>
      <c r="NT67" s="46">
        <v>0</v>
      </c>
      <c r="NU67" s="46">
        <v>20119</v>
      </c>
      <c r="NV67" s="46">
        <v>-5682</v>
      </c>
      <c r="NW67" s="46">
        <v>1320194</v>
      </c>
      <c r="NX67" s="46">
        <v>0</v>
      </c>
      <c r="NY67" s="46">
        <v>0</v>
      </c>
      <c r="NZ67" s="46">
        <v>0</v>
      </c>
      <c r="OA67" s="46">
        <v>0</v>
      </c>
      <c r="OB67" s="46">
        <v>0</v>
      </c>
      <c r="OC67" s="46">
        <v>0</v>
      </c>
      <c r="OD67" s="46">
        <v>142693</v>
      </c>
      <c r="OE67" s="46">
        <v>584357</v>
      </c>
      <c r="OF67" s="46">
        <v>0</v>
      </c>
      <c r="OG67" s="46">
        <v>520194</v>
      </c>
      <c r="OH67" s="46">
        <v>0</v>
      </c>
      <c r="OI67" s="46">
        <v>0</v>
      </c>
      <c r="OJ67" s="46">
        <v>0</v>
      </c>
      <c r="OK67" s="46">
        <v>0</v>
      </c>
      <c r="OL67" s="46">
        <v>0</v>
      </c>
      <c r="OM67" s="46">
        <v>0</v>
      </c>
      <c r="ON67" s="46">
        <v>0</v>
      </c>
      <c r="OO67" s="46">
        <v>0</v>
      </c>
      <c r="OP67" s="46">
        <v>0</v>
      </c>
      <c r="OQ67" s="46">
        <v>0</v>
      </c>
      <c r="OR67" s="46">
        <v>0</v>
      </c>
      <c r="OS67" s="46">
        <v>2638832</v>
      </c>
      <c r="OT67" s="46">
        <v>0</v>
      </c>
      <c r="OU67" s="46">
        <v>0</v>
      </c>
      <c r="OV67" s="46">
        <v>0</v>
      </c>
      <c r="OW67" s="46">
        <v>0</v>
      </c>
      <c r="OX67" s="46">
        <v>0</v>
      </c>
      <c r="OY67" s="46">
        <v>0</v>
      </c>
      <c r="OZ67" s="46">
        <v>0</v>
      </c>
      <c r="PA67" s="46">
        <v>0</v>
      </c>
      <c r="PB67" s="46">
        <v>-15184600</v>
      </c>
      <c r="PC67" s="46">
        <v>0</v>
      </c>
      <c r="PD67" s="46">
        <v>0</v>
      </c>
      <c r="PE67" s="46">
        <v>-2830560</v>
      </c>
      <c r="PF67" s="46">
        <v>1663655</v>
      </c>
      <c r="PG67" s="46">
        <v>289121</v>
      </c>
      <c r="PH67" s="46">
        <v>-3159352</v>
      </c>
      <c r="PI67" s="46">
        <v>0</v>
      </c>
      <c r="PJ67" s="46">
        <v>0</v>
      </c>
      <c r="PK67" s="46">
        <v>15938439</v>
      </c>
      <c r="PL67" s="46">
        <v>1576885</v>
      </c>
      <c r="PM67" s="46">
        <v>-12974395</v>
      </c>
      <c r="PN67" s="46">
        <v>0</v>
      </c>
      <c r="PO67" s="46">
        <v>0</v>
      </c>
      <c r="PP67" s="46">
        <v>0</v>
      </c>
      <c r="PQ67" s="46">
        <v>0</v>
      </c>
      <c r="PR67" s="46">
        <v>0</v>
      </c>
      <c r="PS67" s="46">
        <v>0</v>
      </c>
      <c r="PT67" s="46">
        <v>0</v>
      </c>
      <c r="PU67" s="46">
        <v>0</v>
      </c>
      <c r="PV67" s="46">
        <v>0</v>
      </c>
      <c r="PW67" s="46">
        <v>0</v>
      </c>
      <c r="PX67" s="46">
        <v>0</v>
      </c>
      <c r="PY67" s="46">
        <v>0</v>
      </c>
      <c r="PZ67" s="46">
        <v>0</v>
      </c>
      <c r="QA67" s="46">
        <v>0</v>
      </c>
      <c r="QB67" s="46">
        <v>0</v>
      </c>
      <c r="QC67" s="46">
        <v>21883</v>
      </c>
      <c r="QD67" s="46">
        <v>-3142419</v>
      </c>
      <c r="QE67" s="46">
        <v>1680979</v>
      </c>
      <c r="QF67" s="46">
        <v>0</v>
      </c>
      <c r="QG67" s="46">
        <v>0</v>
      </c>
      <c r="QH67" s="46">
        <v>0</v>
      </c>
      <c r="QI67" s="46">
        <v>0</v>
      </c>
      <c r="QJ67" s="46">
        <v>0</v>
      </c>
      <c r="QK67" s="46">
        <v>0</v>
      </c>
      <c r="QL67" s="46">
        <v>0</v>
      </c>
      <c r="QM67" s="46">
        <v>0</v>
      </c>
      <c r="QN67" s="46">
        <v>0</v>
      </c>
      <c r="QO67" s="46">
        <v>0</v>
      </c>
      <c r="QP67" s="46">
        <v>0</v>
      </c>
      <c r="QQ67" s="46">
        <v>0</v>
      </c>
      <c r="QR67" s="46">
        <v>0</v>
      </c>
      <c r="QS67" s="46">
        <v>0</v>
      </c>
      <c r="QT67" s="46">
        <v>0</v>
      </c>
      <c r="QU67" s="46">
        <v>0</v>
      </c>
      <c r="QV67" s="46">
        <v>0</v>
      </c>
      <c r="QW67" s="46">
        <v>0</v>
      </c>
      <c r="QX67" s="46">
        <v>0</v>
      </c>
      <c r="QY67" s="46">
        <v>0</v>
      </c>
      <c r="QZ67" s="46">
        <v>0</v>
      </c>
      <c r="RA67" s="46">
        <v>0</v>
      </c>
      <c r="RB67" s="46">
        <v>0</v>
      </c>
      <c r="RC67" s="46">
        <v>0</v>
      </c>
      <c r="RD67" s="46">
        <v>0</v>
      </c>
      <c r="RE67" s="46">
        <v>0</v>
      </c>
      <c r="RF67" s="46">
        <v>0</v>
      </c>
      <c r="RG67" s="46">
        <v>0</v>
      </c>
      <c r="RH67" s="46">
        <v>0</v>
      </c>
      <c r="RI67" s="46">
        <v>0</v>
      </c>
      <c r="RJ67" s="46">
        <v>0</v>
      </c>
      <c r="RK67" s="46">
        <v>0</v>
      </c>
      <c r="RL67" s="46">
        <v>0</v>
      </c>
      <c r="RM67" s="46">
        <v>0</v>
      </c>
      <c r="RN67" s="46">
        <v>0</v>
      </c>
      <c r="RO67" s="46">
        <v>-2826984</v>
      </c>
      <c r="RP67" s="46">
        <v>0</v>
      </c>
      <c r="RQ67" s="46">
        <v>0</v>
      </c>
      <c r="RR67" s="46">
        <v>0</v>
      </c>
      <c r="RS67" s="46">
        <v>0</v>
      </c>
      <c r="RT67" s="46">
        <v>0</v>
      </c>
      <c r="RU67" s="46">
        <v>0</v>
      </c>
      <c r="RV67" s="46">
        <v>0</v>
      </c>
      <c r="RW67" s="46">
        <v>0</v>
      </c>
      <c r="RX67" s="46">
        <v>0</v>
      </c>
      <c r="RY67" s="46">
        <v>0</v>
      </c>
      <c r="RZ67" s="46">
        <v>0</v>
      </c>
      <c r="SA67" s="46">
        <v>0</v>
      </c>
      <c r="SB67" s="46">
        <v>0</v>
      </c>
      <c r="SC67" s="46">
        <v>0</v>
      </c>
      <c r="SD67" s="46">
        <v>0</v>
      </c>
      <c r="SE67" s="46">
        <v>0</v>
      </c>
      <c r="SF67" s="46">
        <v>0</v>
      </c>
      <c r="SG67" s="46">
        <v>0</v>
      </c>
      <c r="SH67" s="46">
        <v>0</v>
      </c>
      <c r="SI67" s="46">
        <v>0</v>
      </c>
      <c r="SJ67" s="46">
        <v>0</v>
      </c>
      <c r="SK67" s="46">
        <v>0</v>
      </c>
      <c r="SL67" s="46">
        <v>0</v>
      </c>
      <c r="SM67" s="46">
        <v>0</v>
      </c>
      <c r="SN67" s="46">
        <v>0</v>
      </c>
      <c r="SO67" s="46">
        <v>0</v>
      </c>
      <c r="SP67" s="46">
        <v>10000</v>
      </c>
      <c r="SQ67" s="46">
        <v>142693</v>
      </c>
      <c r="SR67" s="46">
        <v>584357</v>
      </c>
      <c r="SS67" s="46">
        <v>0</v>
      </c>
      <c r="ST67" s="46">
        <v>520194</v>
      </c>
      <c r="SU67" s="46">
        <v>0</v>
      </c>
      <c r="SV67" s="46">
        <v>0</v>
      </c>
      <c r="SW67" s="46">
        <v>15184600</v>
      </c>
      <c r="SX67" s="46">
        <v>0</v>
      </c>
      <c r="SY67" s="46">
        <v>0</v>
      </c>
      <c r="SZ67" s="46">
        <v>1226701</v>
      </c>
      <c r="TA67" s="46">
        <v>0</v>
      </c>
      <c r="TB67" s="46">
        <v>0</v>
      </c>
      <c r="TC67" s="46">
        <v>0</v>
      </c>
      <c r="TD67" s="46">
        <v>0</v>
      </c>
      <c r="TE67" s="46">
        <v>0</v>
      </c>
      <c r="TF67" s="46">
        <v>20543</v>
      </c>
      <c r="TG67" s="46">
        <v>0</v>
      </c>
      <c r="TH67" s="46">
        <v>0</v>
      </c>
      <c r="TI67" s="46">
        <v>0</v>
      </c>
      <c r="TJ67" s="46">
        <v>0</v>
      </c>
      <c r="TK67" s="46">
        <v>0</v>
      </c>
      <c r="TL67" s="46">
        <v>0</v>
      </c>
      <c r="TM67" s="46">
        <v>0</v>
      </c>
      <c r="TN67" s="46">
        <v>0</v>
      </c>
      <c r="TO67" s="46">
        <v>0</v>
      </c>
      <c r="TP67" s="46">
        <v>0</v>
      </c>
      <c r="TQ67" s="46">
        <v>0</v>
      </c>
      <c r="TR67" s="46">
        <v>0</v>
      </c>
      <c r="TS67" s="46">
        <v>0</v>
      </c>
      <c r="TT67" s="46">
        <v>0</v>
      </c>
      <c r="TU67" s="46">
        <v>0</v>
      </c>
      <c r="TV67" s="46">
        <v>0</v>
      </c>
      <c r="TW67" s="46">
        <v>0</v>
      </c>
      <c r="TX67" s="46">
        <v>0</v>
      </c>
      <c r="TY67" s="46">
        <v>0</v>
      </c>
      <c r="TZ67" s="46">
        <v>0</v>
      </c>
      <c r="UA67" s="46">
        <v>0</v>
      </c>
      <c r="UB67" s="46">
        <v>0</v>
      </c>
      <c r="UC67" s="46">
        <v>0</v>
      </c>
      <c r="UD67" s="46">
        <v>0</v>
      </c>
      <c r="UE67" s="46">
        <v>14371811</v>
      </c>
      <c r="UF67" s="46">
        <v>-35</v>
      </c>
      <c r="UG67" s="46">
        <v>0</v>
      </c>
      <c r="UH67" s="46">
        <v>0</v>
      </c>
      <c r="UI67" s="46">
        <v>2293969</v>
      </c>
      <c r="UJ67" s="46">
        <v>3446775</v>
      </c>
      <c r="UK67" s="46">
        <v>3168988</v>
      </c>
      <c r="UL67" s="46">
        <v>3860150</v>
      </c>
      <c r="UM67" s="46">
        <v>2994932</v>
      </c>
      <c r="UN67" s="46">
        <v>1334631</v>
      </c>
      <c r="UO67"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1247244</v>
      </c>
      <c r="UP67" s="46">
        <f>SUM(Input[[#This Row],[Oth Exp E&amp;G]],Input[[#This Row],[Oth Exp Desg]],Input[[#This Row],[Oth Exp Aux]],Input[[#This Row],[Oth Exp R Exp]],Input[[#This Row],[Oth Exp Loan]],Input[[#This Row],[Oth Exp Annuity]],Input[[#This Row],[Oth Exp Unexp]],Input[[#This Row],[Oth Exp R of Ind]],Input[[#This Row],[Oth Exp Inv in P]])</f>
        <v>2638832</v>
      </c>
      <c r="UQ67" s="46"/>
      <c r="UR67" s="46"/>
      <c r="US67" s="8" t="s">
        <v>808</v>
      </c>
      <c r="UT67" s="47">
        <v>2548673931</v>
      </c>
      <c r="UU67" s="8" t="s">
        <v>96</v>
      </c>
      <c r="UV67" s="8" t="s">
        <v>809</v>
      </c>
      <c r="UW67" s="47">
        <v>9563644058</v>
      </c>
      <c r="UX67" s="8" t="s">
        <v>810</v>
      </c>
      <c r="UY67" s="51" cm="1">
        <f t="array" ref="UY67">IFERROR(_xlfn.IFS(Input[[#This Row],[Type]]="HRI",SUMIFS('FTSE | FTFE'!$P$8:$P$77,'FTSE | FTFE'!$H$8:$H$77,A67),Input[[#This Row],[Type]]="UNIV",SUMIFS('FTSE | FTFE'!$P$104:$P$139,'FTSE | FTFE'!$H$104:$H$139,A67),OR(Input[[#This Row],[Type]]="TSTC",Input[[#This Row],[Type]]="LSC"),SUMIFS('FTSE | FTFE'!$O$88:$O$96,'FTSE | FTFE'!$H$88:$H$96,A67),Input[[#This Row],[Type]]="AHM",SUMIFS(Hidden!$H$42:$H$45,Hidden!$G$42:$G$45,A67)),"N/A")</f>
        <v>656</v>
      </c>
      <c r="UZ67" s="51" cm="1">
        <f t="array" ref="UZ67">IFERROR(_xlfn.IFS(Input[[#This Row],[Type]]="HRI",SUMIFS('FTSE | FTFE'!$Q$8:$Q$77,'FTSE | FTFE'!$H$8:$H$77,A67),Input[[#This Row],[Type]]="UNIV",SUMIFS('FTSE | FTFE'!$Q$104:$Q$139,'FTSE | FTFE'!$H$104:$H$139,A67),OR(Input[[#This Row],[Type]]="TSTC",Input[[#This Row],[Type]]="LSC"),SUMIFS('FTSE | FTFE'!$P$88:$P$96,'FTSE | FTFE'!$H$88:$H$96,A67)),"N/A")</f>
        <v>51.265000000000001</v>
      </c>
      <c r="VA6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21573603</v>
      </c>
      <c r="VB6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626781</v>
      </c>
      <c r="VC67" s="46">
        <f>SUM(Input[[#This Row],[Fed G&amp;C E&amp;G]],Input[[#This Row],[Fed G&amp;C Desg]],Input[[#This Row],[Fed G&amp;C R Exp]],Input[[#This Row],[Fed G&amp;C Loan]],Input[[#This Row],[Fed G&amp;C Annuity]],Input[[#This Row],[Fed G&amp;C Unexp]],Input[[#This Row],[Fed G&amp;C R of Ind]],Input[[#This Row],[Fed G&amp;C Inv in P]])</f>
        <v>1690151</v>
      </c>
      <c r="VD6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2121814</v>
      </c>
      <c r="VE6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2630917</v>
      </c>
      <c r="VF6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67" s="46">
        <f>SUM(Input[[#This Row],[Oth Inc E&amp;G]],Input[[#This Row],[Oth Exp Desg]],Input[[#This Row],[Oth Exp R Exp]],Input[[#This Row],[Oth Exp Loan]],Input[[#This Row],[Oth Exp Annuity]],Input[[#This Row],[Oth Exp Unexp]],Input[[#This Row],[Oth Exp R of Ind]],Input[[#This Row],[Oth Exp Inv in P]])</f>
        <v>2638832</v>
      </c>
      <c r="VH67" s="46">
        <f>SUM(Input[[#This Row],[Instr E&amp;G]],Input[[#This Row],[Instr Desg]],Input[[#This Row],[Instr R Exp]],Input[[#This Row],[Instr Loan]],Input[[#This Row],[Instr Annuity]],Input[[#This Row],[Instr Unexp]],Input[[#This Row],[Instr R of Ind]],Input[[#This Row],[Instr Inv in P]])</f>
        <v>14392925</v>
      </c>
      <c r="VI67" s="46">
        <f>SUM(Input[[#This Row],[Res E&amp;G]],Input[[#This Row],[Res Desg]],Input[[#This Row],[Res R Exp]],Input[[#This Row],[Res Loan]],Input[[#This Row],[Res Annuity]],Input[[#This Row],[Res Unexp]],Input[[#This Row],[Res R of Ind]],Input[[#This Row],[Res Inv in P]])</f>
        <v>163</v>
      </c>
      <c r="VJ67" s="46">
        <f>SUM(Input[[#This Row],[Acad Sup E&amp;G]],Input[[#This Row],[Acad Sup Desg]],Input[[#This Row],[Acad Sup R Exp]],Input[[#This Row],[Acad Sup Loan]],Input[[#This Row],[Acad Sup Annuity]],Input[[#This Row],[Acad Sup Unexp]],Input[[#This Row],[Acad Sup R of Ind]],Input[[#This Row],[Acad Sup Inv in P]])</f>
        <v>2296596</v>
      </c>
      <c r="VK67" s="46">
        <f>SUM(Input[[#This Row],[Stu Svc E&amp;G]],Input[[#This Row],[Stu Svc Desg]],Input[[#This Row],[Stu Svc R Exp]],Input[[#This Row],[Stu Svc Loan]],Input[[#This Row],[Stu Svc Annuity]],Input[[#This Row],[Stu Svc Unexp]],Input[[#This Row],[Stu Svc R of Ind]],Input[[#This Row],[Stu Svc Inv in P]])</f>
        <v>3449120</v>
      </c>
      <c r="VL67" s="46">
        <f>SUM(Input[[#This Row],[Inst. Spt E&amp;G]],Input[[#This Row],[Inst. Spt Desg]],Input[[#This Row],[Inst. Spt R Exp]],Input[[#This Row],[Inst. Spt Loan]],Input[[#This Row],[Inst. Spt Annuity]],Input[[#This Row],[Inst. Spt Unexp]],Input[[#This Row],[Inst. Spt R of Ind]],Input[[#This Row],[Inst. Spt Inv in P]])</f>
        <v>3154244</v>
      </c>
      <c r="VM67" s="46">
        <f>SUM(Input[[#This Row],[M&amp;O Plnt E&amp;G]],Input[[#This Row],[M&amp;O Plnt Desg]],Input[[#This Row],[M&amp;O Plnt R Exp]],Input[[#This Row],[M&amp;O Plnt Loan]],Input[[#This Row],[M&amp;O Plnt Annuity]],Input[[#This Row],[M&amp;O Plnt Unexp]],Input[[#This Row],[M&amp;O Plnt R of Ind]],Input[[#This Row],[M&amp;O Plnt Inv in P]])</f>
        <v>3861164</v>
      </c>
      <c r="VN67" s="46">
        <f>SUM(Input[[#This Row],[Schl &amp; Fell E&amp;G]],Input[[#This Row],[Schl &amp; Fell Desg]],Input[[#This Row],[Schl &amp; Fell R Exp]],Input[[#This Row],[Schl &amp; Fell Loan]],Input[[#This Row],[Schl &amp; Fell Annuity]],Input[[#This Row],[Schl &amp; Fell Unexp]],Input[[#This Row],[Schl &amp; Fell R of Ind]],Input[[#This Row],[Schl &amp; Fell Inv in P]])</f>
        <v>2994932</v>
      </c>
      <c r="VO67" s="46">
        <f>SUM(Input[[#This Row],[Cap Out fund E&amp;G]],Input[[#This Row],[Cap Out fund Desg]],Input[[#This Row],[Cap Out fund R Exp]],Input[[#This Row],[Cap Out fund Loan]],Input[[#This Row],[Cap Out fund Annuity]],Input[[#This Row],[Cap Out fund Unexp]],Input[[#This Row],[Cap Out fund R of Ind]],Input[[#This Row],[Cap Out fund Inv in P]])</f>
        <v>1247244</v>
      </c>
      <c r="VP67" s="46">
        <f>SUM(Input[[#This Row],[Oth Exp E&amp;G]],Input[[#This Row],[Oth Exp Desg]],Input[[#This Row],[Oth Exp R Exp]],Input[[#This Row],[Oth Exp Loan]],Input[[#This Row],[Oth Exp Annuity]],Input[[#This Row],[Oth Exp Unexp]],Input[[#This Row],[Oth Exp R of Ind]],Input[[#This Row],[Oth Exp Inv in P]],Input[[#This Row],[Oth Exp Inv in P]])</f>
        <v>2638832</v>
      </c>
    </row>
    <row r="68" spans="1:588" ht="30" customHeight="1" x14ac:dyDescent="0.3">
      <c r="A68" s="15" t="s">
        <v>47</v>
      </c>
      <c r="B68" s="36" t="s">
        <v>121</v>
      </c>
      <c r="C68" s="36" t="s">
        <v>121</v>
      </c>
      <c r="D68" s="36">
        <v>1003</v>
      </c>
      <c r="E68" s="36" t="s">
        <v>132</v>
      </c>
      <c r="F68" s="95" cm="1">
        <f t="array" ref="F68">IFERROR(_xlfn.IFS(Input[[#This Row],[Type]]="HRI",SUMIFS('FTSE | FTFE'!$I$8:$I$77,'FTSE | FTFE'!$H$8:$H$77,A68),Input[[#This Row],[Type]]="UNIV",SUMIFS('FTSE | FTFE'!$I$104:$I$139,'FTSE | FTFE'!$H$104:$H$139,A68),OR(Input[[#This Row],[Type]]="TSTC",Input[[#This Row],[Type]]="LSC"),SUMIFS('FTSE | FTFE'!$I$88:$I$96,'FTSE | FTFE'!$H$88:$H$96,A68)),"N/A")</f>
        <v>33965</v>
      </c>
      <c r="G68" s="46">
        <v>10978200</v>
      </c>
      <c r="H68" s="46">
        <v>0</v>
      </c>
      <c r="I68" s="46">
        <v>0</v>
      </c>
      <c r="J68" s="46">
        <v>0</v>
      </c>
      <c r="K68" s="46">
        <v>0</v>
      </c>
      <c r="L68" s="46">
        <v>0</v>
      </c>
      <c r="M68" s="46">
        <v>0</v>
      </c>
      <c r="N68" s="46">
        <v>0</v>
      </c>
      <c r="O68" s="46">
        <v>0</v>
      </c>
      <c r="P68" s="46">
        <v>0</v>
      </c>
      <c r="Q68" s="46">
        <v>0</v>
      </c>
      <c r="R68" s="46">
        <v>0</v>
      </c>
      <c r="S68" s="46">
        <v>0</v>
      </c>
      <c r="T68" s="46">
        <v>0</v>
      </c>
      <c r="U68" s="46">
        <v>0</v>
      </c>
      <c r="V68" s="46">
        <v>0</v>
      </c>
      <c r="W68" s="46">
        <v>0</v>
      </c>
      <c r="X68" s="46">
        <v>0</v>
      </c>
      <c r="Y68" s="46">
        <v>310159</v>
      </c>
      <c r="Z68" s="46">
        <v>0</v>
      </c>
      <c r="AA68" s="46">
        <v>0</v>
      </c>
      <c r="AB68" s="46">
        <v>0</v>
      </c>
      <c r="AC68" s="46">
        <v>0</v>
      </c>
      <c r="AD68" s="46">
        <v>0</v>
      </c>
      <c r="AE68" s="46">
        <v>0</v>
      </c>
      <c r="AF68" s="46">
        <v>0</v>
      </c>
      <c r="AG68" s="46">
        <v>0</v>
      </c>
      <c r="AH68" s="46">
        <v>0</v>
      </c>
      <c r="AI68" s="46">
        <v>0</v>
      </c>
      <c r="AJ68" s="46">
        <v>0</v>
      </c>
      <c r="AK68" s="46">
        <v>0</v>
      </c>
      <c r="AL68" s="46">
        <v>0</v>
      </c>
      <c r="AM68" s="46">
        <v>0</v>
      </c>
      <c r="AN68" s="46">
        <v>0</v>
      </c>
      <c r="AO68" s="46">
        <v>0</v>
      </c>
      <c r="AP68" s="46">
        <v>0</v>
      </c>
      <c r="AQ68" s="46">
        <v>-118053</v>
      </c>
      <c r="AR68" s="46">
        <v>0</v>
      </c>
      <c r="AS68" s="46">
        <v>0</v>
      </c>
      <c r="AT68" s="46">
        <v>0</v>
      </c>
      <c r="AU68" s="46">
        <v>0</v>
      </c>
      <c r="AV68" s="46">
        <v>0</v>
      </c>
      <c r="AW68" s="46">
        <v>0</v>
      </c>
      <c r="AX68" s="46">
        <v>0</v>
      </c>
      <c r="AY68" s="46">
        <v>0</v>
      </c>
      <c r="AZ68" s="46">
        <v>0</v>
      </c>
      <c r="BA68" s="46">
        <v>0</v>
      </c>
      <c r="BB68" s="46">
        <v>0</v>
      </c>
      <c r="BC68" s="46">
        <v>0</v>
      </c>
      <c r="BD68" s="46">
        <v>0</v>
      </c>
      <c r="BE68" s="46">
        <v>0</v>
      </c>
      <c r="BF68" s="46">
        <v>0</v>
      </c>
      <c r="BG68" s="46">
        <v>0</v>
      </c>
      <c r="BH68" s="46">
        <v>0</v>
      </c>
      <c r="BI68" s="46">
        <v>0</v>
      </c>
      <c r="BJ68" s="46">
        <v>0</v>
      </c>
      <c r="BK68" s="46">
        <v>0</v>
      </c>
      <c r="BL68" s="46">
        <v>0</v>
      </c>
      <c r="BM68" s="46">
        <v>0</v>
      </c>
      <c r="BN68" s="46">
        <v>0</v>
      </c>
      <c r="BO68" s="46">
        <v>0</v>
      </c>
      <c r="BP68" s="46">
        <v>0</v>
      </c>
      <c r="BQ68" s="46">
        <v>0</v>
      </c>
      <c r="BR68" s="46">
        <v>0</v>
      </c>
      <c r="BS68" s="46">
        <v>0</v>
      </c>
      <c r="BT68" s="46">
        <v>0</v>
      </c>
      <c r="BU68" s="46">
        <v>0</v>
      </c>
      <c r="BV68" s="46">
        <v>0</v>
      </c>
      <c r="BW68" s="46">
        <v>0</v>
      </c>
      <c r="BX68" s="46">
        <v>0</v>
      </c>
      <c r="BY68" s="46">
        <v>0</v>
      </c>
      <c r="BZ68" s="46">
        <v>0</v>
      </c>
      <c r="CA68" s="46">
        <v>483061</v>
      </c>
      <c r="CB68" s="46">
        <v>3256981</v>
      </c>
      <c r="CC68" s="46">
        <v>0</v>
      </c>
      <c r="CD68" s="46">
        <v>0</v>
      </c>
      <c r="CE68" s="46">
        <v>0</v>
      </c>
      <c r="CF68" s="46">
        <v>0</v>
      </c>
      <c r="CG68" s="46">
        <v>0</v>
      </c>
      <c r="CH68" s="46">
        <v>0</v>
      </c>
      <c r="CI68" s="46">
        <v>0</v>
      </c>
      <c r="CJ68" s="46">
        <v>0</v>
      </c>
      <c r="CK68" s="46">
        <v>0</v>
      </c>
      <c r="CL68" s="46">
        <v>0</v>
      </c>
      <c r="CM68" s="46">
        <v>0</v>
      </c>
      <c r="CN68" s="46">
        <v>0</v>
      </c>
      <c r="CO68" s="46">
        <v>0</v>
      </c>
      <c r="CP68" s="46">
        <v>0</v>
      </c>
      <c r="CQ68" s="46">
        <v>0</v>
      </c>
      <c r="CR68" s="46">
        <v>0</v>
      </c>
      <c r="CS68" s="46">
        <v>0</v>
      </c>
      <c r="CT68" s="46">
        <v>0</v>
      </c>
      <c r="CU68" s="46">
        <v>0</v>
      </c>
      <c r="CV68" s="46">
        <v>0</v>
      </c>
      <c r="CW68" s="46">
        <v>0</v>
      </c>
      <c r="CX68" s="46">
        <v>0</v>
      </c>
      <c r="CY68" s="46">
        <v>0</v>
      </c>
      <c r="CZ68" s="46">
        <v>0</v>
      </c>
      <c r="DA68" s="46">
        <v>0</v>
      </c>
      <c r="DB68" s="46">
        <v>-38377</v>
      </c>
      <c r="DC68" s="46">
        <v>0</v>
      </c>
      <c r="DD68" s="46">
        <v>0</v>
      </c>
      <c r="DE68" s="46">
        <v>0</v>
      </c>
      <c r="DF68" s="46">
        <v>0</v>
      </c>
      <c r="DG68" s="46">
        <v>0</v>
      </c>
      <c r="DH68" s="46">
        <v>0</v>
      </c>
      <c r="DI68" s="46">
        <v>0</v>
      </c>
      <c r="DJ68" s="46">
        <v>0</v>
      </c>
      <c r="DK68" s="46">
        <v>0</v>
      </c>
      <c r="DL68" s="46">
        <v>-263579</v>
      </c>
      <c r="DM68" s="46">
        <v>0</v>
      </c>
      <c r="DN68" s="46">
        <v>0</v>
      </c>
      <c r="DO68" s="46">
        <v>0</v>
      </c>
      <c r="DP68" s="46">
        <v>0</v>
      </c>
      <c r="DQ68" s="46">
        <v>0</v>
      </c>
      <c r="DR68" s="46">
        <v>0</v>
      </c>
      <c r="DS68" s="46">
        <v>0</v>
      </c>
      <c r="DT68" s="46">
        <v>-223314</v>
      </c>
      <c r="DU68" s="46">
        <v>-1906230</v>
      </c>
      <c r="DV68" s="46">
        <v>0</v>
      </c>
      <c r="DW68" s="46">
        <v>0</v>
      </c>
      <c r="DX68" s="46">
        <v>0</v>
      </c>
      <c r="DY68" s="46">
        <v>0</v>
      </c>
      <c r="DZ68" s="46">
        <v>0</v>
      </c>
      <c r="EA68" s="46">
        <v>0</v>
      </c>
      <c r="EB68" s="46">
        <v>0</v>
      </c>
      <c r="EC68" s="46">
        <v>0</v>
      </c>
      <c r="ED68" s="46">
        <v>0</v>
      </c>
      <c r="EE68" s="46">
        <v>0</v>
      </c>
      <c r="EF68" s="46">
        <v>0</v>
      </c>
      <c r="EG68" s="46">
        <v>0</v>
      </c>
      <c r="EH68" s="46">
        <v>0</v>
      </c>
      <c r="EI68" s="46">
        <v>0</v>
      </c>
      <c r="EJ68" s="46">
        <v>0</v>
      </c>
      <c r="EK68" s="46">
        <v>0</v>
      </c>
      <c r="EL68" s="46">
        <v>0</v>
      </c>
      <c r="EM68" s="46">
        <v>0</v>
      </c>
      <c r="EN68" s="46">
        <v>0</v>
      </c>
      <c r="EO68" s="46">
        <v>0</v>
      </c>
      <c r="EP68" s="46">
        <v>0</v>
      </c>
      <c r="EQ68" s="46">
        <v>0</v>
      </c>
      <c r="ER68" s="46">
        <v>0</v>
      </c>
      <c r="ES68" s="46">
        <v>0</v>
      </c>
      <c r="ET68" s="46">
        <v>0</v>
      </c>
      <c r="EU68" s="46">
        <v>0</v>
      </c>
      <c r="EV68" s="46">
        <v>0</v>
      </c>
      <c r="EW68" s="46">
        <v>0</v>
      </c>
      <c r="EX68" s="46">
        <v>0</v>
      </c>
      <c r="EY68" s="46">
        <v>0</v>
      </c>
      <c r="EZ68" s="46">
        <v>0</v>
      </c>
      <c r="FA68" s="46">
        <v>0</v>
      </c>
      <c r="FB68" s="46">
        <v>0</v>
      </c>
      <c r="FC68" s="46">
        <v>0</v>
      </c>
      <c r="FD68" s="46">
        <v>0</v>
      </c>
      <c r="FE68" s="46">
        <v>0</v>
      </c>
      <c r="FF68" s="46">
        <v>0</v>
      </c>
      <c r="FG68" s="46">
        <v>0</v>
      </c>
      <c r="FH68" s="46">
        <v>0</v>
      </c>
      <c r="FI68" s="46">
        <v>0</v>
      </c>
      <c r="FJ68" s="46">
        <v>0</v>
      </c>
      <c r="FK68" s="46">
        <v>0</v>
      </c>
      <c r="FL68" s="46">
        <v>0</v>
      </c>
      <c r="FM68" s="46">
        <v>0</v>
      </c>
      <c r="FN68" s="46">
        <v>0</v>
      </c>
      <c r="FO68" s="46">
        <v>0</v>
      </c>
      <c r="FP68" s="46">
        <v>0</v>
      </c>
      <c r="FQ68" s="46">
        <v>0</v>
      </c>
      <c r="FR68" s="46">
        <v>0</v>
      </c>
      <c r="FS68" s="46">
        <v>0</v>
      </c>
      <c r="FT68" s="46">
        <v>0</v>
      </c>
      <c r="FU68" s="46">
        <v>0</v>
      </c>
      <c r="FV68" s="46">
        <v>0</v>
      </c>
      <c r="FW68" s="46">
        <v>0</v>
      </c>
      <c r="FX68" s="46">
        <v>0</v>
      </c>
      <c r="FY68" s="46">
        <v>0</v>
      </c>
      <c r="FZ68" s="46">
        <v>0</v>
      </c>
      <c r="GA68" s="46">
        <v>0</v>
      </c>
      <c r="GB68" s="46">
        <v>0</v>
      </c>
      <c r="GC68" s="46">
        <v>0</v>
      </c>
      <c r="GD68" s="46">
        <v>0</v>
      </c>
      <c r="GE68" s="46">
        <v>0</v>
      </c>
      <c r="GF68" s="46">
        <v>0</v>
      </c>
      <c r="GG68" s="46">
        <v>0</v>
      </c>
      <c r="GH68" s="46">
        <v>0</v>
      </c>
      <c r="GI68" s="46">
        <v>0</v>
      </c>
      <c r="GJ68" s="46">
        <v>0</v>
      </c>
      <c r="GK68" s="46">
        <v>0</v>
      </c>
      <c r="GL68" s="46">
        <v>0</v>
      </c>
      <c r="GM68" s="46">
        <v>0</v>
      </c>
      <c r="GN68" s="46">
        <v>0</v>
      </c>
      <c r="GO68" s="46">
        <v>0</v>
      </c>
      <c r="GP68" s="46">
        <v>0</v>
      </c>
      <c r="GQ68" s="46">
        <v>0</v>
      </c>
      <c r="GR68" s="46">
        <v>0</v>
      </c>
      <c r="GS68" s="46">
        <v>0</v>
      </c>
      <c r="GT68" s="46">
        <v>0</v>
      </c>
      <c r="GU68" s="46">
        <v>0</v>
      </c>
      <c r="GV68" s="46">
        <v>0</v>
      </c>
      <c r="GW68" s="46">
        <v>0</v>
      </c>
      <c r="GX68" s="46">
        <v>0</v>
      </c>
      <c r="GY68" s="46">
        <v>0</v>
      </c>
      <c r="GZ68" s="46">
        <v>0</v>
      </c>
      <c r="HA68" s="46">
        <v>0</v>
      </c>
      <c r="HB68" s="46">
        <v>0</v>
      </c>
      <c r="HC68" s="46">
        <v>0</v>
      </c>
      <c r="HD68" s="46">
        <v>0</v>
      </c>
      <c r="HE68" s="46">
        <v>0</v>
      </c>
      <c r="HF68" s="46">
        <v>0</v>
      </c>
      <c r="HG68" s="46">
        <v>0</v>
      </c>
      <c r="HH68" s="46">
        <v>0</v>
      </c>
      <c r="HI68" s="46">
        <v>0</v>
      </c>
      <c r="HJ68" s="46">
        <v>0</v>
      </c>
      <c r="HK68" s="46">
        <v>0</v>
      </c>
      <c r="HL68" s="46">
        <v>0</v>
      </c>
      <c r="HM68" s="46">
        <v>0</v>
      </c>
      <c r="HN68" s="46">
        <v>0</v>
      </c>
      <c r="HO68" s="46">
        <v>0</v>
      </c>
      <c r="HP68" s="46">
        <v>0</v>
      </c>
      <c r="HQ68" s="46">
        <v>0</v>
      </c>
      <c r="HR68" s="46">
        <v>785439</v>
      </c>
      <c r="HS68" s="46">
        <v>0</v>
      </c>
      <c r="HT68" s="46">
        <v>0</v>
      </c>
      <c r="HU68" s="46">
        <v>0</v>
      </c>
      <c r="HV68" s="46">
        <v>0</v>
      </c>
      <c r="HW68" s="46">
        <v>0</v>
      </c>
      <c r="HX68" s="46">
        <v>0</v>
      </c>
      <c r="HY68" s="46">
        <v>0</v>
      </c>
      <c r="HZ68" s="46">
        <v>0</v>
      </c>
      <c r="IA68" s="46">
        <v>0</v>
      </c>
      <c r="IB68" s="46">
        <v>0</v>
      </c>
      <c r="IC68" s="46">
        <v>0</v>
      </c>
      <c r="ID68" s="46">
        <v>0</v>
      </c>
      <c r="IE68" s="46">
        <v>0</v>
      </c>
      <c r="IF68" s="46">
        <v>0</v>
      </c>
      <c r="IG68" s="46">
        <v>0</v>
      </c>
      <c r="IH68" s="46">
        <v>0</v>
      </c>
      <c r="II68" s="46">
        <v>0</v>
      </c>
      <c r="IJ68" s="46">
        <v>0</v>
      </c>
      <c r="IK68" s="46">
        <v>0</v>
      </c>
      <c r="IL68" s="46">
        <v>0</v>
      </c>
      <c r="IM68" s="46">
        <v>0</v>
      </c>
      <c r="IN68" s="46">
        <v>0</v>
      </c>
      <c r="IO68" s="46">
        <v>0</v>
      </c>
      <c r="IP68" s="46">
        <v>0</v>
      </c>
      <c r="IQ68" s="46">
        <v>0</v>
      </c>
      <c r="IR68" s="46">
        <v>0</v>
      </c>
      <c r="IS68" s="46">
        <v>0</v>
      </c>
      <c r="IT68" s="46">
        <v>0</v>
      </c>
      <c r="IU68" s="46">
        <v>10743</v>
      </c>
      <c r="IV68" s="46">
        <v>0</v>
      </c>
      <c r="IW68" s="46">
        <v>0</v>
      </c>
      <c r="IX68" s="46">
        <v>0</v>
      </c>
      <c r="IY68" s="46">
        <v>0</v>
      </c>
      <c r="IZ68" s="46">
        <v>0</v>
      </c>
      <c r="JA68" s="46">
        <v>0</v>
      </c>
      <c r="JB68" s="46">
        <v>0</v>
      </c>
      <c r="JC68" s="46">
        <v>0</v>
      </c>
      <c r="JD68" s="46">
        <v>0</v>
      </c>
      <c r="JE68" s="46">
        <v>0</v>
      </c>
      <c r="JF68" s="46">
        <v>0</v>
      </c>
      <c r="JG68" s="46">
        <v>0</v>
      </c>
      <c r="JH68" s="46">
        <v>0</v>
      </c>
      <c r="JI68" s="46">
        <v>14650</v>
      </c>
      <c r="JJ68" s="46">
        <v>0</v>
      </c>
      <c r="JK68" s="46">
        <v>124974</v>
      </c>
      <c r="JL68" s="46">
        <v>0</v>
      </c>
      <c r="JM68" s="46">
        <v>0</v>
      </c>
      <c r="JN68" s="46">
        <v>0</v>
      </c>
      <c r="JO68" s="46">
        <v>0</v>
      </c>
      <c r="JP68" s="46">
        <v>0</v>
      </c>
      <c r="JQ68" s="46">
        <v>0</v>
      </c>
      <c r="JR68" s="46">
        <v>365893</v>
      </c>
      <c r="JS68" s="46">
        <v>0</v>
      </c>
      <c r="JT68" s="46">
        <v>0</v>
      </c>
      <c r="JU68" s="46">
        <v>0</v>
      </c>
      <c r="JV68" s="46">
        <v>0</v>
      </c>
      <c r="JW68" s="46">
        <v>0</v>
      </c>
      <c r="JX68" s="46">
        <v>0</v>
      </c>
      <c r="JY68" s="46">
        <v>0</v>
      </c>
      <c r="JZ68" s="46">
        <v>0</v>
      </c>
      <c r="KA68" s="46">
        <v>0</v>
      </c>
      <c r="KB68" s="46">
        <v>599317</v>
      </c>
      <c r="KC68" s="46">
        <v>0</v>
      </c>
      <c r="KD68" s="46">
        <v>0</v>
      </c>
      <c r="KE68" s="46">
        <v>0</v>
      </c>
      <c r="KF68" s="46">
        <v>0</v>
      </c>
      <c r="KG68" s="46">
        <v>0</v>
      </c>
      <c r="KH68" s="46">
        <v>0</v>
      </c>
      <c r="KI68" s="46">
        <v>0</v>
      </c>
      <c r="KJ68" s="46">
        <v>0</v>
      </c>
      <c r="KK68" s="46">
        <v>0</v>
      </c>
      <c r="KL68" s="46">
        <v>0</v>
      </c>
      <c r="KM68" s="46">
        <v>0</v>
      </c>
      <c r="KN68" s="46">
        <v>0</v>
      </c>
      <c r="KO68" s="46">
        <v>0</v>
      </c>
      <c r="KP68" s="46">
        <v>0</v>
      </c>
      <c r="KQ68" s="46">
        <v>0</v>
      </c>
      <c r="KR68" s="46">
        <v>5358739</v>
      </c>
      <c r="KS68" s="46">
        <v>1330938</v>
      </c>
      <c r="KT68" s="46">
        <v>-27104</v>
      </c>
      <c r="KU68" s="46">
        <v>0</v>
      </c>
      <c r="KV68" s="46">
        <v>0</v>
      </c>
      <c r="KW68" s="46">
        <v>0</v>
      </c>
      <c r="KX68" s="46">
        <v>0</v>
      </c>
      <c r="KY68" s="46">
        <v>0</v>
      </c>
      <c r="KZ68" s="46">
        <v>0</v>
      </c>
      <c r="LA68" s="46">
        <v>101</v>
      </c>
      <c r="LB68" s="46">
        <v>-101</v>
      </c>
      <c r="LC68" s="46">
        <v>12</v>
      </c>
      <c r="LD68" s="46">
        <v>0</v>
      </c>
      <c r="LE68" s="46">
        <v>0</v>
      </c>
      <c r="LF68" s="46">
        <v>0</v>
      </c>
      <c r="LG68" s="46">
        <v>0</v>
      </c>
      <c r="LH68" s="46">
        <v>0</v>
      </c>
      <c r="LI68" s="46">
        <v>0</v>
      </c>
      <c r="LJ68" s="46">
        <v>0</v>
      </c>
      <c r="LK68" s="46">
        <v>0</v>
      </c>
      <c r="LL68" s="46">
        <v>0</v>
      </c>
      <c r="LM68" s="46">
        <v>0</v>
      </c>
      <c r="LN68" s="46">
        <v>0</v>
      </c>
      <c r="LO68" s="46">
        <v>0</v>
      </c>
      <c r="LP68" s="46">
        <v>0</v>
      </c>
      <c r="LQ68" s="46">
        <v>0</v>
      </c>
      <c r="LR68" s="46">
        <v>0</v>
      </c>
      <c r="LS68" s="46">
        <v>0</v>
      </c>
      <c r="LT68" s="46">
        <v>0</v>
      </c>
      <c r="LU68" s="46">
        <v>0</v>
      </c>
      <c r="LV68" s="46">
        <v>0</v>
      </c>
      <c r="LW68" s="46">
        <v>0</v>
      </c>
      <c r="LX68" s="46">
        <v>0</v>
      </c>
      <c r="LY68" s="46">
        <v>0</v>
      </c>
      <c r="LZ68" s="46">
        <v>0</v>
      </c>
      <c r="MA68" s="46">
        <v>0</v>
      </c>
      <c r="MB68" s="46">
        <v>1035357</v>
      </c>
      <c r="MC68" s="46">
        <v>53808</v>
      </c>
      <c r="MD68" s="46">
        <v>168</v>
      </c>
      <c r="ME68" s="46">
        <v>670</v>
      </c>
      <c r="MF68" s="46">
        <v>0</v>
      </c>
      <c r="MG68" s="46">
        <v>0</v>
      </c>
      <c r="MH68" s="46">
        <v>0</v>
      </c>
      <c r="MI68" s="46">
        <v>0</v>
      </c>
      <c r="MJ68" s="46">
        <v>0</v>
      </c>
      <c r="MK68" s="46">
        <v>2705288</v>
      </c>
      <c r="ML68" s="46">
        <v>137991</v>
      </c>
      <c r="MM68" s="46">
        <v>150</v>
      </c>
      <c r="MN68" s="46">
        <v>1703</v>
      </c>
      <c r="MO68" s="46">
        <v>0</v>
      </c>
      <c r="MP68" s="46">
        <v>0</v>
      </c>
      <c r="MQ68" s="46">
        <v>0</v>
      </c>
      <c r="MR68" s="46">
        <v>0</v>
      </c>
      <c r="MS68" s="46">
        <v>0</v>
      </c>
      <c r="MT68" s="46">
        <v>677551</v>
      </c>
      <c r="MU68" s="46">
        <v>346702</v>
      </c>
      <c r="MV68" s="46">
        <v>-945</v>
      </c>
      <c r="MW68" s="46">
        <v>0</v>
      </c>
      <c r="MX68" s="46">
        <v>0</v>
      </c>
      <c r="MY68" s="46">
        <v>0</v>
      </c>
      <c r="MZ68" s="46">
        <v>0</v>
      </c>
      <c r="NA68" s="46">
        <v>0</v>
      </c>
      <c r="NB68" s="46">
        <v>0</v>
      </c>
      <c r="NC68" s="46">
        <v>481179</v>
      </c>
      <c r="ND68" s="46">
        <v>627989</v>
      </c>
      <c r="NE68" s="46">
        <v>65</v>
      </c>
      <c r="NF68" s="46">
        <v>0</v>
      </c>
      <c r="NG68" s="46">
        <v>0</v>
      </c>
      <c r="NH68" s="46">
        <v>0</v>
      </c>
      <c r="NI68" s="46">
        <v>0</v>
      </c>
      <c r="NJ68" s="46">
        <v>0</v>
      </c>
      <c r="NK68" s="46">
        <v>0</v>
      </c>
      <c r="NL68" s="46">
        <v>38377</v>
      </c>
      <c r="NM68" s="46">
        <v>769810</v>
      </c>
      <c r="NN68" s="46">
        <v>0</v>
      </c>
      <c r="NO68" s="46">
        <v>445980</v>
      </c>
      <c r="NP68" s="46">
        <v>0</v>
      </c>
      <c r="NQ68" s="46">
        <v>0</v>
      </c>
      <c r="NR68" s="46">
        <v>0</v>
      </c>
      <c r="NS68" s="46">
        <v>0</v>
      </c>
      <c r="NT68" s="46">
        <v>0</v>
      </c>
      <c r="NU68" s="46">
        <v>6601</v>
      </c>
      <c r="NV68" s="46">
        <v>-1049</v>
      </c>
      <c r="NW68" s="46">
        <v>1011269</v>
      </c>
      <c r="NX68" s="46">
        <v>0</v>
      </c>
      <c r="NY68" s="46">
        <v>0</v>
      </c>
      <c r="NZ68" s="46">
        <v>0</v>
      </c>
      <c r="OA68" s="46">
        <v>0</v>
      </c>
      <c r="OB68" s="46">
        <v>0</v>
      </c>
      <c r="OC68" s="46">
        <v>0</v>
      </c>
      <c r="OD68" s="46">
        <v>0</v>
      </c>
      <c r="OE68" s="46">
        <v>103000</v>
      </c>
      <c r="OF68" s="46">
        <v>0</v>
      </c>
      <c r="OG68" s="46">
        <v>0</v>
      </c>
      <c r="OH68" s="46">
        <v>0</v>
      </c>
      <c r="OI68" s="46">
        <v>0</v>
      </c>
      <c r="OJ68" s="46">
        <v>0</v>
      </c>
      <c r="OK68" s="46">
        <v>0</v>
      </c>
      <c r="OL68" s="46">
        <v>0</v>
      </c>
      <c r="OM68" s="46">
        <v>0</v>
      </c>
      <c r="ON68" s="46">
        <v>0</v>
      </c>
      <c r="OO68" s="46">
        <v>0</v>
      </c>
      <c r="OP68" s="46">
        <v>0</v>
      </c>
      <c r="OQ68" s="46">
        <v>0</v>
      </c>
      <c r="OR68" s="46">
        <v>0</v>
      </c>
      <c r="OS68" s="46">
        <v>641078</v>
      </c>
      <c r="OT68" s="46">
        <v>0</v>
      </c>
      <c r="OU68" s="46">
        <v>2333</v>
      </c>
      <c r="OV68" s="46">
        <v>0</v>
      </c>
      <c r="OW68" s="46">
        <v>0</v>
      </c>
      <c r="OX68" s="46">
        <v>0</v>
      </c>
      <c r="OY68" s="46">
        <v>0</v>
      </c>
      <c r="OZ68" s="46">
        <v>0</v>
      </c>
      <c r="PA68" s="46">
        <v>0</v>
      </c>
      <c r="PB68" s="46">
        <v>-7106502</v>
      </c>
      <c r="PC68" s="46">
        <v>0</v>
      </c>
      <c r="PD68" s="46">
        <v>0</v>
      </c>
      <c r="PE68" s="46">
        <v>-1375039</v>
      </c>
      <c r="PF68" s="46">
        <v>1791996</v>
      </c>
      <c r="PG68" s="46">
        <v>182717</v>
      </c>
      <c r="PH68" s="46">
        <v>-2630318</v>
      </c>
      <c r="PI68" s="46">
        <v>0</v>
      </c>
      <c r="PJ68" s="46">
        <v>0</v>
      </c>
      <c r="PK68" s="46">
        <v>6588645</v>
      </c>
      <c r="PL68" s="46">
        <v>733191</v>
      </c>
      <c r="PM68" s="46">
        <v>-5439325</v>
      </c>
      <c r="PN68" s="46">
        <v>0</v>
      </c>
      <c r="PO68" s="46">
        <v>0</v>
      </c>
      <c r="PP68" s="46">
        <v>0</v>
      </c>
      <c r="PQ68" s="46">
        <v>0</v>
      </c>
      <c r="PR68" s="46">
        <v>0</v>
      </c>
      <c r="PS68" s="46">
        <v>0</v>
      </c>
      <c r="PT68" s="46">
        <v>0</v>
      </c>
      <c r="PU68" s="46">
        <v>0</v>
      </c>
      <c r="PV68" s="46">
        <v>0</v>
      </c>
      <c r="PW68" s="46">
        <v>0</v>
      </c>
      <c r="PX68" s="46">
        <v>0</v>
      </c>
      <c r="PY68" s="46">
        <v>0</v>
      </c>
      <c r="PZ68" s="46">
        <v>0</v>
      </c>
      <c r="QA68" s="46">
        <v>0</v>
      </c>
      <c r="QB68" s="46">
        <v>0</v>
      </c>
      <c r="QC68" s="46">
        <v>12983</v>
      </c>
      <c r="QD68" s="46">
        <v>-1458921</v>
      </c>
      <c r="QE68" s="46">
        <v>750541</v>
      </c>
      <c r="QF68" s="46">
        <v>0</v>
      </c>
      <c r="QG68" s="46">
        <v>0</v>
      </c>
      <c r="QH68" s="46">
        <v>0</v>
      </c>
      <c r="QI68" s="46">
        <v>0</v>
      </c>
      <c r="QJ68" s="46">
        <v>0</v>
      </c>
      <c r="QK68" s="46">
        <v>0</v>
      </c>
      <c r="QL68" s="46">
        <v>0</v>
      </c>
      <c r="QM68" s="46">
        <v>0</v>
      </c>
      <c r="QN68" s="46">
        <v>0</v>
      </c>
      <c r="QO68" s="46">
        <v>0</v>
      </c>
      <c r="QP68" s="46">
        <v>0</v>
      </c>
      <c r="QQ68" s="46">
        <v>0</v>
      </c>
      <c r="QR68" s="46">
        <v>0</v>
      </c>
      <c r="QS68" s="46">
        <v>0</v>
      </c>
      <c r="QT68" s="46">
        <v>0</v>
      </c>
      <c r="QU68" s="46">
        <v>0</v>
      </c>
      <c r="QV68" s="46">
        <v>0</v>
      </c>
      <c r="QW68" s="46">
        <v>0</v>
      </c>
      <c r="QX68" s="46">
        <v>0</v>
      </c>
      <c r="QY68" s="46">
        <v>0</v>
      </c>
      <c r="QZ68" s="46">
        <v>0</v>
      </c>
      <c r="RA68" s="46">
        <v>0</v>
      </c>
      <c r="RB68" s="46">
        <v>0</v>
      </c>
      <c r="RC68" s="46">
        <v>0</v>
      </c>
      <c r="RD68" s="46">
        <v>0</v>
      </c>
      <c r="RE68" s="46">
        <v>0</v>
      </c>
      <c r="RF68" s="46">
        <v>0</v>
      </c>
      <c r="RG68" s="46">
        <v>0</v>
      </c>
      <c r="RH68" s="46">
        <v>0</v>
      </c>
      <c r="RI68" s="46">
        <v>0</v>
      </c>
      <c r="RJ68" s="46">
        <v>0</v>
      </c>
      <c r="RK68" s="46">
        <v>0</v>
      </c>
      <c r="RL68" s="46">
        <v>0</v>
      </c>
      <c r="RM68" s="46">
        <v>0</v>
      </c>
      <c r="RN68" s="46">
        <v>0</v>
      </c>
      <c r="RO68" s="46">
        <v>-1458239</v>
      </c>
      <c r="RP68" s="46">
        <v>0</v>
      </c>
      <c r="RQ68" s="46">
        <v>0</v>
      </c>
      <c r="RR68" s="46">
        <v>0</v>
      </c>
      <c r="RS68" s="46">
        <v>0</v>
      </c>
      <c r="RT68" s="46">
        <v>0</v>
      </c>
      <c r="RU68" s="46">
        <v>0</v>
      </c>
      <c r="RV68" s="46">
        <v>0</v>
      </c>
      <c r="RW68" s="46">
        <v>0</v>
      </c>
      <c r="RX68" s="46">
        <v>0</v>
      </c>
      <c r="RY68" s="46">
        <v>0</v>
      </c>
      <c r="RZ68" s="46">
        <v>0</v>
      </c>
      <c r="SA68" s="46">
        <v>0</v>
      </c>
      <c r="SB68" s="46">
        <v>0</v>
      </c>
      <c r="SC68" s="46">
        <v>0</v>
      </c>
      <c r="SD68" s="46">
        <v>0</v>
      </c>
      <c r="SE68" s="46">
        <v>0</v>
      </c>
      <c r="SF68" s="46">
        <v>0</v>
      </c>
      <c r="SG68" s="46">
        <v>0</v>
      </c>
      <c r="SH68" s="46">
        <v>0</v>
      </c>
      <c r="SI68" s="46">
        <v>0</v>
      </c>
      <c r="SJ68" s="46">
        <v>0</v>
      </c>
      <c r="SK68" s="46">
        <v>0</v>
      </c>
      <c r="SL68" s="46">
        <v>0</v>
      </c>
      <c r="SM68" s="46">
        <v>0</v>
      </c>
      <c r="SN68" s="46">
        <v>0</v>
      </c>
      <c r="SO68" s="46">
        <v>0</v>
      </c>
      <c r="SP68" s="46">
        <v>83048</v>
      </c>
      <c r="SQ68" s="46">
        <v>0</v>
      </c>
      <c r="SR68" s="46">
        <v>103000</v>
      </c>
      <c r="SS68" s="46">
        <v>0</v>
      </c>
      <c r="ST68" s="46">
        <v>0</v>
      </c>
      <c r="SU68" s="46">
        <v>0</v>
      </c>
      <c r="SV68" s="46">
        <v>0</v>
      </c>
      <c r="SW68" s="46">
        <v>7106502</v>
      </c>
      <c r="SX68" s="46">
        <v>0</v>
      </c>
      <c r="SY68" s="46">
        <v>0</v>
      </c>
      <c r="SZ68" s="46">
        <v>103000</v>
      </c>
      <c r="TA68" s="46">
        <v>0</v>
      </c>
      <c r="TB68" s="46">
        <v>0</v>
      </c>
      <c r="TC68" s="46">
        <v>0</v>
      </c>
      <c r="TD68" s="46">
        <v>0</v>
      </c>
      <c r="TE68" s="46">
        <v>0</v>
      </c>
      <c r="TF68" s="46">
        <v>0</v>
      </c>
      <c r="TG68" s="46">
        <v>0</v>
      </c>
      <c r="TH68" s="46">
        <v>0</v>
      </c>
      <c r="TI68" s="46">
        <v>0</v>
      </c>
      <c r="TJ68" s="46">
        <v>0</v>
      </c>
      <c r="TK68" s="46">
        <v>0</v>
      </c>
      <c r="TL68" s="46">
        <v>0</v>
      </c>
      <c r="TM68" s="46">
        <v>0</v>
      </c>
      <c r="TN68" s="46">
        <v>0</v>
      </c>
      <c r="TO68" s="46">
        <v>0</v>
      </c>
      <c r="TP68" s="46">
        <v>0</v>
      </c>
      <c r="TQ68" s="46">
        <v>0</v>
      </c>
      <c r="TR68" s="46">
        <v>0</v>
      </c>
      <c r="TS68" s="46">
        <v>0</v>
      </c>
      <c r="TT68" s="46">
        <v>0</v>
      </c>
      <c r="TU68" s="46">
        <v>0</v>
      </c>
      <c r="TV68" s="46">
        <v>0</v>
      </c>
      <c r="TW68" s="46">
        <v>0</v>
      </c>
      <c r="TX68" s="46">
        <v>0</v>
      </c>
      <c r="TY68" s="46">
        <v>0</v>
      </c>
      <c r="TZ68" s="46">
        <v>0</v>
      </c>
      <c r="UA68" s="46">
        <v>0</v>
      </c>
      <c r="UB68" s="46">
        <v>0</v>
      </c>
      <c r="UC68" s="46">
        <v>0</v>
      </c>
      <c r="UD68" s="46">
        <v>0</v>
      </c>
      <c r="UE68" s="46">
        <v>6662573</v>
      </c>
      <c r="UF68" s="46">
        <v>12</v>
      </c>
      <c r="UG68" s="46">
        <v>0</v>
      </c>
      <c r="UH68" s="46">
        <v>0</v>
      </c>
      <c r="UI68" s="46">
        <v>1090003</v>
      </c>
      <c r="UJ68" s="46">
        <v>2845132</v>
      </c>
      <c r="UK68" s="46">
        <v>1023308</v>
      </c>
      <c r="UL68" s="46">
        <v>1109233</v>
      </c>
      <c r="UM68" s="46">
        <v>1254167</v>
      </c>
      <c r="UN68" s="46">
        <v>1016821</v>
      </c>
      <c r="UO6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103000</v>
      </c>
      <c r="UP68" s="46">
        <f>SUM(Input[[#This Row],[Oth Exp E&amp;G]],Input[[#This Row],[Oth Exp Desg]],Input[[#This Row],[Oth Exp Aux]],Input[[#This Row],[Oth Exp R Exp]],Input[[#This Row],[Oth Exp Loan]],Input[[#This Row],[Oth Exp Annuity]],Input[[#This Row],[Oth Exp Unexp]],Input[[#This Row],[Oth Exp R of Ind]],Input[[#This Row],[Oth Exp Inv in P]])</f>
        <v>643411</v>
      </c>
      <c r="UQ68" s="46"/>
      <c r="UR68" s="46"/>
      <c r="US68" s="8" t="s">
        <v>808</v>
      </c>
      <c r="UT68" s="47">
        <v>2548673931</v>
      </c>
      <c r="UU68" s="8" t="s">
        <v>96</v>
      </c>
      <c r="UV68" s="8" t="s">
        <v>809</v>
      </c>
      <c r="UW68" s="47">
        <v>9563644058</v>
      </c>
      <c r="UX68" s="8" t="s">
        <v>810</v>
      </c>
      <c r="UY68" s="51" cm="1">
        <f t="array" ref="UY68">IFERROR(_xlfn.IFS(Input[[#This Row],[Type]]="HRI",SUMIFS('FTSE | FTFE'!$P$8:$P$77,'FTSE | FTFE'!$H$8:$H$77,A68),Input[[#This Row],[Type]]="UNIV",SUMIFS('FTSE | FTFE'!$P$104:$P$139,'FTSE | FTFE'!$H$104:$H$139,A68),OR(Input[[#This Row],[Type]]="TSTC",Input[[#This Row],[Type]]="LSC"),SUMIFS('FTSE | FTFE'!$O$88:$O$96,'FTSE | FTFE'!$H$88:$H$96,A68),Input[[#This Row],[Type]]="AHM",SUMIFS(Hidden!$H$42:$H$45,Hidden!$G$42:$G$45,A68)),"N/A")</f>
        <v>455</v>
      </c>
      <c r="UZ68" s="51" cm="1">
        <f t="array" ref="UZ68">IFERROR(_xlfn.IFS(Input[[#This Row],[Type]]="HRI",SUMIFS('FTSE | FTFE'!$Q$8:$Q$77,'FTSE | FTFE'!$H$8:$H$77,A68),Input[[#This Row],[Type]]="UNIV",SUMIFS('FTSE | FTFE'!$Q$104:$Q$139,'FTSE | FTFE'!$H$104:$H$139,A68),OR(Input[[#This Row],[Type]]="TSTC",Input[[#This Row],[Type]]="LSC"),SUMIFS('FTSE | FTFE'!$P$88:$P$96,'FTSE | FTFE'!$H$88:$H$96,A68)),"N/A")</f>
        <v>31.914999999999999</v>
      </c>
      <c r="VA6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10978200</v>
      </c>
      <c r="VB6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310159</v>
      </c>
      <c r="VC68" s="46">
        <f>SUM(Input[[#This Row],[Fed G&amp;C E&amp;G]],Input[[#This Row],[Fed G&amp;C Desg]],Input[[#This Row],[Fed G&amp;C R Exp]],Input[[#This Row],[Fed G&amp;C Loan]],Input[[#This Row],[Fed G&amp;C Annuity]],Input[[#This Row],[Fed G&amp;C Unexp]],Input[[#This Row],[Fed G&amp;C R of Ind]],Input[[#This Row],[Fed G&amp;C Inv in P]])</f>
        <v>785439</v>
      </c>
      <c r="VD6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516260</v>
      </c>
      <c r="VE6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1308542</v>
      </c>
      <c r="VF6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68" s="46">
        <f>SUM(Input[[#This Row],[Oth Inc E&amp;G]],Input[[#This Row],[Oth Exp Desg]],Input[[#This Row],[Oth Exp R Exp]],Input[[#This Row],[Oth Exp Loan]],Input[[#This Row],[Oth Exp Annuity]],Input[[#This Row],[Oth Exp Unexp]],Input[[#This Row],[Oth Exp R of Ind]],Input[[#This Row],[Oth Exp Inv in P]])</f>
        <v>643411</v>
      </c>
      <c r="VH68" s="46">
        <f>SUM(Input[[#This Row],[Instr E&amp;G]],Input[[#This Row],[Instr Desg]],Input[[#This Row],[Instr R Exp]],Input[[#This Row],[Instr Loan]],Input[[#This Row],[Instr Annuity]],Input[[#This Row],[Instr Unexp]],Input[[#This Row],[Instr R of Ind]],Input[[#This Row],[Instr Inv in P]])</f>
        <v>6689677</v>
      </c>
      <c r="VI68" s="46">
        <f>SUM(Input[[#This Row],[Res E&amp;G]],Input[[#This Row],[Res Desg]],Input[[#This Row],[Res R Exp]],Input[[#This Row],[Res Loan]],Input[[#This Row],[Res Annuity]],Input[[#This Row],[Res Unexp]],Input[[#This Row],[Res R of Ind]],Input[[#This Row],[Res Inv in P]])</f>
        <v>0</v>
      </c>
      <c r="VJ68" s="46">
        <f>SUM(Input[[#This Row],[Acad Sup E&amp;G]],Input[[#This Row],[Acad Sup Desg]],Input[[#This Row],[Acad Sup R Exp]],Input[[#This Row],[Acad Sup Loan]],Input[[#This Row],[Acad Sup Annuity]],Input[[#This Row],[Acad Sup Unexp]],Input[[#This Row],[Acad Sup R of Ind]],Input[[#This Row],[Acad Sup Inv in P]])</f>
        <v>1089835</v>
      </c>
      <c r="VK68" s="46">
        <f>SUM(Input[[#This Row],[Stu Svc E&amp;G]],Input[[#This Row],[Stu Svc Desg]],Input[[#This Row],[Stu Svc R Exp]],Input[[#This Row],[Stu Svc Loan]],Input[[#This Row],[Stu Svc Annuity]],Input[[#This Row],[Stu Svc Unexp]],Input[[#This Row],[Stu Svc R of Ind]],Input[[#This Row],[Stu Svc Inv in P]])</f>
        <v>2844982</v>
      </c>
      <c r="VL68" s="46">
        <f>SUM(Input[[#This Row],[Inst. Spt E&amp;G]],Input[[#This Row],[Inst. Spt Desg]],Input[[#This Row],[Inst. Spt R Exp]],Input[[#This Row],[Inst. Spt Loan]],Input[[#This Row],[Inst. Spt Annuity]],Input[[#This Row],[Inst. Spt Unexp]],Input[[#This Row],[Inst. Spt R of Ind]],Input[[#This Row],[Inst. Spt Inv in P]])</f>
        <v>1024253</v>
      </c>
      <c r="VM68" s="46">
        <f>SUM(Input[[#This Row],[M&amp;O Plnt E&amp;G]],Input[[#This Row],[M&amp;O Plnt Desg]],Input[[#This Row],[M&amp;O Plnt R Exp]],Input[[#This Row],[M&amp;O Plnt Loan]],Input[[#This Row],[M&amp;O Plnt Annuity]],Input[[#This Row],[M&amp;O Plnt Unexp]],Input[[#This Row],[M&amp;O Plnt R of Ind]],Input[[#This Row],[M&amp;O Plnt Inv in P]])</f>
        <v>1109168</v>
      </c>
      <c r="VN68" s="46">
        <f>SUM(Input[[#This Row],[Schl &amp; Fell E&amp;G]],Input[[#This Row],[Schl &amp; Fell Desg]],Input[[#This Row],[Schl &amp; Fell R Exp]],Input[[#This Row],[Schl &amp; Fell Loan]],Input[[#This Row],[Schl &amp; Fell Annuity]],Input[[#This Row],[Schl &amp; Fell Unexp]],Input[[#This Row],[Schl &amp; Fell R of Ind]],Input[[#This Row],[Schl &amp; Fell Inv in P]])</f>
        <v>1254167</v>
      </c>
      <c r="VO68" s="46">
        <f>SUM(Input[[#This Row],[Cap Out fund E&amp;G]],Input[[#This Row],[Cap Out fund Desg]],Input[[#This Row],[Cap Out fund R Exp]],Input[[#This Row],[Cap Out fund Loan]],Input[[#This Row],[Cap Out fund Annuity]],Input[[#This Row],[Cap Out fund Unexp]],Input[[#This Row],[Cap Out fund R of Ind]],Input[[#This Row],[Cap Out fund Inv in P]])</f>
        <v>103000</v>
      </c>
      <c r="VP68" s="46">
        <f>SUM(Input[[#This Row],[Oth Exp E&amp;G]],Input[[#This Row],[Oth Exp Desg]],Input[[#This Row],[Oth Exp R Exp]],Input[[#This Row],[Oth Exp Loan]],Input[[#This Row],[Oth Exp Annuity]],Input[[#This Row],[Oth Exp Unexp]],Input[[#This Row],[Oth Exp R of Ind]],Input[[#This Row],[Oth Exp Inv in P]],Input[[#This Row],[Oth Exp Inv in P]])</f>
        <v>645744</v>
      </c>
    </row>
    <row r="69" spans="1:588" ht="30" customHeight="1" x14ac:dyDescent="0.3">
      <c r="A69" s="15" t="s">
        <v>48</v>
      </c>
      <c r="B69" s="36" t="s">
        <v>121</v>
      </c>
      <c r="C69" s="36" t="s">
        <v>121</v>
      </c>
      <c r="D69" s="36">
        <v>1004</v>
      </c>
      <c r="E69" s="36" t="s">
        <v>132</v>
      </c>
      <c r="F69" s="95" cm="1">
        <f t="array" ref="F69">IFERROR(_xlfn.IFS(Input[[#This Row],[Type]]="HRI",SUMIFS('FTSE | FTFE'!$I$8:$I$77,'FTSE | FTFE'!$H$8:$H$77,A69),Input[[#This Row],[Type]]="UNIV",SUMIFS('FTSE | FTFE'!$I$104:$I$139,'FTSE | FTFE'!$H$104:$H$139,A69),OR(Input[[#This Row],[Type]]="TSTC",Input[[#This Row],[Type]]="LSC"),SUMIFS('FTSE | FTFE'!$I$88:$I$96,'FTSE | FTFE'!$H$88:$H$96,A69)),"N/A")</f>
        <v>3634</v>
      </c>
      <c r="G69" s="46">
        <v>69819647</v>
      </c>
      <c r="H69" s="46">
        <v>0</v>
      </c>
      <c r="I69" s="46">
        <v>0</v>
      </c>
      <c r="J69" s="46">
        <v>0</v>
      </c>
      <c r="K69" s="46">
        <v>0</v>
      </c>
      <c r="L69" s="46">
        <v>0</v>
      </c>
      <c r="M69" s="46">
        <v>0</v>
      </c>
      <c r="N69" s="46">
        <v>0</v>
      </c>
      <c r="O69" s="46">
        <v>0</v>
      </c>
      <c r="P69" s="46">
        <v>379496</v>
      </c>
      <c r="Q69" s="46">
        <v>0</v>
      </c>
      <c r="R69" s="46">
        <v>0</v>
      </c>
      <c r="S69" s="46">
        <v>497809</v>
      </c>
      <c r="T69" s="46">
        <v>0</v>
      </c>
      <c r="U69" s="46">
        <v>0</v>
      </c>
      <c r="V69" s="46">
        <v>0</v>
      </c>
      <c r="W69" s="46">
        <v>0</v>
      </c>
      <c r="X69" s="46">
        <v>0</v>
      </c>
      <c r="Y69" s="46">
        <v>5356666</v>
      </c>
      <c r="Z69" s="46">
        <v>0</v>
      </c>
      <c r="AA69" s="46">
        <v>0</v>
      </c>
      <c r="AB69" s="46">
        <v>0</v>
      </c>
      <c r="AC69" s="46">
        <v>0</v>
      </c>
      <c r="AD69" s="46">
        <v>0</v>
      </c>
      <c r="AE69" s="46">
        <v>0</v>
      </c>
      <c r="AF69" s="46">
        <v>0</v>
      </c>
      <c r="AG69" s="46">
        <v>0</v>
      </c>
      <c r="AH69" s="46">
        <v>0</v>
      </c>
      <c r="AI69" s="46">
        <v>0</v>
      </c>
      <c r="AJ69" s="46">
        <v>0</v>
      </c>
      <c r="AK69" s="46">
        <v>0</v>
      </c>
      <c r="AL69" s="46">
        <v>0</v>
      </c>
      <c r="AM69" s="46">
        <v>0</v>
      </c>
      <c r="AN69" s="46">
        <v>0</v>
      </c>
      <c r="AO69" s="46">
        <v>0</v>
      </c>
      <c r="AP69" s="46">
        <v>0</v>
      </c>
      <c r="AQ69" s="46">
        <v>-318788</v>
      </c>
      <c r="AR69" s="46">
        <v>0</v>
      </c>
      <c r="AS69" s="46">
        <v>0</v>
      </c>
      <c r="AT69" s="46">
        <v>0</v>
      </c>
      <c r="AU69" s="46">
        <v>0</v>
      </c>
      <c r="AV69" s="46">
        <v>0</v>
      </c>
      <c r="AW69" s="46">
        <v>0</v>
      </c>
      <c r="AX69" s="46">
        <v>0</v>
      </c>
      <c r="AY69" s="46">
        <v>0</v>
      </c>
      <c r="AZ69" s="46">
        <v>0</v>
      </c>
      <c r="BA69" s="46">
        <v>0</v>
      </c>
      <c r="BB69" s="46">
        <v>0</v>
      </c>
      <c r="BC69" s="46">
        <v>0</v>
      </c>
      <c r="BD69" s="46">
        <v>0</v>
      </c>
      <c r="BE69" s="46">
        <v>0</v>
      </c>
      <c r="BF69" s="46">
        <v>0</v>
      </c>
      <c r="BG69" s="46">
        <v>0</v>
      </c>
      <c r="BH69" s="46">
        <v>0</v>
      </c>
      <c r="BI69" s="46">
        <v>0</v>
      </c>
      <c r="BJ69" s="46">
        <v>0</v>
      </c>
      <c r="BK69" s="46">
        <v>0</v>
      </c>
      <c r="BL69" s="46">
        <v>0</v>
      </c>
      <c r="BM69" s="46">
        <v>0</v>
      </c>
      <c r="BN69" s="46">
        <v>0</v>
      </c>
      <c r="BO69" s="46">
        <v>0</v>
      </c>
      <c r="BP69" s="46">
        <v>0</v>
      </c>
      <c r="BQ69" s="46">
        <v>0</v>
      </c>
      <c r="BR69" s="46">
        <v>0</v>
      </c>
      <c r="BS69" s="46">
        <v>0</v>
      </c>
      <c r="BT69" s="46">
        <v>0</v>
      </c>
      <c r="BU69" s="46">
        <v>0</v>
      </c>
      <c r="BV69" s="46">
        <v>0</v>
      </c>
      <c r="BW69" s="46">
        <v>0</v>
      </c>
      <c r="BX69" s="46">
        <v>0</v>
      </c>
      <c r="BY69" s="46">
        <v>0</v>
      </c>
      <c r="BZ69" s="46">
        <v>0</v>
      </c>
      <c r="CA69" s="46">
        <v>5888518</v>
      </c>
      <c r="CB69" s="46">
        <v>41885128</v>
      </c>
      <c r="CC69" s="46">
        <v>0</v>
      </c>
      <c r="CD69" s="46">
        <v>0</v>
      </c>
      <c r="CE69" s="46">
        <v>0</v>
      </c>
      <c r="CF69" s="46">
        <v>0</v>
      </c>
      <c r="CG69" s="46">
        <v>0</v>
      </c>
      <c r="CH69" s="46">
        <v>0</v>
      </c>
      <c r="CI69" s="46">
        <v>0</v>
      </c>
      <c r="CJ69" s="46">
        <v>0</v>
      </c>
      <c r="CK69" s="46">
        <v>0</v>
      </c>
      <c r="CL69" s="46">
        <v>0</v>
      </c>
      <c r="CM69" s="46">
        <v>0</v>
      </c>
      <c r="CN69" s="46">
        <v>0</v>
      </c>
      <c r="CO69" s="46">
        <v>0</v>
      </c>
      <c r="CP69" s="46">
        <v>0</v>
      </c>
      <c r="CQ69" s="46">
        <v>0</v>
      </c>
      <c r="CR69" s="46">
        <v>0</v>
      </c>
      <c r="CS69" s="46">
        <v>0</v>
      </c>
      <c r="CT69" s="46">
        <v>0</v>
      </c>
      <c r="CU69" s="46">
        <v>0</v>
      </c>
      <c r="CV69" s="46">
        <v>0</v>
      </c>
      <c r="CW69" s="46">
        <v>0</v>
      </c>
      <c r="CX69" s="46">
        <v>0</v>
      </c>
      <c r="CY69" s="46">
        <v>0</v>
      </c>
      <c r="CZ69" s="46">
        <v>0</v>
      </c>
      <c r="DA69" s="46">
        <v>0</v>
      </c>
      <c r="DB69" s="46">
        <v>-782359</v>
      </c>
      <c r="DC69" s="46">
        <v>0</v>
      </c>
      <c r="DD69" s="46">
        <v>0</v>
      </c>
      <c r="DE69" s="46">
        <v>0</v>
      </c>
      <c r="DF69" s="46">
        <v>0</v>
      </c>
      <c r="DG69" s="46">
        <v>0</v>
      </c>
      <c r="DH69" s="46">
        <v>0</v>
      </c>
      <c r="DI69" s="46">
        <v>0</v>
      </c>
      <c r="DJ69" s="46">
        <v>0</v>
      </c>
      <c r="DK69" s="46">
        <v>0</v>
      </c>
      <c r="DL69" s="46">
        <v>-3901959</v>
      </c>
      <c r="DM69" s="46">
        <v>0</v>
      </c>
      <c r="DN69" s="46">
        <v>0</v>
      </c>
      <c r="DO69" s="46">
        <v>0</v>
      </c>
      <c r="DP69" s="46">
        <v>0</v>
      </c>
      <c r="DQ69" s="46">
        <v>0</v>
      </c>
      <c r="DR69" s="46">
        <v>0</v>
      </c>
      <c r="DS69" s="46">
        <v>0</v>
      </c>
      <c r="DT69" s="46">
        <v>-1108058</v>
      </c>
      <c r="DU69" s="46">
        <v>-14074863</v>
      </c>
      <c r="DV69" s="46">
        <v>0</v>
      </c>
      <c r="DW69" s="46">
        <v>0</v>
      </c>
      <c r="DX69" s="46">
        <v>0</v>
      </c>
      <c r="DY69" s="46">
        <v>0</v>
      </c>
      <c r="DZ69" s="46">
        <v>0</v>
      </c>
      <c r="EA69" s="46">
        <v>0</v>
      </c>
      <c r="EB69" s="46">
        <v>0</v>
      </c>
      <c r="EC69" s="46">
        <v>0</v>
      </c>
      <c r="ED69" s="46">
        <v>0</v>
      </c>
      <c r="EE69" s="46">
        <v>0</v>
      </c>
      <c r="EF69" s="46">
        <v>0</v>
      </c>
      <c r="EG69" s="46">
        <v>0</v>
      </c>
      <c r="EH69" s="46">
        <v>0</v>
      </c>
      <c r="EI69" s="46">
        <v>0</v>
      </c>
      <c r="EJ69" s="46">
        <v>0</v>
      </c>
      <c r="EK69" s="46">
        <v>0</v>
      </c>
      <c r="EL69" s="46">
        <v>0</v>
      </c>
      <c r="EM69" s="46">
        <v>0</v>
      </c>
      <c r="EN69" s="46">
        <v>0</v>
      </c>
      <c r="EO69" s="46">
        <v>0</v>
      </c>
      <c r="EP69" s="46">
        <v>0</v>
      </c>
      <c r="EQ69" s="46">
        <v>0</v>
      </c>
      <c r="ER69" s="46">
        <v>0</v>
      </c>
      <c r="ES69" s="46">
        <v>0</v>
      </c>
      <c r="ET69" s="46">
        <v>0</v>
      </c>
      <c r="EU69" s="46">
        <v>0</v>
      </c>
      <c r="EV69" s="46">
        <v>0</v>
      </c>
      <c r="EW69" s="46">
        <v>0</v>
      </c>
      <c r="EX69" s="46">
        <v>0</v>
      </c>
      <c r="EY69" s="46">
        <v>0</v>
      </c>
      <c r="EZ69" s="46">
        <v>0</v>
      </c>
      <c r="FA69" s="46">
        <v>0</v>
      </c>
      <c r="FB69" s="46">
        <v>0</v>
      </c>
      <c r="FC69" s="46">
        <v>0</v>
      </c>
      <c r="FD69" s="46">
        <v>0</v>
      </c>
      <c r="FE69" s="46">
        <v>0</v>
      </c>
      <c r="FF69" s="46">
        <v>0</v>
      </c>
      <c r="FG69" s="46">
        <v>0</v>
      </c>
      <c r="FH69" s="46">
        <v>0</v>
      </c>
      <c r="FI69" s="46">
        <v>0</v>
      </c>
      <c r="FJ69" s="46">
        <v>0</v>
      </c>
      <c r="FK69" s="46">
        <v>0</v>
      </c>
      <c r="FL69" s="46">
        <v>0</v>
      </c>
      <c r="FM69" s="46">
        <v>9643</v>
      </c>
      <c r="FN69" s="46">
        <v>2573051</v>
      </c>
      <c r="FO69" s="46">
        <v>0</v>
      </c>
      <c r="FP69" s="46">
        <v>0</v>
      </c>
      <c r="FQ69" s="46">
        <v>0</v>
      </c>
      <c r="FR69" s="46">
        <v>0</v>
      </c>
      <c r="FS69" s="46">
        <v>0</v>
      </c>
      <c r="FT69" s="46">
        <v>0</v>
      </c>
      <c r="FU69" s="46">
        <v>0</v>
      </c>
      <c r="FV69" s="46">
        <v>0</v>
      </c>
      <c r="FW69" s="46">
        <v>0</v>
      </c>
      <c r="FX69" s="46">
        <v>0</v>
      </c>
      <c r="FY69" s="46">
        <v>0</v>
      </c>
      <c r="FZ69" s="46">
        <v>0</v>
      </c>
      <c r="GA69" s="46">
        <v>0</v>
      </c>
      <c r="GB69" s="46">
        <v>0</v>
      </c>
      <c r="GC69" s="46">
        <v>0</v>
      </c>
      <c r="GD69" s="46">
        <v>0</v>
      </c>
      <c r="GE69" s="46">
        <v>0</v>
      </c>
      <c r="GF69" s="46">
        <v>0</v>
      </c>
      <c r="GG69" s="46">
        <v>0</v>
      </c>
      <c r="GH69" s="46">
        <v>0</v>
      </c>
      <c r="GI69" s="46">
        <v>0</v>
      </c>
      <c r="GJ69" s="46">
        <v>0</v>
      </c>
      <c r="GK69" s="46">
        <v>0</v>
      </c>
      <c r="GL69" s="46">
        <v>0</v>
      </c>
      <c r="GM69" s="46">
        <v>0</v>
      </c>
      <c r="GN69" s="46">
        <v>0</v>
      </c>
      <c r="GO69" s="46">
        <v>0</v>
      </c>
      <c r="GP69" s="46">
        <v>0</v>
      </c>
      <c r="GQ69" s="46">
        <v>0</v>
      </c>
      <c r="GR69" s="46">
        <v>0</v>
      </c>
      <c r="GS69" s="46">
        <v>0</v>
      </c>
      <c r="GT69" s="46">
        <v>0</v>
      </c>
      <c r="GU69" s="46">
        <v>0</v>
      </c>
      <c r="GV69" s="46">
        <v>0</v>
      </c>
      <c r="GW69" s="46">
        <v>0</v>
      </c>
      <c r="GX69" s="46">
        <v>0</v>
      </c>
      <c r="GY69" s="46">
        <v>0</v>
      </c>
      <c r="GZ69" s="46">
        <v>0</v>
      </c>
      <c r="HA69" s="46">
        <v>0</v>
      </c>
      <c r="HB69" s="46">
        <v>0</v>
      </c>
      <c r="HC69" s="46">
        <v>0</v>
      </c>
      <c r="HD69" s="46">
        <v>0</v>
      </c>
      <c r="HE69" s="46">
        <v>0</v>
      </c>
      <c r="HF69" s="46">
        <v>0</v>
      </c>
      <c r="HG69" s="46">
        <v>0</v>
      </c>
      <c r="HH69" s="46">
        <v>0</v>
      </c>
      <c r="HI69" s="46">
        <v>0</v>
      </c>
      <c r="HJ69" s="46">
        <v>0</v>
      </c>
      <c r="HK69" s="46">
        <v>0</v>
      </c>
      <c r="HL69" s="46">
        <v>0</v>
      </c>
      <c r="HM69" s="46">
        <v>0</v>
      </c>
      <c r="HN69" s="46">
        <v>0</v>
      </c>
      <c r="HO69" s="46">
        <v>0</v>
      </c>
      <c r="HP69" s="46">
        <v>0</v>
      </c>
      <c r="HQ69" s="46">
        <v>0</v>
      </c>
      <c r="HR69" s="46">
        <v>7925334</v>
      </c>
      <c r="HS69" s="46">
        <v>0</v>
      </c>
      <c r="HT69" s="46">
        <v>0</v>
      </c>
      <c r="HU69" s="46">
        <v>0</v>
      </c>
      <c r="HV69" s="46">
        <v>0</v>
      </c>
      <c r="HW69" s="46">
        <v>0</v>
      </c>
      <c r="HX69" s="46">
        <v>0</v>
      </c>
      <c r="HY69" s="46">
        <v>0</v>
      </c>
      <c r="HZ69" s="46">
        <v>0</v>
      </c>
      <c r="IA69" s="46">
        <v>0</v>
      </c>
      <c r="IB69" s="46">
        <v>0</v>
      </c>
      <c r="IC69" s="46">
        <v>0</v>
      </c>
      <c r="ID69" s="46">
        <v>0</v>
      </c>
      <c r="IE69" s="46">
        <v>0</v>
      </c>
      <c r="IF69" s="46">
        <v>0</v>
      </c>
      <c r="IG69" s="46">
        <v>0</v>
      </c>
      <c r="IH69" s="46">
        <v>0</v>
      </c>
      <c r="II69" s="46">
        <v>0</v>
      </c>
      <c r="IJ69" s="46">
        <v>0</v>
      </c>
      <c r="IK69" s="46">
        <v>0</v>
      </c>
      <c r="IL69" s="46">
        <v>0</v>
      </c>
      <c r="IM69" s="46">
        <v>0</v>
      </c>
      <c r="IN69" s="46">
        <v>0</v>
      </c>
      <c r="IO69" s="46">
        <v>0</v>
      </c>
      <c r="IP69" s="46">
        <v>0</v>
      </c>
      <c r="IQ69" s="46">
        <v>245</v>
      </c>
      <c r="IR69" s="46">
        <v>0</v>
      </c>
      <c r="IS69" s="46">
        <v>2248</v>
      </c>
      <c r="IT69" s="46">
        <v>0</v>
      </c>
      <c r="IU69" s="46">
        <v>0</v>
      </c>
      <c r="IV69" s="46">
        <v>146436</v>
      </c>
      <c r="IW69" s="46">
        <v>0</v>
      </c>
      <c r="IX69" s="46">
        <v>0</v>
      </c>
      <c r="IY69" s="46">
        <v>0</v>
      </c>
      <c r="IZ69" s="46">
        <v>-96332</v>
      </c>
      <c r="JA69" s="46">
        <v>0</v>
      </c>
      <c r="JB69" s="46">
        <v>2868808</v>
      </c>
      <c r="JC69" s="46">
        <v>0</v>
      </c>
      <c r="JD69" s="46">
        <v>0</v>
      </c>
      <c r="JE69" s="46">
        <v>0</v>
      </c>
      <c r="JF69" s="46">
        <v>0</v>
      </c>
      <c r="JG69" s="46">
        <v>0</v>
      </c>
      <c r="JH69" s="46">
        <v>636</v>
      </c>
      <c r="JI69" s="46">
        <v>166919</v>
      </c>
      <c r="JJ69" s="46">
        <v>0</v>
      </c>
      <c r="JK69" s="46">
        <v>1492519</v>
      </c>
      <c r="JL69" s="46">
        <v>0</v>
      </c>
      <c r="JM69" s="46">
        <v>0</v>
      </c>
      <c r="JN69" s="46">
        <v>0</v>
      </c>
      <c r="JO69" s="46">
        <v>2224482</v>
      </c>
      <c r="JP69" s="46">
        <v>0</v>
      </c>
      <c r="JQ69" s="46">
        <v>475</v>
      </c>
      <c r="JR69" s="46">
        <v>2190490</v>
      </c>
      <c r="JS69" s="46">
        <v>0</v>
      </c>
      <c r="JT69" s="46">
        <v>0</v>
      </c>
      <c r="JU69" s="46">
        <v>0</v>
      </c>
      <c r="JV69" s="46">
        <v>0</v>
      </c>
      <c r="JW69" s="46">
        <v>0</v>
      </c>
      <c r="JX69" s="46">
        <v>0</v>
      </c>
      <c r="JY69" s="46">
        <v>0</v>
      </c>
      <c r="JZ69" s="46">
        <v>0</v>
      </c>
      <c r="KA69" s="46">
        <v>0</v>
      </c>
      <c r="KB69" s="46">
        <v>8279167</v>
      </c>
      <c r="KC69" s="46">
        <v>0</v>
      </c>
      <c r="KD69" s="46">
        <v>0</v>
      </c>
      <c r="KE69" s="46">
        <v>0</v>
      </c>
      <c r="KF69" s="46">
        <v>0</v>
      </c>
      <c r="KG69" s="46">
        <v>0</v>
      </c>
      <c r="KH69" s="46">
        <v>0</v>
      </c>
      <c r="KI69" s="46">
        <v>0</v>
      </c>
      <c r="KJ69" s="46">
        <v>20554</v>
      </c>
      <c r="KK69" s="46">
        <v>0</v>
      </c>
      <c r="KL69" s="46">
        <v>0</v>
      </c>
      <c r="KM69" s="46">
        <v>371</v>
      </c>
      <c r="KN69" s="46">
        <v>0</v>
      </c>
      <c r="KO69" s="46">
        <v>0</v>
      </c>
      <c r="KP69" s="46">
        <v>0</v>
      </c>
      <c r="KQ69" s="46">
        <v>0</v>
      </c>
      <c r="KR69" s="46">
        <v>39534722</v>
      </c>
      <c r="KS69" s="46">
        <v>7186095</v>
      </c>
      <c r="KT69" s="46">
        <v>-42928</v>
      </c>
      <c r="KU69" s="46">
        <v>683870</v>
      </c>
      <c r="KV69" s="46">
        <v>0</v>
      </c>
      <c r="KW69" s="46">
        <v>0</v>
      </c>
      <c r="KX69" s="46">
        <v>0</v>
      </c>
      <c r="KY69" s="46">
        <v>0</v>
      </c>
      <c r="KZ69" s="46">
        <v>0</v>
      </c>
      <c r="LA69" s="46">
        <v>8488</v>
      </c>
      <c r="LB69" s="46">
        <v>-620</v>
      </c>
      <c r="LC69" s="46">
        <v>78</v>
      </c>
      <c r="LD69" s="46">
        <v>84330</v>
      </c>
      <c r="LE69" s="46">
        <v>0</v>
      </c>
      <c r="LF69" s="46">
        <v>0</v>
      </c>
      <c r="LG69" s="46">
        <v>0</v>
      </c>
      <c r="LH69" s="46">
        <v>0</v>
      </c>
      <c r="LI69" s="46">
        <v>0</v>
      </c>
      <c r="LJ69" s="46">
        <v>0</v>
      </c>
      <c r="LK69" s="46">
        <v>0</v>
      </c>
      <c r="LL69" s="46">
        <v>0</v>
      </c>
      <c r="LM69" s="46">
        <v>0</v>
      </c>
      <c r="LN69" s="46">
        <v>0</v>
      </c>
      <c r="LO69" s="46">
        <v>0</v>
      </c>
      <c r="LP69" s="46">
        <v>0</v>
      </c>
      <c r="LQ69" s="46">
        <v>0</v>
      </c>
      <c r="LR69" s="46">
        <v>0</v>
      </c>
      <c r="LS69" s="46">
        <v>0</v>
      </c>
      <c r="LT69" s="46">
        <v>0</v>
      </c>
      <c r="LU69" s="46">
        <v>0</v>
      </c>
      <c r="LV69" s="46">
        <v>0</v>
      </c>
      <c r="LW69" s="46">
        <v>0</v>
      </c>
      <c r="LX69" s="46">
        <v>0</v>
      </c>
      <c r="LY69" s="46">
        <v>0</v>
      </c>
      <c r="LZ69" s="46">
        <v>0</v>
      </c>
      <c r="MA69" s="46">
        <v>0</v>
      </c>
      <c r="MB69" s="46">
        <v>10704589</v>
      </c>
      <c r="MC69" s="46">
        <v>1599154</v>
      </c>
      <c r="MD69" s="46">
        <v>1036</v>
      </c>
      <c r="ME69" s="46">
        <v>457687</v>
      </c>
      <c r="MF69" s="46">
        <v>0</v>
      </c>
      <c r="MG69" s="46">
        <v>0</v>
      </c>
      <c r="MH69" s="46">
        <v>0</v>
      </c>
      <c r="MI69" s="46">
        <v>0</v>
      </c>
      <c r="MJ69" s="46">
        <v>0</v>
      </c>
      <c r="MK69" s="46">
        <v>6536266</v>
      </c>
      <c r="ML69" s="46">
        <v>1440052</v>
      </c>
      <c r="MM69" s="46">
        <v>925</v>
      </c>
      <c r="MN69" s="46">
        <v>462417</v>
      </c>
      <c r="MO69" s="46">
        <v>0</v>
      </c>
      <c r="MP69" s="46">
        <v>0</v>
      </c>
      <c r="MQ69" s="46">
        <v>0</v>
      </c>
      <c r="MR69" s="46">
        <v>0</v>
      </c>
      <c r="MS69" s="46">
        <v>0</v>
      </c>
      <c r="MT69" s="46">
        <v>9944691</v>
      </c>
      <c r="MU69" s="46">
        <v>3770612</v>
      </c>
      <c r="MV69" s="46">
        <v>-5815</v>
      </c>
      <c r="MW69" s="46">
        <v>-558</v>
      </c>
      <c r="MX69" s="46">
        <v>0</v>
      </c>
      <c r="MY69" s="46">
        <v>0</v>
      </c>
      <c r="MZ69" s="46">
        <v>0</v>
      </c>
      <c r="NA69" s="46">
        <v>0</v>
      </c>
      <c r="NB69" s="46">
        <v>0</v>
      </c>
      <c r="NC69" s="46">
        <v>3327605</v>
      </c>
      <c r="ND69" s="46">
        <v>4589786</v>
      </c>
      <c r="NE69" s="46">
        <v>400</v>
      </c>
      <c r="NF69" s="46">
        <v>28930</v>
      </c>
      <c r="NG69" s="46">
        <v>0</v>
      </c>
      <c r="NH69" s="46">
        <v>0</v>
      </c>
      <c r="NI69" s="46">
        <v>0</v>
      </c>
      <c r="NJ69" s="46">
        <v>0</v>
      </c>
      <c r="NK69" s="46">
        <v>0</v>
      </c>
      <c r="NL69" s="46">
        <v>782359</v>
      </c>
      <c r="NM69" s="46">
        <v>10338545</v>
      </c>
      <c r="NN69" s="46">
        <v>0</v>
      </c>
      <c r="NO69" s="46">
        <v>16768941</v>
      </c>
      <c r="NP69" s="46">
        <v>0</v>
      </c>
      <c r="NQ69" s="46">
        <v>0</v>
      </c>
      <c r="NR69" s="46">
        <v>0</v>
      </c>
      <c r="NS69" s="46">
        <v>0</v>
      </c>
      <c r="NT69" s="46">
        <v>0</v>
      </c>
      <c r="NU69" s="46">
        <v>80708</v>
      </c>
      <c r="NV69" s="46">
        <v>-26648</v>
      </c>
      <c r="NW69" s="46">
        <v>6303439</v>
      </c>
      <c r="NX69" s="46">
        <v>-55</v>
      </c>
      <c r="NY69" s="46">
        <v>0</v>
      </c>
      <c r="NZ69" s="46">
        <v>0</v>
      </c>
      <c r="OA69" s="46">
        <v>0</v>
      </c>
      <c r="OB69" s="46">
        <v>0</v>
      </c>
      <c r="OC69" s="46">
        <v>0</v>
      </c>
      <c r="OD69" s="46">
        <v>92910</v>
      </c>
      <c r="OE69" s="46">
        <v>2291457</v>
      </c>
      <c r="OF69" s="46">
        <v>162580</v>
      </c>
      <c r="OG69" s="46">
        <v>613814</v>
      </c>
      <c r="OH69" s="46">
        <v>0</v>
      </c>
      <c r="OI69" s="46">
        <v>0</v>
      </c>
      <c r="OJ69" s="46">
        <v>0</v>
      </c>
      <c r="OK69" s="46">
        <v>0</v>
      </c>
      <c r="OL69" s="46">
        <v>0</v>
      </c>
      <c r="OM69" s="46">
        <v>0</v>
      </c>
      <c r="ON69" s="46">
        <v>0</v>
      </c>
      <c r="OO69" s="46">
        <v>0</v>
      </c>
      <c r="OP69" s="46">
        <v>0</v>
      </c>
      <c r="OQ69" s="46">
        <v>0</v>
      </c>
      <c r="OR69" s="46">
        <v>0</v>
      </c>
      <c r="OS69" s="46">
        <v>2546461</v>
      </c>
      <c r="OT69" s="46">
        <v>0</v>
      </c>
      <c r="OU69" s="46">
        <v>39585</v>
      </c>
      <c r="OV69" s="46">
        <v>0</v>
      </c>
      <c r="OW69" s="46">
        <v>0</v>
      </c>
      <c r="OX69" s="46">
        <v>0</v>
      </c>
      <c r="OY69" s="46">
        <v>0</v>
      </c>
      <c r="OZ69" s="46">
        <v>0</v>
      </c>
      <c r="PA69" s="46">
        <v>0</v>
      </c>
      <c r="PB69" s="46">
        <v>-67945396</v>
      </c>
      <c r="PC69" s="46">
        <v>0</v>
      </c>
      <c r="PD69" s="46">
        <v>0</v>
      </c>
      <c r="PE69" s="46">
        <v>-7375842</v>
      </c>
      <c r="PF69" s="46">
        <v>16996498</v>
      </c>
      <c r="PG69" s="46">
        <v>-1181431</v>
      </c>
      <c r="PH69" s="46">
        <v>-21930181</v>
      </c>
      <c r="PI69" s="46">
        <v>0</v>
      </c>
      <c r="PJ69" s="46">
        <v>0</v>
      </c>
      <c r="PK69" s="46">
        <v>77224672</v>
      </c>
      <c r="PL69" s="46">
        <v>8636771</v>
      </c>
      <c r="PM69" s="46">
        <v>-65489085</v>
      </c>
      <c r="PN69" s="46">
        <v>0</v>
      </c>
      <c r="PO69" s="46">
        <v>0</v>
      </c>
      <c r="PP69" s="46">
        <v>0</v>
      </c>
      <c r="PQ69" s="46">
        <v>0</v>
      </c>
      <c r="PR69" s="46">
        <v>0</v>
      </c>
      <c r="PS69" s="46">
        <v>0</v>
      </c>
      <c r="PT69" s="46">
        <v>0</v>
      </c>
      <c r="PU69" s="46">
        <v>0</v>
      </c>
      <c r="PV69" s="46">
        <v>0</v>
      </c>
      <c r="PW69" s="46">
        <v>0</v>
      </c>
      <c r="PX69" s="46">
        <v>0</v>
      </c>
      <c r="PY69" s="46">
        <v>0</v>
      </c>
      <c r="PZ69" s="46">
        <v>0</v>
      </c>
      <c r="QA69" s="46">
        <v>0</v>
      </c>
      <c r="QB69" s="46">
        <v>0</v>
      </c>
      <c r="QC69" s="46">
        <v>131795</v>
      </c>
      <c r="QD69" s="46">
        <v>-19959609</v>
      </c>
      <c r="QE69" s="46">
        <v>10530891</v>
      </c>
      <c r="QF69" s="46">
        <v>0</v>
      </c>
      <c r="QG69" s="46">
        <v>0</v>
      </c>
      <c r="QH69" s="46">
        <v>0</v>
      </c>
      <c r="QI69" s="46">
        <v>0</v>
      </c>
      <c r="QJ69" s="46">
        <v>0</v>
      </c>
      <c r="QK69" s="46">
        <v>0</v>
      </c>
      <c r="QL69" s="46">
        <v>0</v>
      </c>
      <c r="QM69" s="46">
        <v>0</v>
      </c>
      <c r="QN69" s="46">
        <v>0</v>
      </c>
      <c r="QO69" s="46">
        <v>0</v>
      </c>
      <c r="QP69" s="46">
        <v>0</v>
      </c>
      <c r="QQ69" s="46">
        <v>0</v>
      </c>
      <c r="QR69" s="46">
        <v>0</v>
      </c>
      <c r="QS69" s="46">
        <v>0</v>
      </c>
      <c r="QT69" s="46">
        <v>0</v>
      </c>
      <c r="QU69" s="46">
        <v>0</v>
      </c>
      <c r="QV69" s="46">
        <v>0</v>
      </c>
      <c r="QW69" s="46">
        <v>0</v>
      </c>
      <c r="QX69" s="46">
        <v>0</v>
      </c>
      <c r="QY69" s="46">
        <v>0</v>
      </c>
      <c r="QZ69" s="46">
        <v>0</v>
      </c>
      <c r="RA69" s="46">
        <v>0</v>
      </c>
      <c r="RB69" s="46">
        <v>0</v>
      </c>
      <c r="RC69" s="46">
        <v>0</v>
      </c>
      <c r="RD69" s="46">
        <v>0</v>
      </c>
      <c r="RE69" s="46">
        <v>0</v>
      </c>
      <c r="RF69" s="46">
        <v>0</v>
      </c>
      <c r="RG69" s="46">
        <v>0</v>
      </c>
      <c r="RH69" s="46">
        <v>0</v>
      </c>
      <c r="RI69" s="46">
        <v>0</v>
      </c>
      <c r="RJ69" s="46">
        <v>0</v>
      </c>
      <c r="RK69" s="46">
        <v>0</v>
      </c>
      <c r="RL69" s="46">
        <v>0</v>
      </c>
      <c r="RM69" s="46">
        <v>0</v>
      </c>
      <c r="RN69" s="46">
        <v>0</v>
      </c>
      <c r="RO69" s="46">
        <v>-11015670</v>
      </c>
      <c r="RP69" s="46">
        <v>0</v>
      </c>
      <c r="RQ69" s="46">
        <v>0</v>
      </c>
      <c r="RR69" s="46">
        <v>0</v>
      </c>
      <c r="RS69" s="46">
        <v>0</v>
      </c>
      <c r="RT69" s="46">
        <v>0</v>
      </c>
      <c r="RU69" s="46">
        <v>0</v>
      </c>
      <c r="RV69" s="46">
        <v>0</v>
      </c>
      <c r="RW69" s="46">
        <v>0</v>
      </c>
      <c r="RX69" s="46">
        <v>0</v>
      </c>
      <c r="RY69" s="46">
        <v>0</v>
      </c>
      <c r="RZ69" s="46">
        <v>0</v>
      </c>
      <c r="SA69" s="46">
        <v>0</v>
      </c>
      <c r="SB69" s="46">
        <v>0</v>
      </c>
      <c r="SC69" s="46">
        <v>0</v>
      </c>
      <c r="SD69" s="46">
        <v>0</v>
      </c>
      <c r="SE69" s="46">
        <v>0</v>
      </c>
      <c r="SF69" s="46">
        <v>0</v>
      </c>
      <c r="SG69" s="46">
        <v>0</v>
      </c>
      <c r="SH69" s="46">
        <v>0</v>
      </c>
      <c r="SI69" s="46">
        <v>0</v>
      </c>
      <c r="SJ69" s="46">
        <v>0</v>
      </c>
      <c r="SK69" s="46">
        <v>0</v>
      </c>
      <c r="SL69" s="46">
        <v>0</v>
      </c>
      <c r="SM69" s="46">
        <v>0</v>
      </c>
      <c r="SN69" s="46">
        <v>0</v>
      </c>
      <c r="SO69" s="46">
        <v>0</v>
      </c>
      <c r="SP69" s="46">
        <v>8797806</v>
      </c>
      <c r="SQ69" s="46">
        <v>92910</v>
      </c>
      <c r="SR69" s="46">
        <v>2291457</v>
      </c>
      <c r="SS69" s="46">
        <v>162580</v>
      </c>
      <c r="ST69" s="46">
        <v>613814</v>
      </c>
      <c r="SU69" s="46">
        <v>0</v>
      </c>
      <c r="SV69" s="46">
        <v>0</v>
      </c>
      <c r="SW69" s="46">
        <v>67945396</v>
      </c>
      <c r="SX69" s="46">
        <v>0</v>
      </c>
      <c r="SY69" s="46">
        <v>0</v>
      </c>
      <c r="SZ69" s="46">
        <v>2221558</v>
      </c>
      <c r="TA69" s="46">
        <v>0</v>
      </c>
      <c r="TB69" s="46">
        <v>0</v>
      </c>
      <c r="TC69" s="46">
        <v>0</v>
      </c>
      <c r="TD69" s="46">
        <v>46799</v>
      </c>
      <c r="TE69" s="46">
        <v>167119</v>
      </c>
      <c r="TF69" s="46">
        <v>68754</v>
      </c>
      <c r="TG69" s="46">
        <v>493951</v>
      </c>
      <c r="TH69" s="46">
        <v>0</v>
      </c>
      <c r="TI69" s="46">
        <v>162580</v>
      </c>
      <c r="TJ69" s="46">
        <v>0</v>
      </c>
      <c r="TK69" s="46">
        <v>0</v>
      </c>
      <c r="TL69" s="46">
        <v>0</v>
      </c>
      <c r="TM69" s="46">
        <v>0</v>
      </c>
      <c r="TN69" s="46">
        <v>0</v>
      </c>
      <c r="TO69" s="46">
        <v>0</v>
      </c>
      <c r="TP69" s="46">
        <v>0</v>
      </c>
      <c r="TQ69" s="46">
        <v>0</v>
      </c>
      <c r="TR69" s="46">
        <v>0</v>
      </c>
      <c r="TS69" s="46">
        <v>0</v>
      </c>
      <c r="TT69" s="46">
        <v>0</v>
      </c>
      <c r="TU69" s="46">
        <v>0</v>
      </c>
      <c r="TV69" s="46">
        <v>0</v>
      </c>
      <c r="TW69" s="46">
        <v>0</v>
      </c>
      <c r="TX69" s="46">
        <v>0</v>
      </c>
      <c r="TY69" s="46">
        <v>0</v>
      </c>
      <c r="TZ69" s="46">
        <v>0</v>
      </c>
      <c r="UA69" s="46">
        <v>0</v>
      </c>
      <c r="UB69" s="46">
        <v>0</v>
      </c>
      <c r="UC69" s="46">
        <v>0</v>
      </c>
      <c r="UD69" s="46">
        <v>0</v>
      </c>
      <c r="UE69" s="46">
        <v>47361759</v>
      </c>
      <c r="UF69" s="46">
        <v>92276</v>
      </c>
      <c r="UG69" s="46">
        <v>0</v>
      </c>
      <c r="UH69" s="46">
        <v>0</v>
      </c>
      <c r="UI69" s="46">
        <v>12762466</v>
      </c>
      <c r="UJ69" s="46">
        <v>8439660</v>
      </c>
      <c r="UK69" s="46">
        <v>13708930</v>
      </c>
      <c r="UL69" s="46">
        <v>7946721</v>
      </c>
      <c r="UM69" s="46">
        <v>27889845</v>
      </c>
      <c r="UN69" s="46">
        <v>6357444</v>
      </c>
      <c r="UO6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3160761</v>
      </c>
      <c r="UP69" s="46">
        <f>SUM(Input[[#This Row],[Oth Exp E&amp;G]],Input[[#This Row],[Oth Exp Desg]],Input[[#This Row],[Oth Exp Aux]],Input[[#This Row],[Oth Exp R Exp]],Input[[#This Row],[Oth Exp Loan]],Input[[#This Row],[Oth Exp Annuity]],Input[[#This Row],[Oth Exp Unexp]],Input[[#This Row],[Oth Exp R of Ind]],Input[[#This Row],[Oth Exp Inv in P]])</f>
        <v>2586046</v>
      </c>
      <c r="UQ69" s="46"/>
      <c r="UR69" s="46"/>
      <c r="US69" s="8" t="s">
        <v>808</v>
      </c>
      <c r="UT69" s="47">
        <v>2548673931</v>
      </c>
      <c r="UU69" s="8" t="s">
        <v>96</v>
      </c>
      <c r="UV69" s="8" t="s">
        <v>809</v>
      </c>
      <c r="UW69" s="47">
        <v>9563644058</v>
      </c>
      <c r="UX69" s="8" t="s">
        <v>810</v>
      </c>
      <c r="UY69" s="51" cm="1">
        <f t="array" ref="UY69">IFERROR(_xlfn.IFS(Input[[#This Row],[Type]]="HRI",SUMIFS('FTSE | FTFE'!$P$8:$P$77,'FTSE | FTFE'!$H$8:$H$77,A69),Input[[#This Row],[Type]]="UNIV",SUMIFS('FTSE | FTFE'!$P$104:$P$139,'FTSE | FTFE'!$H$104:$H$139,A69),OR(Input[[#This Row],[Type]]="TSTC",Input[[#This Row],[Type]]="LSC"),SUMIFS('FTSE | FTFE'!$O$88:$O$96,'FTSE | FTFE'!$H$88:$H$96,A69),Input[[#This Row],[Type]]="AHM",SUMIFS(Hidden!$H$42:$H$45,Hidden!$G$42:$G$45,A69)),"N/A")</f>
        <v>5960</v>
      </c>
      <c r="UZ69" s="51" cm="1">
        <f t="array" ref="UZ69">IFERROR(_xlfn.IFS(Input[[#This Row],[Type]]="HRI",SUMIFS('FTSE | FTFE'!$Q$8:$Q$77,'FTSE | FTFE'!$H$8:$H$77,A69),Input[[#This Row],[Type]]="UNIV",SUMIFS('FTSE | FTFE'!$Q$104:$Q$139,'FTSE | FTFE'!$H$104:$H$139,A69),OR(Input[[#This Row],[Type]]="TSTC",Input[[#This Row],[Type]]="LSC"),SUMIFS('FTSE | FTFE'!$P$88:$P$96,'FTSE | FTFE'!$H$88:$H$96,A69)),"N/A")</f>
        <v>315.39499999999998</v>
      </c>
      <c r="VA6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70696952</v>
      </c>
      <c r="VB6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5356666</v>
      </c>
      <c r="VC69" s="46">
        <f>SUM(Input[[#This Row],[Fed G&amp;C E&amp;G]],Input[[#This Row],[Fed G&amp;C Desg]],Input[[#This Row],[Fed G&amp;C R Exp]],Input[[#This Row],[Fed G&amp;C Loan]],Input[[#This Row],[Fed G&amp;C Annuity]],Input[[#This Row],[Fed G&amp;C Unexp]],Input[[#This Row],[Fed G&amp;C R of Ind]],Input[[#This Row],[Fed G&amp;C Inv in P]])</f>
        <v>7925334</v>
      </c>
      <c r="VD6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9017851</v>
      </c>
      <c r="VE6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27906407</v>
      </c>
      <c r="VF6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2582694</v>
      </c>
      <c r="VG69" s="46">
        <f>SUM(Input[[#This Row],[Oth Inc E&amp;G]],Input[[#This Row],[Oth Exp Desg]],Input[[#This Row],[Oth Exp R Exp]],Input[[#This Row],[Oth Exp Loan]],Input[[#This Row],[Oth Exp Annuity]],Input[[#This Row],[Oth Exp Unexp]],Input[[#This Row],[Oth Exp R of Ind]],Input[[#This Row],[Oth Exp Inv in P]])</f>
        <v>2586046</v>
      </c>
      <c r="VH69" s="46">
        <f>SUM(Input[[#This Row],[Instr E&amp;G]],Input[[#This Row],[Instr Desg]],Input[[#This Row],[Instr R Exp]],Input[[#This Row],[Instr Loan]],Input[[#This Row],[Instr Annuity]],Input[[#This Row],[Instr Unexp]],Input[[#This Row],[Instr R of Ind]],Input[[#This Row],[Instr Inv in P]])</f>
        <v>47404687</v>
      </c>
      <c r="VI69" s="46">
        <f>SUM(Input[[#This Row],[Res E&amp;G]],Input[[#This Row],[Res Desg]],Input[[#This Row],[Res R Exp]],Input[[#This Row],[Res Loan]],Input[[#This Row],[Res Annuity]],Input[[#This Row],[Res Unexp]],Input[[#This Row],[Res R of Ind]],Input[[#This Row],[Res Inv in P]])</f>
        <v>92198</v>
      </c>
      <c r="VJ69" s="46">
        <f>SUM(Input[[#This Row],[Acad Sup E&amp;G]],Input[[#This Row],[Acad Sup Desg]],Input[[#This Row],[Acad Sup R Exp]],Input[[#This Row],[Acad Sup Loan]],Input[[#This Row],[Acad Sup Annuity]],Input[[#This Row],[Acad Sup Unexp]],Input[[#This Row],[Acad Sup R of Ind]],Input[[#This Row],[Acad Sup Inv in P]])</f>
        <v>12761430</v>
      </c>
      <c r="VK69" s="46">
        <f>SUM(Input[[#This Row],[Stu Svc E&amp;G]],Input[[#This Row],[Stu Svc Desg]],Input[[#This Row],[Stu Svc R Exp]],Input[[#This Row],[Stu Svc Loan]],Input[[#This Row],[Stu Svc Annuity]],Input[[#This Row],[Stu Svc Unexp]],Input[[#This Row],[Stu Svc R of Ind]],Input[[#This Row],[Stu Svc Inv in P]])</f>
        <v>8438735</v>
      </c>
      <c r="VL69" s="46">
        <f>SUM(Input[[#This Row],[Inst. Spt E&amp;G]],Input[[#This Row],[Inst. Spt Desg]],Input[[#This Row],[Inst. Spt R Exp]],Input[[#This Row],[Inst. Spt Loan]],Input[[#This Row],[Inst. Spt Annuity]],Input[[#This Row],[Inst. Spt Unexp]],Input[[#This Row],[Inst. Spt R of Ind]],Input[[#This Row],[Inst. Spt Inv in P]])</f>
        <v>13714745</v>
      </c>
      <c r="VM69" s="46">
        <f>SUM(Input[[#This Row],[M&amp;O Plnt E&amp;G]],Input[[#This Row],[M&amp;O Plnt Desg]],Input[[#This Row],[M&amp;O Plnt R Exp]],Input[[#This Row],[M&amp;O Plnt Loan]],Input[[#This Row],[M&amp;O Plnt Annuity]],Input[[#This Row],[M&amp;O Plnt Unexp]],Input[[#This Row],[M&amp;O Plnt R of Ind]],Input[[#This Row],[M&amp;O Plnt Inv in P]])</f>
        <v>7946321</v>
      </c>
      <c r="VN69" s="46">
        <f>SUM(Input[[#This Row],[Schl &amp; Fell E&amp;G]],Input[[#This Row],[Schl &amp; Fell Desg]],Input[[#This Row],[Schl &amp; Fell R Exp]],Input[[#This Row],[Schl &amp; Fell Loan]],Input[[#This Row],[Schl &amp; Fell Annuity]],Input[[#This Row],[Schl &amp; Fell Unexp]],Input[[#This Row],[Schl &amp; Fell R of Ind]],Input[[#This Row],[Schl &amp; Fell Inv in P]])</f>
        <v>27889845</v>
      </c>
      <c r="VO69" s="46">
        <f>SUM(Input[[#This Row],[Cap Out fund E&amp;G]],Input[[#This Row],[Cap Out fund Desg]],Input[[#This Row],[Cap Out fund R Exp]],Input[[#This Row],[Cap Out fund Loan]],Input[[#This Row],[Cap Out fund Annuity]],Input[[#This Row],[Cap Out fund Unexp]],Input[[#This Row],[Cap Out fund R of Ind]],Input[[#This Row],[Cap Out fund Inv in P]])</f>
        <v>2998181</v>
      </c>
      <c r="VP69" s="46">
        <f>SUM(Input[[#This Row],[Oth Exp E&amp;G]],Input[[#This Row],[Oth Exp Desg]],Input[[#This Row],[Oth Exp R Exp]],Input[[#This Row],[Oth Exp Loan]],Input[[#This Row],[Oth Exp Annuity]],Input[[#This Row],[Oth Exp Unexp]],Input[[#This Row],[Oth Exp R of Ind]],Input[[#This Row],[Oth Exp Inv in P]],Input[[#This Row],[Oth Exp Inv in P]])</f>
        <v>2625631</v>
      </c>
    </row>
    <row r="70" spans="1:588" ht="30" customHeight="1" x14ac:dyDescent="0.3">
      <c r="A70" s="15" t="s">
        <v>50</v>
      </c>
      <c r="B70" s="36" t="s">
        <v>121</v>
      </c>
      <c r="C70" s="36" t="s">
        <v>121</v>
      </c>
      <c r="D70" s="36">
        <v>1005</v>
      </c>
      <c r="E70" s="36" t="s">
        <v>132</v>
      </c>
      <c r="F70" s="95" cm="1">
        <f t="array" ref="F70">IFERROR(_xlfn.IFS(Input[[#This Row],[Type]]="HRI",SUMIFS('FTSE | FTFE'!$I$8:$I$77,'FTSE | FTFE'!$H$8:$H$77,A70),Input[[#This Row],[Type]]="UNIV",SUMIFS('FTSE | FTFE'!$I$104:$I$139,'FTSE | FTFE'!$H$104:$H$139,A70),OR(Input[[#This Row],[Type]]="TSTC",Input[[#This Row],[Type]]="LSC"),SUMIFS('FTSE | FTFE'!$I$88:$I$96,'FTSE | FTFE'!$H$88:$H$96,A70)),"N/A")</f>
        <v>203634</v>
      </c>
      <c r="G70" s="46">
        <v>13452507</v>
      </c>
      <c r="H70" s="46">
        <v>0</v>
      </c>
      <c r="I70" s="46">
        <v>0</v>
      </c>
      <c r="J70" s="46">
        <v>0</v>
      </c>
      <c r="K70" s="46">
        <v>0</v>
      </c>
      <c r="L70" s="46">
        <v>0</v>
      </c>
      <c r="M70" s="46">
        <v>0</v>
      </c>
      <c r="N70" s="46">
        <v>0</v>
      </c>
      <c r="O70" s="46">
        <v>0</v>
      </c>
      <c r="P70" s="46">
        <v>0</v>
      </c>
      <c r="Q70" s="46">
        <v>0</v>
      </c>
      <c r="R70" s="46">
        <v>0</v>
      </c>
      <c r="S70" s="46">
        <v>15465</v>
      </c>
      <c r="T70" s="46">
        <v>0</v>
      </c>
      <c r="U70" s="46">
        <v>0</v>
      </c>
      <c r="V70" s="46">
        <v>0</v>
      </c>
      <c r="W70" s="46">
        <v>0</v>
      </c>
      <c r="X70" s="46">
        <v>0</v>
      </c>
      <c r="Y70" s="46">
        <v>591695</v>
      </c>
      <c r="Z70" s="46">
        <v>0</v>
      </c>
      <c r="AA70" s="46">
        <v>0</v>
      </c>
      <c r="AB70" s="46">
        <v>0</v>
      </c>
      <c r="AC70" s="46">
        <v>0</v>
      </c>
      <c r="AD70" s="46">
        <v>0</v>
      </c>
      <c r="AE70" s="46">
        <v>0</v>
      </c>
      <c r="AF70" s="46">
        <v>0</v>
      </c>
      <c r="AG70" s="46">
        <v>0</v>
      </c>
      <c r="AH70" s="46">
        <v>0</v>
      </c>
      <c r="AI70" s="46">
        <v>0</v>
      </c>
      <c r="AJ70" s="46">
        <v>0</v>
      </c>
      <c r="AK70" s="46">
        <v>0</v>
      </c>
      <c r="AL70" s="46">
        <v>0</v>
      </c>
      <c r="AM70" s="46">
        <v>0</v>
      </c>
      <c r="AN70" s="46">
        <v>0</v>
      </c>
      <c r="AO70" s="46">
        <v>0</v>
      </c>
      <c r="AP70" s="46">
        <v>0</v>
      </c>
      <c r="AQ70" s="46">
        <v>-35275</v>
      </c>
      <c r="AR70" s="46">
        <v>0</v>
      </c>
      <c r="AS70" s="46">
        <v>0</v>
      </c>
      <c r="AT70" s="46">
        <v>0</v>
      </c>
      <c r="AU70" s="46">
        <v>0</v>
      </c>
      <c r="AV70" s="46">
        <v>0</v>
      </c>
      <c r="AW70" s="46">
        <v>0</v>
      </c>
      <c r="AX70" s="46">
        <v>0</v>
      </c>
      <c r="AY70" s="46">
        <v>0</v>
      </c>
      <c r="AZ70" s="46">
        <v>0</v>
      </c>
      <c r="BA70" s="46">
        <v>0</v>
      </c>
      <c r="BB70" s="46">
        <v>0</v>
      </c>
      <c r="BC70" s="46">
        <v>0</v>
      </c>
      <c r="BD70" s="46">
        <v>0</v>
      </c>
      <c r="BE70" s="46">
        <v>0</v>
      </c>
      <c r="BF70" s="46">
        <v>0</v>
      </c>
      <c r="BG70" s="46">
        <v>0</v>
      </c>
      <c r="BH70" s="46">
        <v>0</v>
      </c>
      <c r="BI70" s="46">
        <v>0</v>
      </c>
      <c r="BJ70" s="46">
        <v>0</v>
      </c>
      <c r="BK70" s="46">
        <v>0</v>
      </c>
      <c r="BL70" s="46">
        <v>0</v>
      </c>
      <c r="BM70" s="46">
        <v>0</v>
      </c>
      <c r="BN70" s="46">
        <v>0</v>
      </c>
      <c r="BO70" s="46">
        <v>0</v>
      </c>
      <c r="BP70" s="46">
        <v>0</v>
      </c>
      <c r="BQ70" s="46">
        <v>0</v>
      </c>
      <c r="BR70" s="46">
        <v>0</v>
      </c>
      <c r="BS70" s="46">
        <v>0</v>
      </c>
      <c r="BT70" s="46">
        <v>0</v>
      </c>
      <c r="BU70" s="46">
        <v>0</v>
      </c>
      <c r="BV70" s="46">
        <v>0</v>
      </c>
      <c r="BW70" s="46">
        <v>0</v>
      </c>
      <c r="BX70" s="46">
        <v>0</v>
      </c>
      <c r="BY70" s="46">
        <v>0</v>
      </c>
      <c r="BZ70" s="46">
        <v>0</v>
      </c>
      <c r="CA70" s="46">
        <v>634461</v>
      </c>
      <c r="CB70" s="46">
        <v>5602038</v>
      </c>
      <c r="CC70" s="46">
        <v>0</v>
      </c>
      <c r="CD70" s="46">
        <v>0</v>
      </c>
      <c r="CE70" s="46">
        <v>0</v>
      </c>
      <c r="CF70" s="46">
        <v>0</v>
      </c>
      <c r="CG70" s="46">
        <v>0</v>
      </c>
      <c r="CH70" s="46">
        <v>0</v>
      </c>
      <c r="CI70" s="46">
        <v>0</v>
      </c>
      <c r="CJ70" s="46">
        <v>0</v>
      </c>
      <c r="CK70" s="46">
        <v>0</v>
      </c>
      <c r="CL70" s="46">
        <v>0</v>
      </c>
      <c r="CM70" s="46">
        <v>0</v>
      </c>
      <c r="CN70" s="46">
        <v>0</v>
      </c>
      <c r="CO70" s="46">
        <v>0</v>
      </c>
      <c r="CP70" s="46">
        <v>0</v>
      </c>
      <c r="CQ70" s="46">
        <v>0</v>
      </c>
      <c r="CR70" s="46">
        <v>0</v>
      </c>
      <c r="CS70" s="46">
        <v>0</v>
      </c>
      <c r="CT70" s="46">
        <v>0</v>
      </c>
      <c r="CU70" s="46">
        <v>0</v>
      </c>
      <c r="CV70" s="46">
        <v>0</v>
      </c>
      <c r="CW70" s="46">
        <v>0</v>
      </c>
      <c r="CX70" s="46">
        <v>0</v>
      </c>
      <c r="CY70" s="46">
        <v>0</v>
      </c>
      <c r="CZ70" s="46">
        <v>0</v>
      </c>
      <c r="DA70" s="46">
        <v>0</v>
      </c>
      <c r="DB70" s="46">
        <v>-82636</v>
      </c>
      <c r="DC70" s="46">
        <v>0</v>
      </c>
      <c r="DD70" s="46">
        <v>0</v>
      </c>
      <c r="DE70" s="46">
        <v>0</v>
      </c>
      <c r="DF70" s="46">
        <v>0</v>
      </c>
      <c r="DG70" s="46">
        <v>0</v>
      </c>
      <c r="DH70" s="46">
        <v>0</v>
      </c>
      <c r="DI70" s="46">
        <v>0</v>
      </c>
      <c r="DJ70" s="46">
        <v>0</v>
      </c>
      <c r="DK70" s="46">
        <v>0</v>
      </c>
      <c r="DL70" s="46">
        <v>-570529</v>
      </c>
      <c r="DM70" s="46">
        <v>0</v>
      </c>
      <c r="DN70" s="46">
        <v>0</v>
      </c>
      <c r="DO70" s="46">
        <v>0</v>
      </c>
      <c r="DP70" s="46">
        <v>0</v>
      </c>
      <c r="DQ70" s="46">
        <v>0</v>
      </c>
      <c r="DR70" s="46">
        <v>0</v>
      </c>
      <c r="DS70" s="46">
        <v>0</v>
      </c>
      <c r="DT70" s="46">
        <v>-196914</v>
      </c>
      <c r="DU70" s="46">
        <v>-2730008</v>
      </c>
      <c r="DV70" s="46">
        <v>0</v>
      </c>
      <c r="DW70" s="46">
        <v>0</v>
      </c>
      <c r="DX70" s="46">
        <v>0</v>
      </c>
      <c r="DY70" s="46">
        <v>0</v>
      </c>
      <c r="DZ70" s="46">
        <v>0</v>
      </c>
      <c r="EA70" s="46">
        <v>0</v>
      </c>
      <c r="EB70" s="46">
        <v>0</v>
      </c>
      <c r="EC70" s="46">
        <v>0</v>
      </c>
      <c r="ED70" s="46">
        <v>0</v>
      </c>
      <c r="EE70" s="46">
        <v>0</v>
      </c>
      <c r="EF70" s="46">
        <v>0</v>
      </c>
      <c r="EG70" s="46">
        <v>0</v>
      </c>
      <c r="EH70" s="46">
        <v>0</v>
      </c>
      <c r="EI70" s="46">
        <v>0</v>
      </c>
      <c r="EJ70" s="46">
        <v>0</v>
      </c>
      <c r="EK70" s="46">
        <v>0</v>
      </c>
      <c r="EL70" s="46">
        <v>0</v>
      </c>
      <c r="EM70" s="46">
        <v>0</v>
      </c>
      <c r="EN70" s="46">
        <v>0</v>
      </c>
      <c r="EO70" s="46">
        <v>0</v>
      </c>
      <c r="EP70" s="46">
        <v>0</v>
      </c>
      <c r="EQ70" s="46">
        <v>0</v>
      </c>
      <c r="ER70" s="46">
        <v>0</v>
      </c>
      <c r="ES70" s="46">
        <v>0</v>
      </c>
      <c r="ET70" s="46">
        <v>0</v>
      </c>
      <c r="EU70" s="46">
        <v>0</v>
      </c>
      <c r="EV70" s="46">
        <v>0</v>
      </c>
      <c r="EW70" s="46">
        <v>0</v>
      </c>
      <c r="EX70" s="46">
        <v>0</v>
      </c>
      <c r="EY70" s="46">
        <v>0</v>
      </c>
      <c r="EZ70" s="46">
        <v>0</v>
      </c>
      <c r="FA70" s="46">
        <v>0</v>
      </c>
      <c r="FB70" s="46">
        <v>0</v>
      </c>
      <c r="FC70" s="46">
        <v>0</v>
      </c>
      <c r="FD70" s="46">
        <v>0</v>
      </c>
      <c r="FE70" s="46">
        <v>0</v>
      </c>
      <c r="FF70" s="46">
        <v>0</v>
      </c>
      <c r="FG70" s="46">
        <v>0</v>
      </c>
      <c r="FH70" s="46">
        <v>0</v>
      </c>
      <c r="FI70" s="46">
        <v>0</v>
      </c>
      <c r="FJ70" s="46">
        <v>0</v>
      </c>
      <c r="FK70" s="46">
        <v>0</v>
      </c>
      <c r="FL70" s="46">
        <v>0</v>
      </c>
      <c r="FM70" s="46">
        <v>0</v>
      </c>
      <c r="FN70" s="46">
        <v>0</v>
      </c>
      <c r="FO70" s="46">
        <v>0</v>
      </c>
      <c r="FP70" s="46">
        <v>0</v>
      </c>
      <c r="FQ70" s="46">
        <v>0</v>
      </c>
      <c r="FR70" s="46">
        <v>0</v>
      </c>
      <c r="FS70" s="46">
        <v>0</v>
      </c>
      <c r="FT70" s="46">
        <v>0</v>
      </c>
      <c r="FU70" s="46">
        <v>0</v>
      </c>
      <c r="FV70" s="46">
        <v>0</v>
      </c>
      <c r="FW70" s="46">
        <v>0</v>
      </c>
      <c r="FX70" s="46">
        <v>0</v>
      </c>
      <c r="FY70" s="46">
        <v>0</v>
      </c>
      <c r="FZ70" s="46">
        <v>0</v>
      </c>
      <c r="GA70" s="46">
        <v>0</v>
      </c>
      <c r="GB70" s="46">
        <v>0</v>
      </c>
      <c r="GC70" s="46">
        <v>0</v>
      </c>
      <c r="GD70" s="46">
        <v>0</v>
      </c>
      <c r="GE70" s="46">
        <v>0</v>
      </c>
      <c r="GF70" s="46">
        <v>0</v>
      </c>
      <c r="GG70" s="46">
        <v>0</v>
      </c>
      <c r="GH70" s="46">
        <v>0</v>
      </c>
      <c r="GI70" s="46">
        <v>0</v>
      </c>
      <c r="GJ70" s="46">
        <v>0</v>
      </c>
      <c r="GK70" s="46">
        <v>0</v>
      </c>
      <c r="GL70" s="46">
        <v>0</v>
      </c>
      <c r="GM70" s="46">
        <v>0</v>
      </c>
      <c r="GN70" s="46">
        <v>0</v>
      </c>
      <c r="GO70" s="46">
        <v>0</v>
      </c>
      <c r="GP70" s="46">
        <v>0</v>
      </c>
      <c r="GQ70" s="46">
        <v>0</v>
      </c>
      <c r="GR70" s="46">
        <v>0</v>
      </c>
      <c r="GS70" s="46">
        <v>0</v>
      </c>
      <c r="GT70" s="46">
        <v>0</v>
      </c>
      <c r="GU70" s="46">
        <v>0</v>
      </c>
      <c r="GV70" s="46">
        <v>0</v>
      </c>
      <c r="GW70" s="46">
        <v>0</v>
      </c>
      <c r="GX70" s="46">
        <v>0</v>
      </c>
      <c r="GY70" s="46">
        <v>0</v>
      </c>
      <c r="GZ70" s="46">
        <v>0</v>
      </c>
      <c r="HA70" s="46">
        <v>0</v>
      </c>
      <c r="HB70" s="46">
        <v>0</v>
      </c>
      <c r="HC70" s="46">
        <v>0</v>
      </c>
      <c r="HD70" s="46">
        <v>0</v>
      </c>
      <c r="HE70" s="46">
        <v>0</v>
      </c>
      <c r="HF70" s="46">
        <v>0</v>
      </c>
      <c r="HG70" s="46">
        <v>0</v>
      </c>
      <c r="HH70" s="46">
        <v>0</v>
      </c>
      <c r="HI70" s="46">
        <v>0</v>
      </c>
      <c r="HJ70" s="46">
        <v>0</v>
      </c>
      <c r="HK70" s="46">
        <v>0</v>
      </c>
      <c r="HL70" s="46">
        <v>0</v>
      </c>
      <c r="HM70" s="46">
        <v>0</v>
      </c>
      <c r="HN70" s="46">
        <v>0</v>
      </c>
      <c r="HO70" s="46">
        <v>0</v>
      </c>
      <c r="HP70" s="46">
        <v>0</v>
      </c>
      <c r="HQ70" s="46">
        <v>0</v>
      </c>
      <c r="HR70" s="46">
        <v>1160944</v>
      </c>
      <c r="HS70" s="46">
        <v>0</v>
      </c>
      <c r="HT70" s="46">
        <v>0</v>
      </c>
      <c r="HU70" s="46">
        <v>0</v>
      </c>
      <c r="HV70" s="46">
        <v>0</v>
      </c>
      <c r="HW70" s="46">
        <v>0</v>
      </c>
      <c r="HX70" s="46">
        <v>0</v>
      </c>
      <c r="HY70" s="46">
        <v>0</v>
      </c>
      <c r="HZ70" s="46">
        <v>0</v>
      </c>
      <c r="IA70" s="46">
        <v>0</v>
      </c>
      <c r="IB70" s="46">
        <v>0</v>
      </c>
      <c r="IC70" s="46">
        <v>0</v>
      </c>
      <c r="ID70" s="46">
        <v>0</v>
      </c>
      <c r="IE70" s="46">
        <v>0</v>
      </c>
      <c r="IF70" s="46">
        <v>0</v>
      </c>
      <c r="IG70" s="46">
        <v>0</v>
      </c>
      <c r="IH70" s="46">
        <v>0</v>
      </c>
      <c r="II70" s="46">
        <v>0</v>
      </c>
      <c r="IJ70" s="46">
        <v>0</v>
      </c>
      <c r="IK70" s="46">
        <v>0</v>
      </c>
      <c r="IL70" s="46">
        <v>0</v>
      </c>
      <c r="IM70" s="46">
        <v>0</v>
      </c>
      <c r="IN70" s="46">
        <v>0</v>
      </c>
      <c r="IO70" s="46">
        <v>0</v>
      </c>
      <c r="IP70" s="46">
        <v>0</v>
      </c>
      <c r="IQ70" s="46">
        <v>0</v>
      </c>
      <c r="IR70" s="46">
        <v>0</v>
      </c>
      <c r="IS70" s="46">
        <v>0</v>
      </c>
      <c r="IT70" s="46">
        <v>0</v>
      </c>
      <c r="IU70" s="46">
        <v>0</v>
      </c>
      <c r="IV70" s="46">
        <v>0</v>
      </c>
      <c r="IW70" s="46">
        <v>0</v>
      </c>
      <c r="IX70" s="46">
        <v>0</v>
      </c>
      <c r="IY70" s="46">
        <v>0</v>
      </c>
      <c r="IZ70" s="46">
        <v>0</v>
      </c>
      <c r="JA70" s="46">
        <v>0</v>
      </c>
      <c r="JB70" s="46">
        <v>0</v>
      </c>
      <c r="JC70" s="46">
        <v>0</v>
      </c>
      <c r="JD70" s="46">
        <v>0</v>
      </c>
      <c r="JE70" s="46">
        <v>0</v>
      </c>
      <c r="JF70" s="46">
        <v>0</v>
      </c>
      <c r="JG70" s="46">
        <v>0</v>
      </c>
      <c r="JH70" s="46">
        <v>0</v>
      </c>
      <c r="JI70" s="46">
        <v>173117</v>
      </c>
      <c r="JJ70" s="46">
        <v>0</v>
      </c>
      <c r="JK70" s="46">
        <v>530722</v>
      </c>
      <c r="JL70" s="46">
        <v>0</v>
      </c>
      <c r="JM70" s="46">
        <v>0</v>
      </c>
      <c r="JN70" s="46">
        <v>0</v>
      </c>
      <c r="JO70" s="46">
        <v>0</v>
      </c>
      <c r="JP70" s="46">
        <v>0</v>
      </c>
      <c r="JQ70" s="46">
        <v>0</v>
      </c>
      <c r="JR70" s="46">
        <v>597675</v>
      </c>
      <c r="JS70" s="46">
        <v>0</v>
      </c>
      <c r="JT70" s="46">
        <v>0</v>
      </c>
      <c r="JU70" s="46">
        <v>0</v>
      </c>
      <c r="JV70" s="46">
        <v>0</v>
      </c>
      <c r="JW70" s="46">
        <v>0</v>
      </c>
      <c r="JX70" s="46">
        <v>0</v>
      </c>
      <c r="JY70" s="46">
        <v>0</v>
      </c>
      <c r="JZ70" s="46">
        <v>0</v>
      </c>
      <c r="KA70" s="46">
        <v>0</v>
      </c>
      <c r="KB70" s="46">
        <v>280889</v>
      </c>
      <c r="KC70" s="46">
        <v>0</v>
      </c>
      <c r="KD70" s="46">
        <v>0</v>
      </c>
      <c r="KE70" s="46">
        <v>0</v>
      </c>
      <c r="KF70" s="46">
        <v>0</v>
      </c>
      <c r="KG70" s="46">
        <v>0</v>
      </c>
      <c r="KH70" s="46">
        <v>0</v>
      </c>
      <c r="KI70" s="46">
        <v>0</v>
      </c>
      <c r="KJ70" s="46">
        <v>0</v>
      </c>
      <c r="KK70" s="46">
        <v>0</v>
      </c>
      <c r="KL70" s="46">
        <v>0</v>
      </c>
      <c r="KM70" s="46">
        <v>0</v>
      </c>
      <c r="KN70" s="46">
        <v>0</v>
      </c>
      <c r="KO70" s="46">
        <v>0</v>
      </c>
      <c r="KP70" s="46">
        <v>0</v>
      </c>
      <c r="KQ70" s="46">
        <v>0</v>
      </c>
      <c r="KR70" s="46">
        <v>6273020</v>
      </c>
      <c r="KS70" s="46">
        <v>1303157</v>
      </c>
      <c r="KT70" s="46">
        <v>-11681</v>
      </c>
      <c r="KU70" s="46">
        <v>36607</v>
      </c>
      <c r="KV70" s="46">
        <v>0</v>
      </c>
      <c r="KW70" s="46">
        <v>0</v>
      </c>
      <c r="KX70" s="46">
        <v>0</v>
      </c>
      <c r="KY70" s="46">
        <v>0</v>
      </c>
      <c r="KZ70" s="46">
        <v>0</v>
      </c>
      <c r="LA70" s="46">
        <v>477</v>
      </c>
      <c r="LB70" s="46">
        <v>-10</v>
      </c>
      <c r="LC70" s="46">
        <v>0</v>
      </c>
      <c r="LD70" s="46">
        <v>-3</v>
      </c>
      <c r="LE70" s="46">
        <v>0</v>
      </c>
      <c r="LF70" s="46">
        <v>0</v>
      </c>
      <c r="LG70" s="46">
        <v>0</v>
      </c>
      <c r="LH70" s="46">
        <v>0</v>
      </c>
      <c r="LI70" s="46">
        <v>0</v>
      </c>
      <c r="LJ70" s="46">
        <v>0</v>
      </c>
      <c r="LK70" s="46">
        <v>0</v>
      </c>
      <c r="LL70" s="46">
        <v>0</v>
      </c>
      <c r="LM70" s="46">
        <v>0</v>
      </c>
      <c r="LN70" s="46">
        <v>0</v>
      </c>
      <c r="LO70" s="46">
        <v>0</v>
      </c>
      <c r="LP70" s="46">
        <v>0</v>
      </c>
      <c r="LQ70" s="46">
        <v>0</v>
      </c>
      <c r="LR70" s="46">
        <v>0</v>
      </c>
      <c r="LS70" s="46">
        <v>0</v>
      </c>
      <c r="LT70" s="46">
        <v>0</v>
      </c>
      <c r="LU70" s="46">
        <v>0</v>
      </c>
      <c r="LV70" s="46">
        <v>0</v>
      </c>
      <c r="LW70" s="46">
        <v>0</v>
      </c>
      <c r="LX70" s="46">
        <v>0</v>
      </c>
      <c r="LY70" s="46">
        <v>0</v>
      </c>
      <c r="LZ70" s="46">
        <v>0</v>
      </c>
      <c r="MA70" s="46">
        <v>0</v>
      </c>
      <c r="MB70" s="46">
        <v>1535619</v>
      </c>
      <c r="MC70" s="46">
        <v>82493</v>
      </c>
      <c r="MD70" s="46">
        <v>3</v>
      </c>
      <c r="ME70" s="46">
        <v>144</v>
      </c>
      <c r="MF70" s="46">
        <v>0</v>
      </c>
      <c r="MG70" s="46">
        <v>0</v>
      </c>
      <c r="MH70" s="46">
        <v>0</v>
      </c>
      <c r="MI70" s="46">
        <v>0</v>
      </c>
      <c r="MJ70" s="46">
        <v>0</v>
      </c>
      <c r="MK70" s="46">
        <v>1562249</v>
      </c>
      <c r="ML70" s="46">
        <v>306561</v>
      </c>
      <c r="MM70" s="46">
        <v>2</v>
      </c>
      <c r="MN70" s="46">
        <v>972</v>
      </c>
      <c r="MO70" s="46">
        <v>0</v>
      </c>
      <c r="MP70" s="46">
        <v>0</v>
      </c>
      <c r="MQ70" s="46">
        <v>0</v>
      </c>
      <c r="MR70" s="46">
        <v>0</v>
      </c>
      <c r="MS70" s="46">
        <v>0</v>
      </c>
      <c r="MT70" s="46">
        <v>561946</v>
      </c>
      <c r="MU70" s="46">
        <v>597094</v>
      </c>
      <c r="MV70" s="46">
        <v>-15</v>
      </c>
      <c r="MW70" s="46">
        <v>-55</v>
      </c>
      <c r="MX70" s="46">
        <v>0</v>
      </c>
      <c r="MY70" s="46">
        <v>0</v>
      </c>
      <c r="MZ70" s="46">
        <v>0</v>
      </c>
      <c r="NA70" s="46">
        <v>0</v>
      </c>
      <c r="NB70" s="46">
        <v>0</v>
      </c>
      <c r="NC70" s="46">
        <v>321117</v>
      </c>
      <c r="ND70" s="46">
        <v>845228</v>
      </c>
      <c r="NE70" s="46">
        <v>1</v>
      </c>
      <c r="NF70" s="46">
        <v>-18</v>
      </c>
      <c r="NG70" s="46">
        <v>0</v>
      </c>
      <c r="NH70" s="46">
        <v>0</v>
      </c>
      <c r="NI70" s="46">
        <v>0</v>
      </c>
      <c r="NJ70" s="46">
        <v>0</v>
      </c>
      <c r="NK70" s="46">
        <v>0</v>
      </c>
      <c r="NL70" s="46">
        <v>82636</v>
      </c>
      <c r="NM70" s="46">
        <v>1396022</v>
      </c>
      <c r="NN70" s="46">
        <v>0</v>
      </c>
      <c r="NO70" s="46">
        <v>1345295</v>
      </c>
      <c r="NP70" s="46">
        <v>0</v>
      </c>
      <c r="NQ70" s="46">
        <v>0</v>
      </c>
      <c r="NR70" s="46">
        <v>0</v>
      </c>
      <c r="NS70" s="46">
        <v>0</v>
      </c>
      <c r="NT70" s="46">
        <v>0</v>
      </c>
      <c r="NU70" s="46">
        <v>955</v>
      </c>
      <c r="NV70" s="46">
        <v>-7634</v>
      </c>
      <c r="NW70" s="46">
        <v>329515</v>
      </c>
      <c r="NX70" s="46">
        <v>-5</v>
      </c>
      <c r="NY70" s="46">
        <v>0</v>
      </c>
      <c r="NZ70" s="46">
        <v>0</v>
      </c>
      <c r="OA70" s="46">
        <v>0</v>
      </c>
      <c r="OB70" s="46">
        <v>0</v>
      </c>
      <c r="OC70" s="46">
        <v>0</v>
      </c>
      <c r="OD70" s="46">
        <v>0</v>
      </c>
      <c r="OE70" s="46">
        <v>244686</v>
      </c>
      <c r="OF70" s="46">
        <v>0</v>
      </c>
      <c r="OG70" s="46">
        <v>0</v>
      </c>
      <c r="OH70" s="46">
        <v>0</v>
      </c>
      <c r="OI70" s="46">
        <v>0</v>
      </c>
      <c r="OJ70" s="46">
        <v>0</v>
      </c>
      <c r="OK70" s="46">
        <v>0</v>
      </c>
      <c r="OL70" s="46">
        <v>0</v>
      </c>
      <c r="OM70" s="46">
        <v>0</v>
      </c>
      <c r="ON70" s="46">
        <v>0</v>
      </c>
      <c r="OO70" s="46">
        <v>0</v>
      </c>
      <c r="OP70" s="46">
        <v>0</v>
      </c>
      <c r="OQ70" s="46">
        <v>0</v>
      </c>
      <c r="OR70" s="46">
        <v>0</v>
      </c>
      <c r="OS70" s="46">
        <v>1133428</v>
      </c>
      <c r="OT70" s="46">
        <v>0</v>
      </c>
      <c r="OU70" s="46">
        <v>1300</v>
      </c>
      <c r="OV70" s="46">
        <v>0</v>
      </c>
      <c r="OW70" s="46">
        <v>0</v>
      </c>
      <c r="OX70" s="46">
        <v>0</v>
      </c>
      <c r="OY70" s="46">
        <v>0</v>
      </c>
      <c r="OZ70" s="46">
        <v>0</v>
      </c>
      <c r="PA70" s="46">
        <v>0</v>
      </c>
      <c r="PB70" s="46">
        <v>0</v>
      </c>
      <c r="PC70" s="46">
        <v>0</v>
      </c>
      <c r="PD70" s="46">
        <v>0</v>
      </c>
      <c r="PE70" s="46">
        <v>-4909259</v>
      </c>
      <c r="PF70" s="46">
        <v>2185786</v>
      </c>
      <c r="PG70" s="46">
        <v>63117</v>
      </c>
      <c r="PH70" s="46">
        <v>-3643255</v>
      </c>
      <c r="PI70" s="46">
        <v>0</v>
      </c>
      <c r="PJ70" s="46">
        <v>0</v>
      </c>
      <c r="PK70" s="46">
        <v>32138269</v>
      </c>
      <c r="PL70" s="46">
        <v>3802216</v>
      </c>
      <c r="PM70" s="46">
        <v>-28969735</v>
      </c>
      <c r="PN70" s="46">
        <v>0</v>
      </c>
      <c r="PO70" s="46">
        <v>0</v>
      </c>
      <c r="PP70" s="46">
        <v>0</v>
      </c>
      <c r="PQ70" s="46">
        <v>0</v>
      </c>
      <c r="PR70" s="46">
        <v>0</v>
      </c>
      <c r="PS70" s="46">
        <v>0</v>
      </c>
      <c r="PT70" s="46">
        <v>0</v>
      </c>
      <c r="PU70" s="46">
        <v>0</v>
      </c>
      <c r="PV70" s="46">
        <v>0</v>
      </c>
      <c r="PW70" s="46">
        <v>0</v>
      </c>
      <c r="PX70" s="46">
        <v>0</v>
      </c>
      <c r="PY70" s="46">
        <v>0</v>
      </c>
      <c r="PZ70" s="46">
        <v>0</v>
      </c>
      <c r="QA70" s="46">
        <v>0</v>
      </c>
      <c r="QB70" s="46">
        <v>0</v>
      </c>
      <c r="QC70" s="46">
        <v>61666</v>
      </c>
      <c r="QD70" s="46">
        <v>-6554213</v>
      </c>
      <c r="QE70" s="46">
        <v>2834396</v>
      </c>
      <c r="QF70" s="46">
        <v>0</v>
      </c>
      <c r="QG70" s="46">
        <v>0</v>
      </c>
      <c r="QH70" s="46">
        <v>0</v>
      </c>
      <c r="QI70" s="46">
        <v>0</v>
      </c>
      <c r="QJ70" s="46">
        <v>0</v>
      </c>
      <c r="QK70" s="46">
        <v>0</v>
      </c>
      <c r="QL70" s="46">
        <v>0</v>
      </c>
      <c r="QM70" s="46">
        <v>0</v>
      </c>
      <c r="QN70" s="46">
        <v>0</v>
      </c>
      <c r="QO70" s="46">
        <v>0</v>
      </c>
      <c r="QP70" s="46">
        <v>0</v>
      </c>
      <c r="QQ70" s="46">
        <v>0</v>
      </c>
      <c r="QR70" s="46">
        <v>0</v>
      </c>
      <c r="QS70" s="46">
        <v>0</v>
      </c>
      <c r="QT70" s="46">
        <v>0</v>
      </c>
      <c r="QU70" s="46">
        <v>0</v>
      </c>
      <c r="QV70" s="46">
        <v>0</v>
      </c>
      <c r="QW70" s="46">
        <v>0</v>
      </c>
      <c r="QX70" s="46">
        <v>0</v>
      </c>
      <c r="QY70" s="46">
        <v>0</v>
      </c>
      <c r="QZ70" s="46">
        <v>0</v>
      </c>
      <c r="RA70" s="46">
        <v>0</v>
      </c>
      <c r="RB70" s="46">
        <v>0</v>
      </c>
      <c r="RC70" s="46">
        <v>0</v>
      </c>
      <c r="RD70" s="46">
        <v>0</v>
      </c>
      <c r="RE70" s="46">
        <v>0</v>
      </c>
      <c r="RF70" s="46">
        <v>0</v>
      </c>
      <c r="RG70" s="46">
        <v>0</v>
      </c>
      <c r="RH70" s="46">
        <v>0</v>
      </c>
      <c r="RI70" s="46">
        <v>0</v>
      </c>
      <c r="RJ70" s="46">
        <v>0</v>
      </c>
      <c r="RK70" s="46">
        <v>0</v>
      </c>
      <c r="RL70" s="46">
        <v>0</v>
      </c>
      <c r="RM70" s="46">
        <v>0</v>
      </c>
      <c r="RN70" s="46">
        <v>0</v>
      </c>
      <c r="RO70" s="46">
        <v>-2695740</v>
      </c>
      <c r="RP70" s="46">
        <v>0</v>
      </c>
      <c r="RQ70" s="46">
        <v>0</v>
      </c>
      <c r="RR70" s="46">
        <v>0</v>
      </c>
      <c r="RS70" s="46">
        <v>0</v>
      </c>
      <c r="RT70" s="46">
        <v>0</v>
      </c>
      <c r="RU70" s="46">
        <v>0</v>
      </c>
      <c r="RV70" s="46">
        <v>0</v>
      </c>
      <c r="RW70" s="46">
        <v>0</v>
      </c>
      <c r="RX70" s="46">
        <v>0</v>
      </c>
      <c r="RY70" s="46">
        <v>0</v>
      </c>
      <c r="RZ70" s="46">
        <v>0</v>
      </c>
      <c r="SA70" s="46">
        <v>0</v>
      </c>
      <c r="SB70" s="46">
        <v>0</v>
      </c>
      <c r="SC70" s="46">
        <v>0</v>
      </c>
      <c r="SD70" s="46">
        <v>0</v>
      </c>
      <c r="SE70" s="46">
        <v>0</v>
      </c>
      <c r="SF70" s="46">
        <v>0</v>
      </c>
      <c r="SG70" s="46">
        <v>0</v>
      </c>
      <c r="SH70" s="46">
        <v>0</v>
      </c>
      <c r="SI70" s="46">
        <v>0</v>
      </c>
      <c r="SJ70" s="46">
        <v>0</v>
      </c>
      <c r="SK70" s="46">
        <v>0</v>
      </c>
      <c r="SL70" s="46">
        <v>0</v>
      </c>
      <c r="SM70" s="46">
        <v>0</v>
      </c>
      <c r="SN70" s="46">
        <v>0</v>
      </c>
      <c r="SO70" s="46">
        <v>0</v>
      </c>
      <c r="SP70" s="46">
        <v>60000</v>
      </c>
      <c r="SQ70" s="46">
        <v>0</v>
      </c>
      <c r="SR70" s="46">
        <v>244686</v>
      </c>
      <c r="SS70" s="46">
        <v>0</v>
      </c>
      <c r="ST70" s="46">
        <v>0</v>
      </c>
      <c r="SU70" s="46">
        <v>0</v>
      </c>
      <c r="SV70" s="46">
        <v>0</v>
      </c>
      <c r="SW70" s="46">
        <v>0</v>
      </c>
      <c r="SX70" s="46">
        <v>0</v>
      </c>
      <c r="SY70" s="46">
        <v>0</v>
      </c>
      <c r="SZ70" s="46">
        <v>214800</v>
      </c>
      <c r="TA70" s="46">
        <v>0</v>
      </c>
      <c r="TB70" s="46">
        <v>0</v>
      </c>
      <c r="TC70" s="46">
        <v>0</v>
      </c>
      <c r="TD70" s="46">
        <v>0</v>
      </c>
      <c r="TE70" s="46">
        <v>0</v>
      </c>
      <c r="TF70" s="46">
        <v>0</v>
      </c>
      <c r="TG70" s="46">
        <v>29886</v>
      </c>
      <c r="TH70" s="46">
        <v>0</v>
      </c>
      <c r="TI70" s="46">
        <v>0</v>
      </c>
      <c r="TJ70" s="46">
        <v>0</v>
      </c>
      <c r="TK70" s="46">
        <v>0</v>
      </c>
      <c r="TL70" s="46">
        <v>0</v>
      </c>
      <c r="TM70" s="46">
        <v>0</v>
      </c>
      <c r="TN70" s="46">
        <v>0</v>
      </c>
      <c r="TO70" s="46">
        <v>0</v>
      </c>
      <c r="TP70" s="46">
        <v>0</v>
      </c>
      <c r="TQ70" s="46">
        <v>0</v>
      </c>
      <c r="TR70" s="46">
        <v>0</v>
      </c>
      <c r="TS70" s="46">
        <v>0</v>
      </c>
      <c r="TT70" s="46">
        <v>0</v>
      </c>
      <c r="TU70" s="46">
        <v>0</v>
      </c>
      <c r="TV70" s="46">
        <v>0</v>
      </c>
      <c r="TW70" s="46">
        <v>0</v>
      </c>
      <c r="TX70" s="46">
        <v>0</v>
      </c>
      <c r="TY70" s="46">
        <v>0</v>
      </c>
      <c r="TZ70" s="46">
        <v>0</v>
      </c>
      <c r="UA70" s="46">
        <v>0</v>
      </c>
      <c r="UB70" s="46">
        <v>0</v>
      </c>
      <c r="UC70" s="46">
        <v>0</v>
      </c>
      <c r="UD70" s="46">
        <v>0</v>
      </c>
      <c r="UE70" s="46">
        <v>7601103</v>
      </c>
      <c r="UF70" s="46">
        <v>464</v>
      </c>
      <c r="UG70" s="46">
        <v>0</v>
      </c>
      <c r="UH70" s="46">
        <v>0</v>
      </c>
      <c r="UI70" s="46">
        <v>1618259</v>
      </c>
      <c r="UJ70" s="46">
        <v>1869784</v>
      </c>
      <c r="UK70" s="46">
        <v>1158970</v>
      </c>
      <c r="UL70" s="46">
        <v>1166328</v>
      </c>
      <c r="UM70" s="46">
        <v>2823953</v>
      </c>
      <c r="UN70" s="46">
        <v>322831</v>
      </c>
      <c r="UO7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244686</v>
      </c>
      <c r="UP70" s="46">
        <f>SUM(Input[[#This Row],[Oth Exp E&amp;G]],Input[[#This Row],[Oth Exp Desg]],Input[[#This Row],[Oth Exp Aux]],Input[[#This Row],[Oth Exp R Exp]],Input[[#This Row],[Oth Exp Loan]],Input[[#This Row],[Oth Exp Annuity]],Input[[#This Row],[Oth Exp Unexp]],Input[[#This Row],[Oth Exp R of Ind]],Input[[#This Row],[Oth Exp Inv in P]])</f>
        <v>1134728</v>
      </c>
      <c r="UQ70" s="46"/>
      <c r="UR70" s="46"/>
      <c r="US70" s="8" t="s">
        <v>808</v>
      </c>
      <c r="UT70" s="47">
        <v>2548673931</v>
      </c>
      <c r="UU70" s="8" t="s">
        <v>96</v>
      </c>
      <c r="UV70" s="8" t="s">
        <v>809</v>
      </c>
      <c r="UW70" s="47">
        <v>9563644058</v>
      </c>
      <c r="UX70" s="8" t="s">
        <v>810</v>
      </c>
      <c r="UY70" s="51" cm="1">
        <f t="array" ref="UY70">IFERROR(_xlfn.IFS(Input[[#This Row],[Type]]="HRI",SUMIFS('FTSE | FTFE'!$P$8:$P$77,'FTSE | FTFE'!$H$8:$H$77,A70),Input[[#This Row],[Type]]="UNIV",SUMIFS('FTSE | FTFE'!$P$104:$P$139,'FTSE | FTFE'!$H$104:$H$139,A70),OR(Input[[#This Row],[Type]]="TSTC",Input[[#This Row],[Type]]="LSC"),SUMIFS('FTSE | FTFE'!$O$88:$O$96,'FTSE | FTFE'!$H$88:$H$96,A70),Input[[#This Row],[Type]]="AHM",SUMIFS(Hidden!$H$42:$H$45,Hidden!$G$42:$G$45,A70)),"N/A")</f>
        <v>758</v>
      </c>
      <c r="UZ70" s="51" cm="1">
        <f t="array" ref="UZ70">IFERROR(_xlfn.IFS(Input[[#This Row],[Type]]="HRI",SUMIFS('FTSE | FTFE'!$Q$8:$Q$77,'FTSE | FTFE'!$H$8:$H$77,A70),Input[[#This Row],[Type]]="UNIV",SUMIFS('FTSE | FTFE'!$Q$104:$Q$139,'FTSE | FTFE'!$H$104:$H$139,A70),OR(Input[[#This Row],[Type]]="TSTC",Input[[#This Row],[Type]]="LSC"),SUMIFS('FTSE | FTFE'!$P$88:$P$96,'FTSE | FTFE'!$H$88:$H$96,A70)),"N/A")</f>
        <v>35.17</v>
      </c>
      <c r="VA7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13467972</v>
      </c>
      <c r="VB7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591695</v>
      </c>
      <c r="VC70" s="46">
        <f>SUM(Input[[#This Row],[Fed G&amp;C E&amp;G]],Input[[#This Row],[Fed G&amp;C Desg]],Input[[#This Row],[Fed G&amp;C R Exp]],Input[[#This Row],[Fed G&amp;C Loan]],Input[[#This Row],[Fed G&amp;C Annuity]],Input[[#This Row],[Fed G&amp;C Unexp]],Input[[#This Row],[Fed G&amp;C R of Ind]],Input[[#This Row],[Fed G&amp;C Inv in P]])</f>
        <v>1160944</v>
      </c>
      <c r="VD7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1301514</v>
      </c>
      <c r="VE7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2656412</v>
      </c>
      <c r="VF7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0" s="46">
        <f>SUM(Input[[#This Row],[Oth Inc E&amp;G]],Input[[#This Row],[Oth Exp Desg]],Input[[#This Row],[Oth Exp R Exp]],Input[[#This Row],[Oth Exp Loan]],Input[[#This Row],[Oth Exp Annuity]],Input[[#This Row],[Oth Exp Unexp]],Input[[#This Row],[Oth Exp R of Ind]],Input[[#This Row],[Oth Exp Inv in P]])</f>
        <v>1134728</v>
      </c>
      <c r="VH70" s="46">
        <f>SUM(Input[[#This Row],[Instr E&amp;G]],Input[[#This Row],[Instr Desg]],Input[[#This Row],[Instr R Exp]],Input[[#This Row],[Instr Loan]],Input[[#This Row],[Instr Annuity]],Input[[#This Row],[Instr Unexp]],Input[[#This Row],[Instr R of Ind]],Input[[#This Row],[Instr Inv in P]])</f>
        <v>7612784</v>
      </c>
      <c r="VI70" s="46">
        <f>SUM(Input[[#This Row],[Res E&amp;G]],Input[[#This Row],[Res Desg]],Input[[#This Row],[Res R Exp]],Input[[#This Row],[Res Loan]],Input[[#This Row],[Res Annuity]],Input[[#This Row],[Res Unexp]],Input[[#This Row],[Res R of Ind]],Input[[#This Row],[Res Inv in P]])</f>
        <v>464</v>
      </c>
      <c r="VJ70" s="46">
        <f>SUM(Input[[#This Row],[Acad Sup E&amp;G]],Input[[#This Row],[Acad Sup Desg]],Input[[#This Row],[Acad Sup R Exp]],Input[[#This Row],[Acad Sup Loan]],Input[[#This Row],[Acad Sup Annuity]],Input[[#This Row],[Acad Sup Unexp]],Input[[#This Row],[Acad Sup R of Ind]],Input[[#This Row],[Acad Sup Inv in P]])</f>
        <v>1618256</v>
      </c>
      <c r="VK70" s="46">
        <f>SUM(Input[[#This Row],[Stu Svc E&amp;G]],Input[[#This Row],[Stu Svc Desg]],Input[[#This Row],[Stu Svc R Exp]],Input[[#This Row],[Stu Svc Loan]],Input[[#This Row],[Stu Svc Annuity]],Input[[#This Row],[Stu Svc Unexp]],Input[[#This Row],[Stu Svc R of Ind]],Input[[#This Row],[Stu Svc Inv in P]])</f>
        <v>1869782</v>
      </c>
      <c r="VL70" s="46">
        <f>SUM(Input[[#This Row],[Inst. Spt E&amp;G]],Input[[#This Row],[Inst. Spt Desg]],Input[[#This Row],[Inst. Spt R Exp]],Input[[#This Row],[Inst. Spt Loan]],Input[[#This Row],[Inst. Spt Annuity]],Input[[#This Row],[Inst. Spt Unexp]],Input[[#This Row],[Inst. Spt R of Ind]],Input[[#This Row],[Inst. Spt Inv in P]])</f>
        <v>1158985</v>
      </c>
      <c r="VM70" s="46">
        <f>SUM(Input[[#This Row],[M&amp;O Plnt E&amp;G]],Input[[#This Row],[M&amp;O Plnt Desg]],Input[[#This Row],[M&amp;O Plnt R Exp]],Input[[#This Row],[M&amp;O Plnt Loan]],Input[[#This Row],[M&amp;O Plnt Annuity]],Input[[#This Row],[M&amp;O Plnt Unexp]],Input[[#This Row],[M&amp;O Plnt R of Ind]],Input[[#This Row],[M&amp;O Plnt Inv in P]])</f>
        <v>1166327</v>
      </c>
      <c r="VN70" s="46">
        <f>SUM(Input[[#This Row],[Schl &amp; Fell E&amp;G]],Input[[#This Row],[Schl &amp; Fell Desg]],Input[[#This Row],[Schl &amp; Fell R Exp]],Input[[#This Row],[Schl &amp; Fell Loan]],Input[[#This Row],[Schl &amp; Fell Annuity]],Input[[#This Row],[Schl &amp; Fell Unexp]],Input[[#This Row],[Schl &amp; Fell R of Ind]],Input[[#This Row],[Schl &amp; Fell Inv in P]])</f>
        <v>2823953</v>
      </c>
      <c r="VO70" s="46">
        <f>SUM(Input[[#This Row],[Cap Out fund E&amp;G]],Input[[#This Row],[Cap Out fund Desg]],Input[[#This Row],[Cap Out fund R Exp]],Input[[#This Row],[Cap Out fund Loan]],Input[[#This Row],[Cap Out fund Annuity]],Input[[#This Row],[Cap Out fund Unexp]],Input[[#This Row],[Cap Out fund R of Ind]],Input[[#This Row],[Cap Out fund Inv in P]])</f>
        <v>244686</v>
      </c>
      <c r="VP70" s="46">
        <f>SUM(Input[[#This Row],[Oth Exp E&amp;G]],Input[[#This Row],[Oth Exp Desg]],Input[[#This Row],[Oth Exp R Exp]],Input[[#This Row],[Oth Exp Loan]],Input[[#This Row],[Oth Exp Annuity]],Input[[#This Row],[Oth Exp Unexp]],Input[[#This Row],[Oth Exp R of Ind]],Input[[#This Row],[Oth Exp Inv in P]],Input[[#This Row],[Oth Exp Inv in P]])</f>
        <v>1136028</v>
      </c>
    </row>
    <row r="71" spans="1:588" ht="30" customHeight="1" x14ac:dyDescent="0.3">
      <c r="A71" s="15" t="s">
        <v>49</v>
      </c>
      <c r="B71" s="36" t="s">
        <v>121</v>
      </c>
      <c r="C71" s="36" t="s">
        <v>121</v>
      </c>
      <c r="D71" s="36">
        <v>1006</v>
      </c>
      <c r="E71" s="36" t="s">
        <v>132</v>
      </c>
      <c r="F71" s="95" cm="1">
        <f t="array" ref="F71">IFERROR(_xlfn.IFS(Input[[#This Row],[Type]]="HRI",SUMIFS('FTSE | FTFE'!$I$8:$I$77,'FTSE | FTFE'!$H$8:$H$77,A71),Input[[#This Row],[Type]]="UNIV",SUMIFS('FTSE | FTFE'!$I$104:$I$139,'FTSE | FTFE'!$H$104:$H$139,A71),OR(Input[[#This Row],[Type]]="TSTC",Input[[#This Row],[Type]]="LSC"),SUMIFS('FTSE | FTFE'!$I$88:$I$96,'FTSE | FTFE'!$H$88:$H$96,A71)),"N/A")</f>
        <v>133965</v>
      </c>
      <c r="G71" s="46">
        <v>8469740</v>
      </c>
      <c r="H71" s="46">
        <v>0</v>
      </c>
      <c r="I71" s="46">
        <v>0</v>
      </c>
      <c r="J71" s="46">
        <v>0</v>
      </c>
      <c r="K71" s="46">
        <v>0</v>
      </c>
      <c r="L71" s="46">
        <v>0</v>
      </c>
      <c r="M71" s="46">
        <v>0</v>
      </c>
      <c r="N71" s="46">
        <v>0</v>
      </c>
      <c r="O71" s="46">
        <v>0</v>
      </c>
      <c r="P71" s="46">
        <v>0</v>
      </c>
      <c r="Q71" s="46">
        <v>0</v>
      </c>
      <c r="R71" s="46">
        <v>0</v>
      </c>
      <c r="S71" s="46">
        <v>0</v>
      </c>
      <c r="T71" s="46">
        <v>0</v>
      </c>
      <c r="U71" s="46">
        <v>0</v>
      </c>
      <c r="V71" s="46">
        <v>0</v>
      </c>
      <c r="W71" s="46">
        <v>0</v>
      </c>
      <c r="X71" s="46">
        <v>0</v>
      </c>
      <c r="Y71" s="46">
        <v>0</v>
      </c>
      <c r="Z71" s="46">
        <v>0</v>
      </c>
      <c r="AA71" s="46">
        <v>0</v>
      </c>
      <c r="AB71" s="46">
        <v>0</v>
      </c>
      <c r="AC71" s="46">
        <v>0</v>
      </c>
      <c r="AD71" s="46">
        <v>0</v>
      </c>
      <c r="AE71" s="46">
        <v>0</v>
      </c>
      <c r="AF71" s="46">
        <v>0</v>
      </c>
      <c r="AG71" s="46">
        <v>0</v>
      </c>
      <c r="AH71" s="46">
        <v>0</v>
      </c>
      <c r="AI71" s="46">
        <v>0</v>
      </c>
      <c r="AJ71" s="46">
        <v>0</v>
      </c>
      <c r="AK71" s="46">
        <v>0</v>
      </c>
      <c r="AL71" s="46">
        <v>0</v>
      </c>
      <c r="AM71" s="46">
        <v>0</v>
      </c>
      <c r="AN71" s="46">
        <v>0</v>
      </c>
      <c r="AO71" s="46">
        <v>0</v>
      </c>
      <c r="AP71" s="46">
        <v>0</v>
      </c>
      <c r="AQ71" s="46">
        <v>-17094</v>
      </c>
      <c r="AR71" s="46">
        <v>0</v>
      </c>
      <c r="AS71" s="46">
        <v>0</v>
      </c>
      <c r="AT71" s="46">
        <v>0</v>
      </c>
      <c r="AU71" s="46">
        <v>0</v>
      </c>
      <c r="AV71" s="46">
        <v>0</v>
      </c>
      <c r="AW71" s="46">
        <v>0</v>
      </c>
      <c r="AX71" s="46">
        <v>0</v>
      </c>
      <c r="AY71" s="46">
        <v>0</v>
      </c>
      <c r="AZ71" s="46">
        <v>0</v>
      </c>
      <c r="BA71" s="46">
        <v>0</v>
      </c>
      <c r="BB71" s="46">
        <v>0</v>
      </c>
      <c r="BC71" s="46">
        <v>0</v>
      </c>
      <c r="BD71" s="46">
        <v>0</v>
      </c>
      <c r="BE71" s="46">
        <v>0</v>
      </c>
      <c r="BF71" s="46">
        <v>0</v>
      </c>
      <c r="BG71" s="46">
        <v>0</v>
      </c>
      <c r="BH71" s="46">
        <v>0</v>
      </c>
      <c r="BI71" s="46">
        <v>0</v>
      </c>
      <c r="BJ71" s="46">
        <v>0</v>
      </c>
      <c r="BK71" s="46">
        <v>0</v>
      </c>
      <c r="BL71" s="46">
        <v>0</v>
      </c>
      <c r="BM71" s="46">
        <v>0</v>
      </c>
      <c r="BN71" s="46">
        <v>0</v>
      </c>
      <c r="BO71" s="46">
        <v>0</v>
      </c>
      <c r="BP71" s="46">
        <v>0</v>
      </c>
      <c r="BQ71" s="46">
        <v>0</v>
      </c>
      <c r="BR71" s="46">
        <v>0</v>
      </c>
      <c r="BS71" s="46">
        <v>0</v>
      </c>
      <c r="BT71" s="46">
        <v>0</v>
      </c>
      <c r="BU71" s="46">
        <v>0</v>
      </c>
      <c r="BV71" s="46">
        <v>0</v>
      </c>
      <c r="BW71" s="46">
        <v>0</v>
      </c>
      <c r="BX71" s="46">
        <v>0</v>
      </c>
      <c r="BY71" s="46">
        <v>0</v>
      </c>
      <c r="BZ71" s="46">
        <v>0</v>
      </c>
      <c r="CA71" s="46">
        <v>378134</v>
      </c>
      <c r="CB71" s="46">
        <v>2494022</v>
      </c>
      <c r="CC71" s="46">
        <v>0</v>
      </c>
      <c r="CD71" s="46">
        <v>0</v>
      </c>
      <c r="CE71" s="46">
        <v>0</v>
      </c>
      <c r="CF71" s="46">
        <v>0</v>
      </c>
      <c r="CG71" s="46">
        <v>0</v>
      </c>
      <c r="CH71" s="46">
        <v>0</v>
      </c>
      <c r="CI71" s="46">
        <v>0</v>
      </c>
      <c r="CJ71" s="46">
        <v>0</v>
      </c>
      <c r="CK71" s="46">
        <v>0</v>
      </c>
      <c r="CL71" s="46">
        <v>0</v>
      </c>
      <c r="CM71" s="46">
        <v>0</v>
      </c>
      <c r="CN71" s="46">
        <v>0</v>
      </c>
      <c r="CO71" s="46">
        <v>0</v>
      </c>
      <c r="CP71" s="46">
        <v>0</v>
      </c>
      <c r="CQ71" s="46">
        <v>0</v>
      </c>
      <c r="CR71" s="46">
        <v>0</v>
      </c>
      <c r="CS71" s="46">
        <v>0</v>
      </c>
      <c r="CT71" s="46">
        <v>0</v>
      </c>
      <c r="CU71" s="46">
        <v>0</v>
      </c>
      <c r="CV71" s="46">
        <v>0</v>
      </c>
      <c r="CW71" s="46">
        <v>0</v>
      </c>
      <c r="CX71" s="46">
        <v>0</v>
      </c>
      <c r="CY71" s="46">
        <v>0</v>
      </c>
      <c r="CZ71" s="46">
        <v>0</v>
      </c>
      <c r="DA71" s="46">
        <v>0</v>
      </c>
      <c r="DB71" s="46">
        <v>-90693</v>
      </c>
      <c r="DC71" s="46">
        <v>0</v>
      </c>
      <c r="DD71" s="46">
        <v>0</v>
      </c>
      <c r="DE71" s="46">
        <v>0</v>
      </c>
      <c r="DF71" s="46">
        <v>0</v>
      </c>
      <c r="DG71" s="46">
        <v>0</v>
      </c>
      <c r="DH71" s="46">
        <v>0</v>
      </c>
      <c r="DI71" s="46">
        <v>0</v>
      </c>
      <c r="DJ71" s="46">
        <v>0</v>
      </c>
      <c r="DK71" s="46">
        <v>0</v>
      </c>
      <c r="DL71" s="46">
        <v>-349128</v>
      </c>
      <c r="DM71" s="46">
        <v>0</v>
      </c>
      <c r="DN71" s="46">
        <v>0</v>
      </c>
      <c r="DO71" s="46">
        <v>0</v>
      </c>
      <c r="DP71" s="46">
        <v>0</v>
      </c>
      <c r="DQ71" s="46">
        <v>0</v>
      </c>
      <c r="DR71" s="46">
        <v>0</v>
      </c>
      <c r="DS71" s="46">
        <v>0</v>
      </c>
      <c r="DT71" s="46">
        <v>-35307</v>
      </c>
      <c r="DU71" s="46">
        <v>-993869</v>
      </c>
      <c r="DV71" s="46">
        <v>0</v>
      </c>
      <c r="DW71" s="46">
        <v>0</v>
      </c>
      <c r="DX71" s="46">
        <v>0</v>
      </c>
      <c r="DY71" s="46">
        <v>0</v>
      </c>
      <c r="DZ71" s="46">
        <v>0</v>
      </c>
      <c r="EA71" s="46">
        <v>0</v>
      </c>
      <c r="EB71" s="46">
        <v>0</v>
      </c>
      <c r="EC71" s="46">
        <v>0</v>
      </c>
      <c r="ED71" s="46">
        <v>0</v>
      </c>
      <c r="EE71" s="46">
        <v>0</v>
      </c>
      <c r="EF71" s="46">
        <v>0</v>
      </c>
      <c r="EG71" s="46">
        <v>0</v>
      </c>
      <c r="EH71" s="46">
        <v>0</v>
      </c>
      <c r="EI71" s="46">
        <v>0</v>
      </c>
      <c r="EJ71" s="46">
        <v>0</v>
      </c>
      <c r="EK71" s="46">
        <v>0</v>
      </c>
      <c r="EL71" s="46">
        <v>0</v>
      </c>
      <c r="EM71" s="46">
        <v>0</v>
      </c>
      <c r="EN71" s="46">
        <v>0</v>
      </c>
      <c r="EO71" s="46">
        <v>0</v>
      </c>
      <c r="EP71" s="46">
        <v>0</v>
      </c>
      <c r="EQ71" s="46">
        <v>0</v>
      </c>
      <c r="ER71" s="46">
        <v>0</v>
      </c>
      <c r="ES71" s="46">
        <v>0</v>
      </c>
      <c r="ET71" s="46">
        <v>0</v>
      </c>
      <c r="EU71" s="46">
        <v>0</v>
      </c>
      <c r="EV71" s="46">
        <v>0</v>
      </c>
      <c r="EW71" s="46">
        <v>0</v>
      </c>
      <c r="EX71" s="46">
        <v>0</v>
      </c>
      <c r="EY71" s="46">
        <v>0</v>
      </c>
      <c r="EZ71" s="46">
        <v>0</v>
      </c>
      <c r="FA71" s="46">
        <v>0</v>
      </c>
      <c r="FB71" s="46">
        <v>0</v>
      </c>
      <c r="FC71" s="46">
        <v>0</v>
      </c>
      <c r="FD71" s="46">
        <v>0</v>
      </c>
      <c r="FE71" s="46">
        <v>0</v>
      </c>
      <c r="FF71" s="46">
        <v>0</v>
      </c>
      <c r="FG71" s="46">
        <v>0</v>
      </c>
      <c r="FH71" s="46">
        <v>0</v>
      </c>
      <c r="FI71" s="46">
        <v>0</v>
      </c>
      <c r="FJ71" s="46">
        <v>0</v>
      </c>
      <c r="FK71" s="46">
        <v>0</v>
      </c>
      <c r="FL71" s="46">
        <v>0</v>
      </c>
      <c r="FM71" s="46">
        <v>0</v>
      </c>
      <c r="FN71" s="46">
        <v>0</v>
      </c>
      <c r="FO71" s="46">
        <v>0</v>
      </c>
      <c r="FP71" s="46">
        <v>0</v>
      </c>
      <c r="FQ71" s="46">
        <v>0</v>
      </c>
      <c r="FR71" s="46">
        <v>0</v>
      </c>
      <c r="FS71" s="46">
        <v>0</v>
      </c>
      <c r="FT71" s="46">
        <v>0</v>
      </c>
      <c r="FU71" s="46">
        <v>0</v>
      </c>
      <c r="FV71" s="46">
        <v>0</v>
      </c>
      <c r="FW71" s="46">
        <v>0</v>
      </c>
      <c r="FX71" s="46">
        <v>0</v>
      </c>
      <c r="FY71" s="46">
        <v>0</v>
      </c>
      <c r="FZ71" s="46">
        <v>0</v>
      </c>
      <c r="GA71" s="46">
        <v>0</v>
      </c>
      <c r="GB71" s="46">
        <v>0</v>
      </c>
      <c r="GC71" s="46">
        <v>0</v>
      </c>
      <c r="GD71" s="46">
        <v>0</v>
      </c>
      <c r="GE71" s="46">
        <v>0</v>
      </c>
      <c r="GF71" s="46">
        <v>0</v>
      </c>
      <c r="GG71" s="46">
        <v>0</v>
      </c>
      <c r="GH71" s="46">
        <v>0</v>
      </c>
      <c r="GI71" s="46">
        <v>0</v>
      </c>
      <c r="GJ71" s="46">
        <v>0</v>
      </c>
      <c r="GK71" s="46">
        <v>0</v>
      </c>
      <c r="GL71" s="46">
        <v>0</v>
      </c>
      <c r="GM71" s="46">
        <v>0</v>
      </c>
      <c r="GN71" s="46">
        <v>0</v>
      </c>
      <c r="GO71" s="46">
        <v>0</v>
      </c>
      <c r="GP71" s="46">
        <v>0</v>
      </c>
      <c r="GQ71" s="46">
        <v>0</v>
      </c>
      <c r="GR71" s="46">
        <v>0</v>
      </c>
      <c r="GS71" s="46">
        <v>0</v>
      </c>
      <c r="GT71" s="46">
        <v>0</v>
      </c>
      <c r="GU71" s="46">
        <v>0</v>
      </c>
      <c r="GV71" s="46">
        <v>0</v>
      </c>
      <c r="GW71" s="46">
        <v>0</v>
      </c>
      <c r="GX71" s="46">
        <v>0</v>
      </c>
      <c r="GY71" s="46">
        <v>0</v>
      </c>
      <c r="GZ71" s="46">
        <v>0</v>
      </c>
      <c r="HA71" s="46">
        <v>0</v>
      </c>
      <c r="HB71" s="46">
        <v>0</v>
      </c>
      <c r="HC71" s="46">
        <v>0</v>
      </c>
      <c r="HD71" s="46">
        <v>0</v>
      </c>
      <c r="HE71" s="46">
        <v>0</v>
      </c>
      <c r="HF71" s="46">
        <v>0</v>
      </c>
      <c r="HG71" s="46">
        <v>0</v>
      </c>
      <c r="HH71" s="46">
        <v>0</v>
      </c>
      <c r="HI71" s="46">
        <v>0</v>
      </c>
      <c r="HJ71" s="46">
        <v>0</v>
      </c>
      <c r="HK71" s="46">
        <v>0</v>
      </c>
      <c r="HL71" s="46">
        <v>0</v>
      </c>
      <c r="HM71" s="46">
        <v>0</v>
      </c>
      <c r="HN71" s="46">
        <v>0</v>
      </c>
      <c r="HO71" s="46">
        <v>0</v>
      </c>
      <c r="HP71" s="46">
        <v>0</v>
      </c>
      <c r="HQ71" s="46">
        <v>0</v>
      </c>
      <c r="HR71" s="46">
        <v>747666</v>
      </c>
      <c r="HS71" s="46">
        <v>0</v>
      </c>
      <c r="HT71" s="46">
        <v>0</v>
      </c>
      <c r="HU71" s="46">
        <v>0</v>
      </c>
      <c r="HV71" s="46">
        <v>0</v>
      </c>
      <c r="HW71" s="46">
        <v>0</v>
      </c>
      <c r="HX71" s="46">
        <v>0</v>
      </c>
      <c r="HY71" s="46">
        <v>0</v>
      </c>
      <c r="HZ71" s="46">
        <v>0</v>
      </c>
      <c r="IA71" s="46">
        <v>0</v>
      </c>
      <c r="IB71" s="46">
        <v>0</v>
      </c>
      <c r="IC71" s="46">
        <v>0</v>
      </c>
      <c r="ID71" s="46">
        <v>0</v>
      </c>
      <c r="IE71" s="46">
        <v>0</v>
      </c>
      <c r="IF71" s="46">
        <v>0</v>
      </c>
      <c r="IG71" s="46">
        <v>0</v>
      </c>
      <c r="IH71" s="46">
        <v>0</v>
      </c>
      <c r="II71" s="46">
        <v>0</v>
      </c>
      <c r="IJ71" s="46">
        <v>0</v>
      </c>
      <c r="IK71" s="46">
        <v>0</v>
      </c>
      <c r="IL71" s="46">
        <v>0</v>
      </c>
      <c r="IM71" s="46">
        <v>0</v>
      </c>
      <c r="IN71" s="46">
        <v>0</v>
      </c>
      <c r="IO71" s="46">
        <v>0</v>
      </c>
      <c r="IP71" s="46">
        <v>0</v>
      </c>
      <c r="IQ71" s="46">
        <v>0</v>
      </c>
      <c r="IR71" s="46">
        <v>0</v>
      </c>
      <c r="IS71" s="46">
        <v>0</v>
      </c>
      <c r="IT71" s="46">
        <v>0</v>
      </c>
      <c r="IU71" s="46">
        <v>0</v>
      </c>
      <c r="IV71" s="46">
        <v>0</v>
      </c>
      <c r="IW71" s="46">
        <v>0</v>
      </c>
      <c r="IX71" s="46">
        <v>0</v>
      </c>
      <c r="IY71" s="46">
        <v>0</v>
      </c>
      <c r="IZ71" s="46">
        <v>0</v>
      </c>
      <c r="JA71" s="46">
        <v>0</v>
      </c>
      <c r="JB71" s="46">
        <v>0</v>
      </c>
      <c r="JC71" s="46">
        <v>0</v>
      </c>
      <c r="JD71" s="46">
        <v>0</v>
      </c>
      <c r="JE71" s="46">
        <v>0</v>
      </c>
      <c r="JF71" s="46">
        <v>0</v>
      </c>
      <c r="JG71" s="46">
        <v>0</v>
      </c>
      <c r="JH71" s="46">
        <v>0</v>
      </c>
      <c r="JI71" s="46">
        <v>3500</v>
      </c>
      <c r="JJ71" s="46">
        <v>0</v>
      </c>
      <c r="JK71" s="46">
        <v>104757</v>
      </c>
      <c r="JL71" s="46">
        <v>0</v>
      </c>
      <c r="JM71" s="46">
        <v>0</v>
      </c>
      <c r="JN71" s="46">
        <v>0</v>
      </c>
      <c r="JO71" s="46">
        <v>0</v>
      </c>
      <c r="JP71" s="46">
        <v>0</v>
      </c>
      <c r="JQ71" s="46">
        <v>0</v>
      </c>
      <c r="JR71" s="46">
        <v>409562</v>
      </c>
      <c r="JS71" s="46">
        <v>0</v>
      </c>
      <c r="JT71" s="46">
        <v>0</v>
      </c>
      <c r="JU71" s="46">
        <v>0</v>
      </c>
      <c r="JV71" s="46">
        <v>0</v>
      </c>
      <c r="JW71" s="46">
        <v>0</v>
      </c>
      <c r="JX71" s="46">
        <v>0</v>
      </c>
      <c r="JY71" s="46">
        <v>0</v>
      </c>
      <c r="JZ71" s="46">
        <v>0</v>
      </c>
      <c r="KA71" s="46">
        <v>0</v>
      </c>
      <c r="KB71" s="46">
        <v>50199</v>
      </c>
      <c r="KC71" s="46">
        <v>0</v>
      </c>
      <c r="KD71" s="46">
        <v>0</v>
      </c>
      <c r="KE71" s="46">
        <v>0</v>
      </c>
      <c r="KF71" s="46">
        <v>0</v>
      </c>
      <c r="KG71" s="46">
        <v>0</v>
      </c>
      <c r="KH71" s="46">
        <v>0</v>
      </c>
      <c r="KI71" s="46">
        <v>0</v>
      </c>
      <c r="KJ71" s="46">
        <v>0</v>
      </c>
      <c r="KK71" s="46">
        <v>0</v>
      </c>
      <c r="KL71" s="46">
        <v>0</v>
      </c>
      <c r="KM71" s="46">
        <v>0</v>
      </c>
      <c r="KN71" s="46">
        <v>0</v>
      </c>
      <c r="KO71" s="46">
        <v>0</v>
      </c>
      <c r="KP71" s="46">
        <v>0</v>
      </c>
      <c r="KQ71" s="46">
        <v>0</v>
      </c>
      <c r="KR71" s="46">
        <v>4531227</v>
      </c>
      <c r="KS71" s="46">
        <v>392769</v>
      </c>
      <c r="KT71" s="46">
        <v>0</v>
      </c>
      <c r="KU71" s="46">
        <v>8924</v>
      </c>
      <c r="KV71" s="46">
        <v>0</v>
      </c>
      <c r="KW71" s="46">
        <v>0</v>
      </c>
      <c r="KX71" s="46">
        <v>0</v>
      </c>
      <c r="KY71" s="46">
        <v>0</v>
      </c>
      <c r="KZ71" s="46">
        <v>0</v>
      </c>
      <c r="LA71" s="46">
        <v>282</v>
      </c>
      <c r="LB71" s="46">
        <v>-46</v>
      </c>
      <c r="LC71" s="46">
        <v>0</v>
      </c>
      <c r="LD71" s="46">
        <v>-10</v>
      </c>
      <c r="LE71" s="46">
        <v>0</v>
      </c>
      <c r="LF71" s="46">
        <v>0</v>
      </c>
      <c r="LG71" s="46">
        <v>0</v>
      </c>
      <c r="LH71" s="46">
        <v>0</v>
      </c>
      <c r="LI71" s="46">
        <v>0</v>
      </c>
      <c r="LJ71" s="46">
        <v>0</v>
      </c>
      <c r="LK71" s="46">
        <v>0</v>
      </c>
      <c r="LL71" s="46">
        <v>0</v>
      </c>
      <c r="LM71" s="46">
        <v>0</v>
      </c>
      <c r="LN71" s="46">
        <v>0</v>
      </c>
      <c r="LO71" s="46">
        <v>0</v>
      </c>
      <c r="LP71" s="46">
        <v>0</v>
      </c>
      <c r="LQ71" s="46">
        <v>0</v>
      </c>
      <c r="LR71" s="46">
        <v>0</v>
      </c>
      <c r="LS71" s="46">
        <v>0</v>
      </c>
      <c r="LT71" s="46">
        <v>0</v>
      </c>
      <c r="LU71" s="46">
        <v>0</v>
      </c>
      <c r="LV71" s="46">
        <v>0</v>
      </c>
      <c r="LW71" s="46">
        <v>0</v>
      </c>
      <c r="LX71" s="46">
        <v>0</v>
      </c>
      <c r="LY71" s="46">
        <v>0</v>
      </c>
      <c r="LZ71" s="46">
        <v>0</v>
      </c>
      <c r="MA71" s="46">
        <v>0</v>
      </c>
      <c r="MB71" s="46">
        <v>581361</v>
      </c>
      <c r="MC71" s="46">
        <v>34512</v>
      </c>
      <c r="MD71" s="46">
        <v>0</v>
      </c>
      <c r="ME71" s="46">
        <v>-135</v>
      </c>
      <c r="MF71" s="46">
        <v>0</v>
      </c>
      <c r="MG71" s="46">
        <v>0</v>
      </c>
      <c r="MH71" s="46">
        <v>0</v>
      </c>
      <c r="MI71" s="46">
        <v>0</v>
      </c>
      <c r="MJ71" s="46">
        <v>0</v>
      </c>
      <c r="MK71" s="46">
        <v>824919</v>
      </c>
      <c r="ML71" s="46">
        <v>140640</v>
      </c>
      <c r="MM71" s="46">
        <v>0</v>
      </c>
      <c r="MN71" s="46">
        <v>77982</v>
      </c>
      <c r="MO71" s="46">
        <v>0</v>
      </c>
      <c r="MP71" s="46">
        <v>0</v>
      </c>
      <c r="MQ71" s="46">
        <v>0</v>
      </c>
      <c r="MR71" s="46">
        <v>0</v>
      </c>
      <c r="MS71" s="46">
        <v>0</v>
      </c>
      <c r="MT71" s="46">
        <v>840557</v>
      </c>
      <c r="MU71" s="46">
        <v>345792</v>
      </c>
      <c r="MV71" s="46">
        <v>0</v>
      </c>
      <c r="MW71" s="46">
        <v>209007</v>
      </c>
      <c r="MX71" s="46">
        <v>0</v>
      </c>
      <c r="MY71" s="46">
        <v>0</v>
      </c>
      <c r="MZ71" s="46">
        <v>0</v>
      </c>
      <c r="NA71" s="46">
        <v>0</v>
      </c>
      <c r="NB71" s="46">
        <v>0</v>
      </c>
      <c r="NC71" s="46">
        <v>154777</v>
      </c>
      <c r="ND71" s="46">
        <v>376951</v>
      </c>
      <c r="NE71" s="46">
        <v>0</v>
      </c>
      <c r="NF71" s="46">
        <v>-52</v>
      </c>
      <c r="NG71" s="46">
        <v>0</v>
      </c>
      <c r="NH71" s="46">
        <v>0</v>
      </c>
      <c r="NI71" s="46">
        <v>0</v>
      </c>
      <c r="NJ71" s="46">
        <v>0</v>
      </c>
      <c r="NK71" s="46">
        <v>0</v>
      </c>
      <c r="NL71" s="46">
        <v>90693</v>
      </c>
      <c r="NM71" s="46">
        <v>725257</v>
      </c>
      <c r="NN71" s="46">
        <v>0</v>
      </c>
      <c r="NO71" s="46">
        <v>801426</v>
      </c>
      <c r="NP71" s="46">
        <v>0</v>
      </c>
      <c r="NQ71" s="46">
        <v>0</v>
      </c>
      <c r="NR71" s="46">
        <v>0</v>
      </c>
      <c r="NS71" s="46">
        <v>0</v>
      </c>
      <c r="NT71" s="46">
        <v>0</v>
      </c>
      <c r="NU71" s="46">
        <v>444</v>
      </c>
      <c r="NV71" s="46">
        <v>-73</v>
      </c>
      <c r="NW71" s="46">
        <v>0</v>
      </c>
      <c r="NX71" s="46">
        <v>-16</v>
      </c>
      <c r="NY71" s="46">
        <v>0</v>
      </c>
      <c r="NZ71" s="46">
        <v>0</v>
      </c>
      <c r="OA71" s="46">
        <v>0</v>
      </c>
      <c r="OB71" s="46">
        <v>0</v>
      </c>
      <c r="OC71" s="46">
        <v>0</v>
      </c>
      <c r="OD71" s="46">
        <v>0</v>
      </c>
      <c r="OE71" s="46">
        <v>0</v>
      </c>
      <c r="OF71" s="46">
        <v>0</v>
      </c>
      <c r="OG71" s="46">
        <v>0</v>
      </c>
      <c r="OH71" s="46">
        <v>0</v>
      </c>
      <c r="OI71" s="46">
        <v>0</v>
      </c>
      <c r="OJ71" s="46">
        <v>0</v>
      </c>
      <c r="OK71" s="46">
        <v>0</v>
      </c>
      <c r="OL71" s="46">
        <v>0</v>
      </c>
      <c r="OM71" s="46">
        <v>0</v>
      </c>
      <c r="ON71" s="46">
        <v>0</v>
      </c>
      <c r="OO71" s="46">
        <v>0</v>
      </c>
      <c r="OP71" s="46">
        <v>0</v>
      </c>
      <c r="OQ71" s="46">
        <v>0</v>
      </c>
      <c r="OR71" s="46">
        <v>0</v>
      </c>
      <c r="OS71" s="46">
        <v>261451</v>
      </c>
      <c r="OT71" s="46">
        <v>0</v>
      </c>
      <c r="OU71" s="46">
        <v>0</v>
      </c>
      <c r="OV71" s="46">
        <v>0</v>
      </c>
      <c r="OW71" s="46">
        <v>0</v>
      </c>
      <c r="OX71" s="46">
        <v>0</v>
      </c>
      <c r="OY71" s="46">
        <v>0</v>
      </c>
      <c r="OZ71" s="46">
        <v>0</v>
      </c>
      <c r="PA71" s="46">
        <v>0</v>
      </c>
      <c r="PB71" s="46">
        <v>-32542190</v>
      </c>
      <c r="PC71" s="46">
        <v>0</v>
      </c>
      <c r="PD71" s="46">
        <v>0</v>
      </c>
      <c r="PE71" s="46">
        <v>-1770036</v>
      </c>
      <c r="PF71" s="46">
        <v>689110</v>
      </c>
      <c r="PG71" s="46">
        <v>3301</v>
      </c>
      <c r="PH71" s="46">
        <v>-1485138</v>
      </c>
      <c r="PI71" s="46">
        <v>0</v>
      </c>
      <c r="PJ71" s="46">
        <v>0</v>
      </c>
      <c r="PK71" s="46">
        <v>25284386</v>
      </c>
      <c r="PL71" s="46">
        <v>1560304</v>
      </c>
      <c r="PM71" s="46">
        <v>-23244909</v>
      </c>
      <c r="PN71" s="46">
        <v>0</v>
      </c>
      <c r="PO71" s="46">
        <v>0</v>
      </c>
      <c r="PP71" s="46">
        <v>0</v>
      </c>
      <c r="PQ71" s="46">
        <v>0</v>
      </c>
      <c r="PR71" s="46">
        <v>0</v>
      </c>
      <c r="PS71" s="46">
        <v>0</v>
      </c>
      <c r="PT71" s="46">
        <v>0</v>
      </c>
      <c r="PU71" s="46">
        <v>0</v>
      </c>
      <c r="PV71" s="46">
        <v>0</v>
      </c>
      <c r="PW71" s="46">
        <v>0</v>
      </c>
      <c r="PX71" s="46">
        <v>0</v>
      </c>
      <c r="PY71" s="46">
        <v>0</v>
      </c>
      <c r="PZ71" s="46">
        <v>0</v>
      </c>
      <c r="QA71" s="46">
        <v>0</v>
      </c>
      <c r="QB71" s="46">
        <v>0</v>
      </c>
      <c r="QC71" s="46">
        <v>0</v>
      </c>
      <c r="QD71" s="46">
        <v>-2670304</v>
      </c>
      <c r="QE71" s="46">
        <v>1170879</v>
      </c>
      <c r="QF71" s="46">
        <v>0</v>
      </c>
      <c r="QG71" s="46">
        <v>0</v>
      </c>
      <c r="QH71" s="46">
        <v>0</v>
      </c>
      <c r="QI71" s="46">
        <v>0</v>
      </c>
      <c r="QJ71" s="46">
        <v>0</v>
      </c>
      <c r="QK71" s="46">
        <v>0</v>
      </c>
      <c r="QL71" s="46">
        <v>0</v>
      </c>
      <c r="QM71" s="46">
        <v>0</v>
      </c>
      <c r="QN71" s="46">
        <v>0</v>
      </c>
      <c r="QO71" s="46">
        <v>0</v>
      </c>
      <c r="QP71" s="46">
        <v>0</v>
      </c>
      <c r="QQ71" s="46">
        <v>0</v>
      </c>
      <c r="QR71" s="46">
        <v>0</v>
      </c>
      <c r="QS71" s="46">
        <v>0</v>
      </c>
      <c r="QT71" s="46">
        <v>0</v>
      </c>
      <c r="QU71" s="46">
        <v>0</v>
      </c>
      <c r="QV71" s="46">
        <v>0</v>
      </c>
      <c r="QW71" s="46">
        <v>0</v>
      </c>
      <c r="QX71" s="46">
        <v>0</v>
      </c>
      <c r="QY71" s="46">
        <v>0</v>
      </c>
      <c r="QZ71" s="46">
        <v>0</v>
      </c>
      <c r="RA71" s="46">
        <v>0</v>
      </c>
      <c r="RB71" s="46">
        <v>0</v>
      </c>
      <c r="RC71" s="46">
        <v>0</v>
      </c>
      <c r="RD71" s="46">
        <v>0</v>
      </c>
      <c r="RE71" s="46">
        <v>0</v>
      </c>
      <c r="RF71" s="46">
        <v>0</v>
      </c>
      <c r="RG71" s="46">
        <v>0</v>
      </c>
      <c r="RH71" s="46">
        <v>0</v>
      </c>
      <c r="RI71" s="46">
        <v>0</v>
      </c>
      <c r="RJ71" s="46">
        <v>0</v>
      </c>
      <c r="RK71" s="46">
        <v>0</v>
      </c>
      <c r="RL71" s="46">
        <v>0</v>
      </c>
      <c r="RM71" s="46">
        <v>0</v>
      </c>
      <c r="RN71" s="46">
        <v>0</v>
      </c>
      <c r="RO71" s="46">
        <v>-931446</v>
      </c>
      <c r="RP71" s="46">
        <v>0</v>
      </c>
      <c r="RQ71" s="46">
        <v>0</v>
      </c>
      <c r="RR71" s="46">
        <v>0</v>
      </c>
      <c r="RS71" s="46">
        <v>0</v>
      </c>
      <c r="RT71" s="46">
        <v>0</v>
      </c>
      <c r="RU71" s="46">
        <v>0</v>
      </c>
      <c r="RV71" s="46">
        <v>0</v>
      </c>
      <c r="RW71" s="46">
        <v>0</v>
      </c>
      <c r="RX71" s="46">
        <v>0</v>
      </c>
      <c r="RY71" s="46">
        <v>0</v>
      </c>
      <c r="RZ71" s="46">
        <v>0</v>
      </c>
      <c r="SA71" s="46">
        <v>0</v>
      </c>
      <c r="SB71" s="46">
        <v>0</v>
      </c>
      <c r="SC71" s="46">
        <v>0</v>
      </c>
      <c r="SD71" s="46">
        <v>0</v>
      </c>
      <c r="SE71" s="46">
        <v>0</v>
      </c>
      <c r="SF71" s="46">
        <v>0</v>
      </c>
      <c r="SG71" s="46">
        <v>0</v>
      </c>
      <c r="SH71" s="46">
        <v>0</v>
      </c>
      <c r="SI71" s="46">
        <v>0</v>
      </c>
      <c r="SJ71" s="46">
        <v>0</v>
      </c>
      <c r="SK71" s="46">
        <v>0</v>
      </c>
      <c r="SL71" s="46">
        <v>0</v>
      </c>
      <c r="SM71" s="46">
        <v>0</v>
      </c>
      <c r="SN71" s="46">
        <v>0</v>
      </c>
      <c r="SO71" s="46">
        <v>0</v>
      </c>
      <c r="SP71" s="46">
        <v>0</v>
      </c>
      <c r="SQ71" s="46">
        <v>0</v>
      </c>
      <c r="SR71" s="46">
        <v>0</v>
      </c>
      <c r="SS71" s="46">
        <v>0</v>
      </c>
      <c r="ST71" s="46">
        <v>0</v>
      </c>
      <c r="SU71" s="46">
        <v>0</v>
      </c>
      <c r="SV71" s="46">
        <v>0</v>
      </c>
      <c r="SW71" s="46">
        <v>32542190</v>
      </c>
      <c r="SX71" s="46">
        <v>0</v>
      </c>
      <c r="SY71" s="46">
        <v>0</v>
      </c>
      <c r="SZ71" s="46">
        <v>0</v>
      </c>
      <c r="TA71" s="46">
        <v>0</v>
      </c>
      <c r="TB71" s="46">
        <v>0</v>
      </c>
      <c r="TC71" s="46">
        <v>0</v>
      </c>
      <c r="TD71" s="46">
        <v>0</v>
      </c>
      <c r="TE71" s="46">
        <v>0</v>
      </c>
      <c r="TF71" s="46">
        <v>0</v>
      </c>
      <c r="TG71" s="46">
        <v>0</v>
      </c>
      <c r="TH71" s="46">
        <v>0</v>
      </c>
      <c r="TI71" s="46">
        <v>0</v>
      </c>
      <c r="TJ71" s="46">
        <v>0</v>
      </c>
      <c r="TK71" s="46">
        <v>0</v>
      </c>
      <c r="TL71" s="46">
        <v>0</v>
      </c>
      <c r="TM71" s="46">
        <v>0</v>
      </c>
      <c r="TN71" s="46">
        <v>0</v>
      </c>
      <c r="TO71" s="46">
        <v>0</v>
      </c>
      <c r="TP71" s="46">
        <v>0</v>
      </c>
      <c r="TQ71" s="46">
        <v>0</v>
      </c>
      <c r="TR71" s="46">
        <v>0</v>
      </c>
      <c r="TS71" s="46">
        <v>0</v>
      </c>
      <c r="TT71" s="46">
        <v>0</v>
      </c>
      <c r="TU71" s="46">
        <v>0</v>
      </c>
      <c r="TV71" s="46">
        <v>0</v>
      </c>
      <c r="TW71" s="46">
        <v>0</v>
      </c>
      <c r="TX71" s="46">
        <v>0</v>
      </c>
      <c r="TY71" s="46">
        <v>0</v>
      </c>
      <c r="TZ71" s="46">
        <v>0</v>
      </c>
      <c r="UA71" s="46">
        <v>0</v>
      </c>
      <c r="UB71" s="46">
        <v>0</v>
      </c>
      <c r="UC71" s="46">
        <v>0</v>
      </c>
      <c r="UD71" s="46">
        <v>0</v>
      </c>
      <c r="UE71" s="46">
        <v>4932920</v>
      </c>
      <c r="UF71" s="46">
        <v>226</v>
      </c>
      <c r="UG71" s="46">
        <v>0</v>
      </c>
      <c r="UH71" s="46">
        <v>0</v>
      </c>
      <c r="UI71" s="46">
        <v>615738</v>
      </c>
      <c r="UJ71" s="46">
        <v>1043541</v>
      </c>
      <c r="UK71" s="46">
        <v>1395356</v>
      </c>
      <c r="UL71" s="46">
        <v>531676</v>
      </c>
      <c r="UM71" s="46">
        <v>1617376</v>
      </c>
      <c r="UN71" s="46">
        <v>355</v>
      </c>
      <c r="UO71"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0</v>
      </c>
      <c r="UP71" s="46">
        <f>SUM(Input[[#This Row],[Oth Exp E&amp;G]],Input[[#This Row],[Oth Exp Desg]],Input[[#This Row],[Oth Exp Aux]],Input[[#This Row],[Oth Exp R Exp]],Input[[#This Row],[Oth Exp Loan]],Input[[#This Row],[Oth Exp Annuity]],Input[[#This Row],[Oth Exp Unexp]],Input[[#This Row],[Oth Exp R of Ind]],Input[[#This Row],[Oth Exp Inv in P]])</f>
        <v>261451</v>
      </c>
      <c r="UQ71" s="46"/>
      <c r="UR71" s="46"/>
      <c r="US71" s="8" t="s">
        <v>808</v>
      </c>
      <c r="UT71" s="47">
        <v>2548673931</v>
      </c>
      <c r="UU71" s="8" t="s">
        <v>96</v>
      </c>
      <c r="UV71" s="8" t="s">
        <v>809</v>
      </c>
      <c r="UW71" s="47">
        <v>9563644058</v>
      </c>
      <c r="UX71" s="8" t="s">
        <v>810</v>
      </c>
      <c r="UY71" s="51" cm="1">
        <f t="array" ref="UY71">IFERROR(_xlfn.IFS(Input[[#This Row],[Type]]="HRI",SUMIFS('FTSE | FTFE'!$P$8:$P$77,'FTSE | FTFE'!$H$8:$H$77,A71),Input[[#This Row],[Type]]="UNIV",SUMIFS('FTSE | FTFE'!$P$104:$P$139,'FTSE | FTFE'!$H$104:$H$139,A71),OR(Input[[#This Row],[Type]]="TSTC",Input[[#This Row],[Type]]="LSC"),SUMIFS('FTSE | FTFE'!$O$88:$O$96,'FTSE | FTFE'!$H$88:$H$96,A71),Input[[#This Row],[Type]]="AHM",SUMIFS(Hidden!$H$42:$H$45,Hidden!$G$42:$G$45,A71)),"N/A")</f>
        <v>334</v>
      </c>
      <c r="UZ71" s="51" cm="1">
        <f t="array" ref="UZ71">IFERROR(_xlfn.IFS(Input[[#This Row],[Type]]="HRI",SUMIFS('FTSE | FTFE'!$Q$8:$Q$77,'FTSE | FTFE'!$H$8:$H$77,A71),Input[[#This Row],[Type]]="UNIV",SUMIFS('FTSE | FTFE'!$Q$104:$Q$139,'FTSE | FTFE'!$H$104:$H$139,A71),OR(Input[[#This Row],[Type]]="TSTC",Input[[#This Row],[Type]]="LSC"),SUMIFS('FTSE | FTFE'!$P$88:$P$96,'FTSE | FTFE'!$H$88:$H$96,A71)),"N/A")</f>
        <v>24.815000000000001</v>
      </c>
      <c r="VA71"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8469740</v>
      </c>
      <c r="VB71"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1" s="46">
        <f>SUM(Input[[#This Row],[Fed G&amp;C E&amp;G]],Input[[#This Row],[Fed G&amp;C Desg]],Input[[#This Row],[Fed G&amp;C R Exp]],Input[[#This Row],[Fed G&amp;C Loan]],Input[[#This Row],[Fed G&amp;C Annuity]],Input[[#This Row],[Fed G&amp;C Unexp]],Input[[#This Row],[Fed G&amp;C R of Ind]],Input[[#This Row],[Fed G&amp;C Inv in P]])</f>
        <v>747666</v>
      </c>
      <c r="VD71"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517819</v>
      </c>
      <c r="VE71"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1403159</v>
      </c>
      <c r="VF71"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1" s="46">
        <f>SUM(Input[[#This Row],[Oth Inc E&amp;G]],Input[[#This Row],[Oth Exp Desg]],Input[[#This Row],[Oth Exp R Exp]],Input[[#This Row],[Oth Exp Loan]],Input[[#This Row],[Oth Exp Annuity]],Input[[#This Row],[Oth Exp Unexp]],Input[[#This Row],[Oth Exp R of Ind]],Input[[#This Row],[Oth Exp Inv in P]])</f>
        <v>261451</v>
      </c>
      <c r="VH71" s="46">
        <f>SUM(Input[[#This Row],[Instr E&amp;G]],Input[[#This Row],[Instr Desg]],Input[[#This Row],[Instr R Exp]],Input[[#This Row],[Instr Loan]],Input[[#This Row],[Instr Annuity]],Input[[#This Row],[Instr Unexp]],Input[[#This Row],[Instr R of Ind]],Input[[#This Row],[Instr Inv in P]])</f>
        <v>4932920</v>
      </c>
      <c r="VI71" s="46">
        <f>SUM(Input[[#This Row],[Res E&amp;G]],Input[[#This Row],[Res Desg]],Input[[#This Row],[Res R Exp]],Input[[#This Row],[Res Loan]],Input[[#This Row],[Res Annuity]],Input[[#This Row],[Res Unexp]],Input[[#This Row],[Res R of Ind]],Input[[#This Row],[Res Inv in P]])</f>
        <v>226</v>
      </c>
      <c r="VJ71" s="46">
        <f>SUM(Input[[#This Row],[Acad Sup E&amp;G]],Input[[#This Row],[Acad Sup Desg]],Input[[#This Row],[Acad Sup R Exp]],Input[[#This Row],[Acad Sup Loan]],Input[[#This Row],[Acad Sup Annuity]],Input[[#This Row],[Acad Sup Unexp]],Input[[#This Row],[Acad Sup R of Ind]],Input[[#This Row],[Acad Sup Inv in P]])</f>
        <v>615738</v>
      </c>
      <c r="VK71" s="46">
        <f>SUM(Input[[#This Row],[Stu Svc E&amp;G]],Input[[#This Row],[Stu Svc Desg]],Input[[#This Row],[Stu Svc R Exp]],Input[[#This Row],[Stu Svc Loan]],Input[[#This Row],[Stu Svc Annuity]],Input[[#This Row],[Stu Svc Unexp]],Input[[#This Row],[Stu Svc R of Ind]],Input[[#This Row],[Stu Svc Inv in P]])</f>
        <v>1043541</v>
      </c>
      <c r="VL71" s="46">
        <f>SUM(Input[[#This Row],[Inst. Spt E&amp;G]],Input[[#This Row],[Inst. Spt Desg]],Input[[#This Row],[Inst. Spt R Exp]],Input[[#This Row],[Inst. Spt Loan]],Input[[#This Row],[Inst. Spt Annuity]],Input[[#This Row],[Inst. Spt Unexp]],Input[[#This Row],[Inst. Spt R of Ind]],Input[[#This Row],[Inst. Spt Inv in P]])</f>
        <v>1395356</v>
      </c>
      <c r="VM71" s="46">
        <f>SUM(Input[[#This Row],[M&amp;O Plnt E&amp;G]],Input[[#This Row],[M&amp;O Plnt Desg]],Input[[#This Row],[M&amp;O Plnt R Exp]],Input[[#This Row],[M&amp;O Plnt Loan]],Input[[#This Row],[M&amp;O Plnt Annuity]],Input[[#This Row],[M&amp;O Plnt Unexp]],Input[[#This Row],[M&amp;O Plnt R of Ind]],Input[[#This Row],[M&amp;O Plnt Inv in P]])</f>
        <v>531676</v>
      </c>
      <c r="VN71" s="46">
        <f>SUM(Input[[#This Row],[Schl &amp; Fell E&amp;G]],Input[[#This Row],[Schl &amp; Fell Desg]],Input[[#This Row],[Schl &amp; Fell R Exp]],Input[[#This Row],[Schl &amp; Fell Loan]],Input[[#This Row],[Schl &amp; Fell Annuity]],Input[[#This Row],[Schl &amp; Fell Unexp]],Input[[#This Row],[Schl &amp; Fell R of Ind]],Input[[#This Row],[Schl &amp; Fell Inv in P]])</f>
        <v>1617376</v>
      </c>
      <c r="VO71" s="46">
        <f>SUM(Input[[#This Row],[Cap Out fund E&amp;G]],Input[[#This Row],[Cap Out fund Desg]],Input[[#This Row],[Cap Out fund R Exp]],Input[[#This Row],[Cap Out fund Loan]],Input[[#This Row],[Cap Out fund Annuity]],Input[[#This Row],[Cap Out fund Unexp]],Input[[#This Row],[Cap Out fund R of Ind]],Input[[#This Row],[Cap Out fund Inv in P]])</f>
        <v>0</v>
      </c>
      <c r="VP71" s="46">
        <f>SUM(Input[[#This Row],[Oth Exp E&amp;G]],Input[[#This Row],[Oth Exp Desg]],Input[[#This Row],[Oth Exp R Exp]],Input[[#This Row],[Oth Exp Loan]],Input[[#This Row],[Oth Exp Annuity]],Input[[#This Row],[Oth Exp Unexp]],Input[[#This Row],[Oth Exp R of Ind]],Input[[#This Row],[Oth Exp Inv in P]],Input[[#This Row],[Oth Exp Inv in P]])</f>
        <v>261451</v>
      </c>
    </row>
    <row r="72" spans="1:588" ht="30" customHeight="1" x14ac:dyDescent="0.3">
      <c r="A72" s="15" t="s">
        <v>104</v>
      </c>
      <c r="B72" s="36" t="s">
        <v>111</v>
      </c>
      <c r="C72" s="36" t="s">
        <v>119</v>
      </c>
      <c r="D72" s="36">
        <v>1100</v>
      </c>
      <c r="E72" s="36" t="s">
        <v>132</v>
      </c>
      <c r="F72" s="95" t="s">
        <v>106</v>
      </c>
      <c r="G72" s="46">
        <v>0</v>
      </c>
      <c r="H72" s="46">
        <v>0</v>
      </c>
      <c r="I72" s="46">
        <v>0</v>
      </c>
      <c r="J72" s="46">
        <v>0</v>
      </c>
      <c r="K72" s="46">
        <v>0</v>
      </c>
      <c r="L72" s="46">
        <v>0</v>
      </c>
      <c r="M72" s="46">
        <v>0</v>
      </c>
      <c r="N72" s="46">
        <v>0</v>
      </c>
      <c r="O72" s="46">
        <v>0</v>
      </c>
      <c r="P72" s="46">
        <v>0</v>
      </c>
      <c r="Q72" s="46">
        <v>0</v>
      </c>
      <c r="R72" s="46">
        <v>0</v>
      </c>
      <c r="S72" s="46">
        <v>0</v>
      </c>
      <c r="T72" s="46">
        <v>0</v>
      </c>
      <c r="U72" s="46">
        <v>0</v>
      </c>
      <c r="V72" s="46">
        <v>0</v>
      </c>
      <c r="W72" s="46">
        <v>0</v>
      </c>
      <c r="X72" s="46">
        <v>0</v>
      </c>
      <c r="Y72" s="46">
        <v>0</v>
      </c>
      <c r="Z72" s="46">
        <v>0</v>
      </c>
      <c r="AA72" s="46">
        <v>0</v>
      </c>
      <c r="AB72" s="46">
        <v>0</v>
      </c>
      <c r="AC72" s="46">
        <v>0</v>
      </c>
      <c r="AD72" s="46">
        <v>0</v>
      </c>
      <c r="AE72" s="46">
        <v>0</v>
      </c>
      <c r="AF72" s="46">
        <v>0</v>
      </c>
      <c r="AG72" s="46">
        <v>0</v>
      </c>
      <c r="AH72" s="46">
        <v>0</v>
      </c>
      <c r="AI72" s="46">
        <v>0</v>
      </c>
      <c r="AJ72" s="46">
        <v>0</v>
      </c>
      <c r="AK72" s="46">
        <v>0</v>
      </c>
      <c r="AL72" s="46">
        <v>0</v>
      </c>
      <c r="AM72" s="46">
        <v>0</v>
      </c>
      <c r="AN72" s="46">
        <v>0</v>
      </c>
      <c r="AO72" s="46">
        <v>0</v>
      </c>
      <c r="AP72" s="46">
        <v>0</v>
      </c>
      <c r="AQ72" s="46">
        <v>0</v>
      </c>
      <c r="AR72" s="46">
        <v>0</v>
      </c>
      <c r="AS72" s="46">
        <v>0</v>
      </c>
      <c r="AT72" s="46">
        <v>0</v>
      </c>
      <c r="AU72" s="46">
        <v>0</v>
      </c>
      <c r="AV72" s="46">
        <v>0</v>
      </c>
      <c r="AW72" s="46">
        <v>0</v>
      </c>
      <c r="AX72" s="46">
        <v>0</v>
      </c>
      <c r="AY72" s="46">
        <v>0</v>
      </c>
      <c r="AZ72" s="46">
        <v>0</v>
      </c>
      <c r="BA72" s="46">
        <v>0</v>
      </c>
      <c r="BB72" s="46">
        <v>0</v>
      </c>
      <c r="BC72" s="46">
        <v>0</v>
      </c>
      <c r="BD72" s="46">
        <v>0</v>
      </c>
      <c r="BE72" s="46">
        <v>0</v>
      </c>
      <c r="BF72" s="46">
        <v>0</v>
      </c>
      <c r="BG72" s="46">
        <v>0</v>
      </c>
      <c r="BH72" s="46">
        <v>0</v>
      </c>
      <c r="BI72" s="46">
        <v>0</v>
      </c>
      <c r="BJ72" s="46">
        <v>0</v>
      </c>
      <c r="BK72" s="46">
        <v>0</v>
      </c>
      <c r="BL72" s="46">
        <v>0</v>
      </c>
      <c r="BM72" s="46">
        <v>0</v>
      </c>
      <c r="BN72" s="46">
        <v>0</v>
      </c>
      <c r="BO72" s="46">
        <v>0</v>
      </c>
      <c r="BP72" s="46">
        <v>0</v>
      </c>
      <c r="BQ72" s="46">
        <v>0</v>
      </c>
      <c r="BR72" s="46">
        <v>0</v>
      </c>
      <c r="BS72" s="46">
        <v>0</v>
      </c>
      <c r="BT72" s="46">
        <v>0</v>
      </c>
      <c r="BU72" s="46">
        <v>0</v>
      </c>
      <c r="BV72" s="46">
        <v>0</v>
      </c>
      <c r="BW72" s="46">
        <v>0</v>
      </c>
      <c r="BX72" s="46">
        <v>0</v>
      </c>
      <c r="BY72" s="46">
        <v>0</v>
      </c>
      <c r="BZ72" s="46">
        <v>0</v>
      </c>
      <c r="CA72" s="46">
        <v>0</v>
      </c>
      <c r="CB72" s="46">
        <v>0</v>
      </c>
      <c r="CC72" s="46">
        <v>0</v>
      </c>
      <c r="CD72" s="46">
        <v>0</v>
      </c>
      <c r="CE72" s="46">
        <v>0</v>
      </c>
      <c r="CF72" s="46">
        <v>0</v>
      </c>
      <c r="CG72" s="46">
        <v>0</v>
      </c>
      <c r="CH72" s="46">
        <v>0</v>
      </c>
      <c r="CI72" s="46">
        <v>0</v>
      </c>
      <c r="CJ72" s="46">
        <v>0</v>
      </c>
      <c r="CK72" s="46">
        <v>0</v>
      </c>
      <c r="CL72" s="46">
        <v>0</v>
      </c>
      <c r="CM72" s="46">
        <v>0</v>
      </c>
      <c r="CN72" s="46">
        <v>0</v>
      </c>
      <c r="CO72" s="46">
        <v>0</v>
      </c>
      <c r="CP72" s="46">
        <v>0</v>
      </c>
      <c r="CQ72" s="46">
        <v>0</v>
      </c>
      <c r="CR72" s="46">
        <v>0</v>
      </c>
      <c r="CS72" s="46">
        <v>0</v>
      </c>
      <c r="CT72" s="46">
        <v>0</v>
      </c>
      <c r="CU72" s="46">
        <v>0</v>
      </c>
      <c r="CV72" s="46">
        <v>0</v>
      </c>
      <c r="CW72" s="46">
        <v>0</v>
      </c>
      <c r="CX72" s="46">
        <v>0</v>
      </c>
      <c r="CY72" s="46">
        <v>0</v>
      </c>
      <c r="CZ72" s="46">
        <v>0</v>
      </c>
      <c r="DA72" s="46">
        <v>0</v>
      </c>
      <c r="DB72" s="46">
        <v>0</v>
      </c>
      <c r="DC72" s="46">
        <v>0</v>
      </c>
      <c r="DD72" s="46">
        <v>0</v>
      </c>
      <c r="DE72" s="46">
        <v>0</v>
      </c>
      <c r="DF72" s="46">
        <v>0</v>
      </c>
      <c r="DG72" s="46">
        <v>0</v>
      </c>
      <c r="DH72" s="46">
        <v>0</v>
      </c>
      <c r="DI72" s="46">
        <v>0</v>
      </c>
      <c r="DJ72" s="46">
        <v>0</v>
      </c>
      <c r="DK72" s="46">
        <v>0</v>
      </c>
      <c r="DL72" s="46">
        <v>0</v>
      </c>
      <c r="DM72" s="46">
        <v>0</v>
      </c>
      <c r="DN72" s="46">
        <v>0</v>
      </c>
      <c r="DO72" s="46">
        <v>0</v>
      </c>
      <c r="DP72" s="46">
        <v>0</v>
      </c>
      <c r="DQ72" s="46">
        <v>0</v>
      </c>
      <c r="DR72" s="46">
        <v>0</v>
      </c>
      <c r="DS72" s="46">
        <v>0</v>
      </c>
      <c r="DT72" s="46">
        <v>0</v>
      </c>
      <c r="DU72" s="46">
        <v>0</v>
      </c>
      <c r="DV72" s="46">
        <v>0</v>
      </c>
      <c r="DW72" s="46">
        <v>0</v>
      </c>
      <c r="DX72" s="46">
        <v>0</v>
      </c>
      <c r="DY72" s="46">
        <v>0</v>
      </c>
      <c r="DZ72" s="46">
        <v>0</v>
      </c>
      <c r="EA72" s="46">
        <v>0</v>
      </c>
      <c r="EB72" s="46">
        <v>0</v>
      </c>
      <c r="EC72" s="46">
        <v>0</v>
      </c>
      <c r="ED72" s="46">
        <v>0</v>
      </c>
      <c r="EE72" s="46">
        <v>0</v>
      </c>
      <c r="EF72" s="46">
        <v>0</v>
      </c>
      <c r="EG72" s="46">
        <v>0</v>
      </c>
      <c r="EH72" s="46">
        <v>0</v>
      </c>
      <c r="EI72" s="46">
        <v>0</v>
      </c>
      <c r="EJ72" s="46">
        <v>0</v>
      </c>
      <c r="EK72" s="46">
        <v>0</v>
      </c>
      <c r="EL72" s="46">
        <v>0</v>
      </c>
      <c r="EM72" s="46">
        <v>0</v>
      </c>
      <c r="EN72" s="46">
        <v>0</v>
      </c>
      <c r="EO72" s="46">
        <v>0</v>
      </c>
      <c r="EP72" s="46">
        <v>0</v>
      </c>
      <c r="EQ72" s="46">
        <v>0</v>
      </c>
      <c r="ER72" s="46">
        <v>0</v>
      </c>
      <c r="ES72" s="46">
        <v>0</v>
      </c>
      <c r="ET72" s="46">
        <v>0</v>
      </c>
      <c r="EU72" s="46">
        <v>0</v>
      </c>
      <c r="EV72" s="46">
        <v>0</v>
      </c>
      <c r="EW72" s="46">
        <v>0</v>
      </c>
      <c r="EX72" s="46">
        <v>0</v>
      </c>
      <c r="EY72" s="46">
        <v>0</v>
      </c>
      <c r="EZ72" s="46">
        <v>0</v>
      </c>
      <c r="FA72" s="46">
        <v>0</v>
      </c>
      <c r="FB72" s="46">
        <v>0</v>
      </c>
      <c r="FC72" s="46">
        <v>0</v>
      </c>
      <c r="FD72" s="46">
        <v>0</v>
      </c>
      <c r="FE72" s="46">
        <v>0</v>
      </c>
      <c r="FF72" s="46">
        <v>0</v>
      </c>
      <c r="FG72" s="46">
        <v>0</v>
      </c>
      <c r="FH72" s="46">
        <v>0</v>
      </c>
      <c r="FI72" s="46">
        <v>0</v>
      </c>
      <c r="FJ72" s="46">
        <v>0</v>
      </c>
      <c r="FK72" s="46">
        <v>0</v>
      </c>
      <c r="FL72" s="46">
        <v>0</v>
      </c>
      <c r="FM72" s="46">
        <v>0</v>
      </c>
      <c r="FN72" s="46">
        <v>0</v>
      </c>
      <c r="FO72" s="46">
        <v>0</v>
      </c>
      <c r="FP72" s="46">
        <v>0</v>
      </c>
      <c r="FQ72" s="46">
        <v>0</v>
      </c>
      <c r="FR72" s="46">
        <v>0</v>
      </c>
      <c r="FS72" s="46">
        <v>0</v>
      </c>
      <c r="FT72" s="46">
        <v>0</v>
      </c>
      <c r="FU72" s="46">
        <v>0</v>
      </c>
      <c r="FV72" s="46">
        <v>0</v>
      </c>
      <c r="FW72" s="46">
        <v>0</v>
      </c>
      <c r="FX72" s="46">
        <v>0</v>
      </c>
      <c r="FY72" s="46">
        <v>0</v>
      </c>
      <c r="FZ72" s="46">
        <v>0</v>
      </c>
      <c r="GA72" s="46">
        <v>0</v>
      </c>
      <c r="GB72" s="46">
        <v>0</v>
      </c>
      <c r="GC72" s="46">
        <v>0</v>
      </c>
      <c r="GD72" s="46">
        <v>0</v>
      </c>
      <c r="GE72" s="46">
        <v>0</v>
      </c>
      <c r="GF72" s="46">
        <v>0</v>
      </c>
      <c r="GG72" s="46">
        <v>0</v>
      </c>
      <c r="GH72" s="46">
        <v>0</v>
      </c>
      <c r="GI72" s="46">
        <v>0</v>
      </c>
      <c r="GJ72" s="46">
        <v>0</v>
      </c>
      <c r="GK72" s="46">
        <v>0</v>
      </c>
      <c r="GL72" s="46">
        <v>0</v>
      </c>
      <c r="GM72" s="46">
        <v>0</v>
      </c>
      <c r="GN72" s="46">
        <v>0</v>
      </c>
      <c r="GO72" s="46">
        <v>0</v>
      </c>
      <c r="GP72" s="46">
        <v>0</v>
      </c>
      <c r="GQ72" s="46">
        <v>0</v>
      </c>
      <c r="GR72" s="46">
        <v>0</v>
      </c>
      <c r="GS72" s="46">
        <v>0</v>
      </c>
      <c r="GT72" s="46">
        <v>0</v>
      </c>
      <c r="GU72" s="46">
        <v>0</v>
      </c>
      <c r="GV72" s="46">
        <v>0</v>
      </c>
      <c r="GW72" s="46">
        <v>0</v>
      </c>
      <c r="GX72" s="46">
        <v>0</v>
      </c>
      <c r="GY72" s="46">
        <v>0</v>
      </c>
      <c r="GZ72" s="46">
        <v>0</v>
      </c>
      <c r="HA72" s="46">
        <v>0</v>
      </c>
      <c r="HB72" s="46">
        <v>0</v>
      </c>
      <c r="HC72" s="46">
        <v>0</v>
      </c>
      <c r="HD72" s="46">
        <v>0</v>
      </c>
      <c r="HE72" s="46">
        <v>0</v>
      </c>
      <c r="HF72" s="46">
        <v>0</v>
      </c>
      <c r="HG72" s="46">
        <v>0</v>
      </c>
      <c r="HH72" s="46">
        <v>0</v>
      </c>
      <c r="HI72" s="46">
        <v>0</v>
      </c>
      <c r="HJ72" s="46">
        <v>0</v>
      </c>
      <c r="HK72" s="46">
        <v>0</v>
      </c>
      <c r="HL72" s="46">
        <v>0</v>
      </c>
      <c r="HM72" s="46">
        <v>0</v>
      </c>
      <c r="HN72" s="46">
        <v>0</v>
      </c>
      <c r="HO72" s="46">
        <v>0</v>
      </c>
      <c r="HP72" s="46">
        <v>5545494</v>
      </c>
      <c r="HQ72" s="46">
        <v>0</v>
      </c>
      <c r="HR72" s="46">
        <v>17136537</v>
      </c>
      <c r="HS72" s="46">
        <v>0</v>
      </c>
      <c r="HT72" s="46">
        <v>0</v>
      </c>
      <c r="HU72" s="46">
        <v>0</v>
      </c>
      <c r="HV72" s="46">
        <v>0</v>
      </c>
      <c r="HW72" s="46">
        <v>0</v>
      </c>
      <c r="HX72" s="46">
        <v>0</v>
      </c>
      <c r="HY72" s="46">
        <v>0</v>
      </c>
      <c r="HZ72" s="46">
        <v>0</v>
      </c>
      <c r="IA72" s="46">
        <v>0</v>
      </c>
      <c r="IB72" s="46">
        <v>0</v>
      </c>
      <c r="IC72" s="46">
        <v>0</v>
      </c>
      <c r="ID72" s="46">
        <v>0</v>
      </c>
      <c r="IE72" s="46">
        <v>0</v>
      </c>
      <c r="IF72" s="46">
        <v>0</v>
      </c>
      <c r="IG72" s="46">
        <v>0</v>
      </c>
      <c r="IH72" s="46">
        <v>0</v>
      </c>
      <c r="II72" s="46">
        <v>0</v>
      </c>
      <c r="IJ72" s="46">
        <v>0</v>
      </c>
      <c r="IK72" s="46">
        <v>0</v>
      </c>
      <c r="IL72" s="46">
        <v>0</v>
      </c>
      <c r="IM72" s="46">
        <v>0</v>
      </c>
      <c r="IN72" s="46">
        <v>0</v>
      </c>
      <c r="IO72" s="46">
        <v>0</v>
      </c>
      <c r="IP72" s="46">
        <v>0</v>
      </c>
      <c r="IQ72" s="46">
        <v>1560533</v>
      </c>
      <c r="IR72" s="46">
        <v>0</v>
      </c>
      <c r="IS72" s="46">
        <v>0</v>
      </c>
      <c r="IT72" s="46">
        <v>0</v>
      </c>
      <c r="IU72" s="46">
        <v>0</v>
      </c>
      <c r="IV72" s="46">
        <v>0</v>
      </c>
      <c r="IW72" s="46">
        <v>0</v>
      </c>
      <c r="IX72" s="46">
        <v>0</v>
      </c>
      <c r="IY72" s="46">
        <v>0</v>
      </c>
      <c r="IZ72" s="46">
        <v>0</v>
      </c>
      <c r="JA72" s="46">
        <v>0</v>
      </c>
      <c r="JB72" s="46">
        <v>0</v>
      </c>
      <c r="JC72" s="46">
        <v>0</v>
      </c>
      <c r="JD72" s="46">
        <v>0</v>
      </c>
      <c r="JE72" s="46">
        <v>0</v>
      </c>
      <c r="JF72" s="46">
        <v>0</v>
      </c>
      <c r="JG72" s="46">
        <v>0</v>
      </c>
      <c r="JH72" s="46">
        <v>0</v>
      </c>
      <c r="JI72" s="46">
        <v>4620437</v>
      </c>
      <c r="JJ72" s="46">
        <v>0</v>
      </c>
      <c r="JK72" s="46">
        <v>1268737</v>
      </c>
      <c r="JL72" s="46">
        <v>0</v>
      </c>
      <c r="JM72" s="46">
        <v>0</v>
      </c>
      <c r="JN72" s="46">
        <v>0</v>
      </c>
      <c r="JO72" s="46">
        <v>0</v>
      </c>
      <c r="JP72" s="46">
        <v>0</v>
      </c>
      <c r="JQ72" s="46">
        <v>0</v>
      </c>
      <c r="JR72" s="46">
        <v>13354524</v>
      </c>
      <c r="JS72" s="46">
        <v>0</v>
      </c>
      <c r="JT72" s="46">
        <v>161</v>
      </c>
      <c r="JU72" s="46">
        <v>0</v>
      </c>
      <c r="JV72" s="46">
        <v>0</v>
      </c>
      <c r="JW72" s="46">
        <v>0</v>
      </c>
      <c r="JX72" s="46">
        <v>0</v>
      </c>
      <c r="JY72" s="46">
        <v>0</v>
      </c>
      <c r="JZ72" s="46">
        <v>0</v>
      </c>
      <c r="KA72" s="46">
        <v>0</v>
      </c>
      <c r="KB72" s="46">
        <v>0</v>
      </c>
      <c r="KC72" s="46">
        <v>0</v>
      </c>
      <c r="KD72" s="46">
        <v>0</v>
      </c>
      <c r="KE72" s="46">
        <v>0</v>
      </c>
      <c r="KF72" s="46">
        <v>0</v>
      </c>
      <c r="KG72" s="46">
        <v>0</v>
      </c>
      <c r="KH72" s="46">
        <v>0</v>
      </c>
      <c r="KI72" s="46">
        <v>0</v>
      </c>
      <c r="KJ72" s="46">
        <v>1980624</v>
      </c>
      <c r="KK72" s="46">
        <v>0</v>
      </c>
      <c r="KL72" s="46">
        <v>0</v>
      </c>
      <c r="KM72" s="46">
        <v>0</v>
      </c>
      <c r="KN72" s="46">
        <v>0</v>
      </c>
      <c r="KO72" s="46">
        <v>0</v>
      </c>
      <c r="KP72" s="46">
        <v>0</v>
      </c>
      <c r="KQ72" s="46">
        <v>0</v>
      </c>
      <c r="KR72" s="46">
        <v>0</v>
      </c>
      <c r="KS72" s="46">
        <v>0</v>
      </c>
      <c r="KT72" s="46">
        <v>0</v>
      </c>
      <c r="KU72" s="46">
        <v>0</v>
      </c>
      <c r="KV72" s="46">
        <v>0</v>
      </c>
      <c r="KW72" s="46">
        <v>0</v>
      </c>
      <c r="KX72" s="46">
        <v>0</v>
      </c>
      <c r="KY72" s="46">
        <v>0</v>
      </c>
      <c r="KZ72" s="46">
        <v>0</v>
      </c>
      <c r="LA72" s="46">
        <v>0</v>
      </c>
      <c r="LB72" s="46">
        <v>6894795</v>
      </c>
      <c r="LC72" s="46">
        <v>0</v>
      </c>
      <c r="LD72" s="46">
        <v>14674756</v>
      </c>
      <c r="LE72" s="46">
        <v>0</v>
      </c>
      <c r="LF72" s="46">
        <v>0</v>
      </c>
      <c r="LG72" s="46">
        <v>0</v>
      </c>
      <c r="LH72" s="46">
        <v>0</v>
      </c>
      <c r="LI72" s="46">
        <v>0</v>
      </c>
      <c r="LJ72" s="46">
        <v>0</v>
      </c>
      <c r="LK72" s="46">
        <v>111589</v>
      </c>
      <c r="LL72" s="46">
        <v>0</v>
      </c>
      <c r="LM72" s="46">
        <v>381257</v>
      </c>
      <c r="LN72" s="46">
        <v>0</v>
      </c>
      <c r="LO72" s="46">
        <v>0</v>
      </c>
      <c r="LP72" s="46">
        <v>0</v>
      </c>
      <c r="LQ72" s="46">
        <v>0</v>
      </c>
      <c r="LR72" s="46">
        <v>0</v>
      </c>
      <c r="LS72" s="46">
        <v>0</v>
      </c>
      <c r="LT72" s="46">
        <v>0</v>
      </c>
      <c r="LU72" s="46">
        <v>0</v>
      </c>
      <c r="LV72" s="46">
        <v>0</v>
      </c>
      <c r="LW72" s="46">
        <v>0</v>
      </c>
      <c r="LX72" s="46">
        <v>0</v>
      </c>
      <c r="LY72" s="46">
        <v>0</v>
      </c>
      <c r="LZ72" s="46">
        <v>0</v>
      </c>
      <c r="MA72" s="46">
        <v>0</v>
      </c>
      <c r="MB72" s="46">
        <v>0</v>
      </c>
      <c r="MC72" s="46">
        <v>1975400</v>
      </c>
      <c r="MD72" s="46">
        <v>0</v>
      </c>
      <c r="ME72" s="46">
        <v>0</v>
      </c>
      <c r="MF72" s="46">
        <v>0</v>
      </c>
      <c r="MG72" s="46">
        <v>0</v>
      </c>
      <c r="MH72" s="46">
        <v>0</v>
      </c>
      <c r="MI72" s="46">
        <v>0</v>
      </c>
      <c r="MJ72" s="46">
        <v>0</v>
      </c>
      <c r="MK72" s="46">
        <v>0</v>
      </c>
      <c r="ML72" s="46">
        <v>73529</v>
      </c>
      <c r="MM72" s="46">
        <v>0</v>
      </c>
      <c r="MN72" s="46">
        <v>2312</v>
      </c>
      <c r="MO72" s="46">
        <v>0</v>
      </c>
      <c r="MP72" s="46">
        <v>0</v>
      </c>
      <c r="MQ72" s="46">
        <v>0</v>
      </c>
      <c r="MR72" s="46">
        <v>0</v>
      </c>
      <c r="MS72" s="46">
        <v>0</v>
      </c>
      <c r="MT72" s="46">
        <v>0</v>
      </c>
      <c r="MU72" s="46">
        <v>21120417</v>
      </c>
      <c r="MV72" s="46">
        <v>0</v>
      </c>
      <c r="MW72" s="46">
        <v>65042</v>
      </c>
      <c r="MX72" s="46">
        <v>0</v>
      </c>
      <c r="MY72" s="46">
        <v>0</v>
      </c>
      <c r="MZ72" s="46">
        <v>0</v>
      </c>
      <c r="NA72" s="46">
        <v>0</v>
      </c>
      <c r="NB72" s="46">
        <v>0</v>
      </c>
      <c r="NC72" s="46">
        <v>0</v>
      </c>
      <c r="ND72" s="46">
        <v>0</v>
      </c>
      <c r="NE72" s="46">
        <v>0</v>
      </c>
      <c r="NF72" s="46">
        <v>0</v>
      </c>
      <c r="NG72" s="46">
        <v>0</v>
      </c>
      <c r="NH72" s="46">
        <v>0</v>
      </c>
      <c r="NI72" s="46">
        <v>5890727</v>
      </c>
      <c r="NJ72" s="46">
        <v>0</v>
      </c>
      <c r="NK72" s="46">
        <v>0</v>
      </c>
      <c r="NL72" s="46">
        <v>0</v>
      </c>
      <c r="NM72" s="46">
        <v>0</v>
      </c>
      <c r="NN72" s="46">
        <v>0</v>
      </c>
      <c r="NO72" s="46">
        <v>0</v>
      </c>
      <c r="NP72" s="46">
        <v>0</v>
      </c>
      <c r="NQ72" s="46">
        <v>0</v>
      </c>
      <c r="NR72" s="46">
        <v>0</v>
      </c>
      <c r="NS72" s="46">
        <v>0</v>
      </c>
      <c r="NT72" s="46">
        <v>0</v>
      </c>
      <c r="NU72" s="46">
        <v>0</v>
      </c>
      <c r="NV72" s="46">
        <v>0</v>
      </c>
      <c r="NW72" s="46">
        <v>0</v>
      </c>
      <c r="NX72" s="46">
        <v>0</v>
      </c>
      <c r="NY72" s="46">
        <v>0</v>
      </c>
      <c r="NZ72" s="46">
        <v>0</v>
      </c>
      <c r="OA72" s="46">
        <v>0</v>
      </c>
      <c r="OB72" s="46">
        <v>0</v>
      </c>
      <c r="OC72" s="46">
        <v>0</v>
      </c>
      <c r="OD72" s="46">
        <v>0</v>
      </c>
      <c r="OE72" s="46">
        <v>717513</v>
      </c>
      <c r="OF72" s="46">
        <v>0</v>
      </c>
      <c r="OG72" s="46">
        <v>1345613</v>
      </c>
      <c r="OH72" s="46">
        <v>0</v>
      </c>
      <c r="OI72" s="46">
        <v>0</v>
      </c>
      <c r="OJ72" s="46">
        <v>0</v>
      </c>
      <c r="OK72" s="46">
        <v>0</v>
      </c>
      <c r="OL72" s="46">
        <v>0</v>
      </c>
      <c r="OM72" s="46">
        <v>0</v>
      </c>
      <c r="ON72" s="46">
        <v>738041</v>
      </c>
      <c r="OO72" s="46">
        <v>0</v>
      </c>
      <c r="OP72" s="46">
        <v>92910</v>
      </c>
      <c r="OQ72" s="46">
        <v>0</v>
      </c>
      <c r="OR72" s="46">
        <v>0</v>
      </c>
      <c r="OS72" s="46">
        <v>0</v>
      </c>
      <c r="OT72" s="46">
        <v>0</v>
      </c>
      <c r="OU72" s="46">
        <v>88375</v>
      </c>
      <c r="OV72" s="46">
        <v>0</v>
      </c>
      <c r="OW72" s="46">
        <v>0</v>
      </c>
      <c r="OX72" s="46">
        <v>0</v>
      </c>
      <c r="OY72" s="46">
        <v>0</v>
      </c>
      <c r="OZ72" s="46">
        <v>0</v>
      </c>
      <c r="PA72" s="46">
        <v>0</v>
      </c>
      <c r="PB72" s="46">
        <v>36798981</v>
      </c>
      <c r="PC72" s="46">
        <v>0</v>
      </c>
      <c r="PD72" s="46">
        <v>0</v>
      </c>
      <c r="PE72" s="46">
        <v>0</v>
      </c>
      <c r="PF72" s="46">
        <v>12984246</v>
      </c>
      <c r="PG72" s="46">
        <v>0</v>
      </c>
      <c r="PH72" s="46">
        <v>-100343</v>
      </c>
      <c r="PI72" s="46">
        <v>0</v>
      </c>
      <c r="PJ72" s="46">
        <v>0</v>
      </c>
      <c r="PK72" s="46">
        <v>63123079</v>
      </c>
      <c r="PL72" s="46">
        <v>0</v>
      </c>
      <c r="PM72" s="46">
        <v>7934234</v>
      </c>
      <c r="PN72" s="46">
        <v>0</v>
      </c>
      <c r="PO72" s="46">
        <v>0</v>
      </c>
      <c r="PP72" s="46">
        <v>0</v>
      </c>
      <c r="PQ72" s="46">
        <v>0</v>
      </c>
      <c r="PR72" s="46">
        <v>0</v>
      </c>
      <c r="PS72" s="46">
        <v>0</v>
      </c>
      <c r="PT72" s="46">
        <v>0</v>
      </c>
      <c r="PU72" s="46">
        <v>0</v>
      </c>
      <c r="PV72" s="46">
        <v>0</v>
      </c>
      <c r="PW72" s="46">
        <v>0</v>
      </c>
      <c r="PX72" s="46">
        <v>0</v>
      </c>
      <c r="PY72" s="46">
        <v>0</v>
      </c>
      <c r="PZ72" s="46">
        <v>0</v>
      </c>
      <c r="QA72" s="46">
        <v>0</v>
      </c>
      <c r="QB72" s="46">
        <v>0</v>
      </c>
      <c r="QC72" s="46">
        <v>0</v>
      </c>
      <c r="QD72" s="46">
        <v>0</v>
      </c>
      <c r="QE72" s="46">
        <v>0</v>
      </c>
      <c r="QF72" s="46">
        <v>0</v>
      </c>
      <c r="QG72" s="46">
        <v>568896</v>
      </c>
      <c r="QH72" s="46">
        <v>0</v>
      </c>
      <c r="QI72" s="46">
        <v>22407</v>
      </c>
      <c r="QJ72" s="46">
        <v>0</v>
      </c>
      <c r="QK72" s="46">
        <v>0</v>
      </c>
      <c r="QL72" s="46">
        <v>0</v>
      </c>
      <c r="QM72" s="46">
        <v>0</v>
      </c>
      <c r="QN72" s="46">
        <v>0</v>
      </c>
      <c r="QO72" s="46">
        <v>0</v>
      </c>
      <c r="QP72" s="46">
        <v>0</v>
      </c>
      <c r="QQ72" s="46">
        <v>0</v>
      </c>
      <c r="QR72" s="46">
        <v>0</v>
      </c>
      <c r="QS72" s="46">
        <v>0</v>
      </c>
      <c r="QT72" s="46">
        <v>0</v>
      </c>
      <c r="QU72" s="46">
        <v>0</v>
      </c>
      <c r="QV72" s="46">
        <v>0</v>
      </c>
      <c r="QW72" s="46">
        <v>0</v>
      </c>
      <c r="QX72" s="46">
        <v>0</v>
      </c>
      <c r="QY72" s="46">
        <v>0</v>
      </c>
      <c r="QZ72" s="46">
        <v>0</v>
      </c>
      <c r="RA72" s="46">
        <v>0</v>
      </c>
      <c r="RB72" s="46">
        <v>0</v>
      </c>
      <c r="RC72" s="46">
        <v>0</v>
      </c>
      <c r="RD72" s="46">
        <v>0</v>
      </c>
      <c r="RE72" s="46">
        <v>0</v>
      </c>
      <c r="RF72" s="46">
        <v>0</v>
      </c>
      <c r="RG72" s="46">
        <v>0</v>
      </c>
      <c r="RH72" s="46">
        <v>0</v>
      </c>
      <c r="RI72" s="46">
        <v>0</v>
      </c>
      <c r="RJ72" s="46">
        <v>0</v>
      </c>
      <c r="RK72" s="46">
        <v>0</v>
      </c>
      <c r="RL72" s="46">
        <v>0</v>
      </c>
      <c r="RM72" s="46">
        <v>0</v>
      </c>
      <c r="RN72" s="46">
        <v>0</v>
      </c>
      <c r="RO72" s="46">
        <v>-7455764</v>
      </c>
      <c r="RP72" s="46">
        <v>0</v>
      </c>
      <c r="RQ72" s="46">
        <v>0</v>
      </c>
      <c r="RR72" s="46">
        <v>0</v>
      </c>
      <c r="RS72" s="46">
        <v>0</v>
      </c>
      <c r="RT72" s="46">
        <v>0</v>
      </c>
      <c r="RU72" s="46">
        <v>0</v>
      </c>
      <c r="RV72" s="46">
        <v>0</v>
      </c>
      <c r="RW72" s="46">
        <v>0</v>
      </c>
      <c r="RX72" s="46">
        <v>0</v>
      </c>
      <c r="RY72" s="46">
        <v>0</v>
      </c>
      <c r="RZ72" s="46">
        <v>0</v>
      </c>
      <c r="SA72" s="46">
        <v>0</v>
      </c>
      <c r="SB72" s="46">
        <v>0</v>
      </c>
      <c r="SC72" s="46">
        <v>0</v>
      </c>
      <c r="SD72" s="46">
        <v>0</v>
      </c>
      <c r="SE72" s="46">
        <v>0</v>
      </c>
      <c r="SF72" s="46">
        <v>0</v>
      </c>
      <c r="SG72" s="46">
        <v>0</v>
      </c>
      <c r="SH72" s="46">
        <v>0</v>
      </c>
      <c r="SI72" s="46">
        <v>0</v>
      </c>
      <c r="SJ72" s="46">
        <v>0</v>
      </c>
      <c r="SK72" s="46">
        <v>0</v>
      </c>
      <c r="SL72" s="46">
        <v>0</v>
      </c>
      <c r="SM72" s="46">
        <v>0</v>
      </c>
      <c r="SN72" s="46">
        <v>0</v>
      </c>
      <c r="SO72" s="46">
        <v>0</v>
      </c>
      <c r="SP72" s="46">
        <v>0</v>
      </c>
      <c r="SQ72" s="46">
        <v>0</v>
      </c>
      <c r="SR72" s="46">
        <v>717513</v>
      </c>
      <c r="SS72" s="46">
        <v>0</v>
      </c>
      <c r="ST72" s="46">
        <v>1345613</v>
      </c>
      <c r="SU72" s="46">
        <v>0</v>
      </c>
      <c r="SV72" s="46">
        <v>0</v>
      </c>
      <c r="SW72" s="46">
        <v>-36798981</v>
      </c>
      <c r="SX72" s="46">
        <v>0</v>
      </c>
      <c r="SY72" s="46">
        <v>0</v>
      </c>
      <c r="SZ72" s="46">
        <v>0</v>
      </c>
      <c r="TA72" s="46">
        <v>1345613</v>
      </c>
      <c r="TB72" s="46">
        <v>0</v>
      </c>
      <c r="TC72" s="46">
        <v>0</v>
      </c>
      <c r="TD72" s="46">
        <v>0</v>
      </c>
      <c r="TE72" s="46">
        <v>0</v>
      </c>
      <c r="TF72" s="46">
        <v>717513</v>
      </c>
      <c r="TG72" s="46">
        <v>0</v>
      </c>
      <c r="TH72" s="46">
        <v>0</v>
      </c>
      <c r="TI72" s="46">
        <v>0</v>
      </c>
      <c r="TJ72" s="46">
        <v>0</v>
      </c>
      <c r="TK72" s="46">
        <v>0</v>
      </c>
      <c r="TL72" s="46">
        <v>885493</v>
      </c>
      <c r="TM72" s="46">
        <v>85289</v>
      </c>
      <c r="TN72" s="46">
        <v>0</v>
      </c>
      <c r="TO72" s="46">
        <v>0</v>
      </c>
      <c r="TP72" s="46">
        <v>0</v>
      </c>
      <c r="TQ72" s="46">
        <v>0</v>
      </c>
      <c r="TR72" s="46">
        <v>0</v>
      </c>
      <c r="TS72" s="46">
        <v>0</v>
      </c>
      <c r="TT72" s="46">
        <v>0</v>
      </c>
      <c r="TU72" s="46">
        <v>0</v>
      </c>
      <c r="TV72" s="46">
        <v>0</v>
      </c>
      <c r="TW72" s="46">
        <v>0</v>
      </c>
      <c r="TX72" s="46">
        <v>0</v>
      </c>
      <c r="TY72" s="46">
        <v>0</v>
      </c>
      <c r="TZ72" s="46">
        <v>0</v>
      </c>
      <c r="UA72" s="46">
        <v>0</v>
      </c>
      <c r="UB72" s="46">
        <v>0</v>
      </c>
      <c r="UC72" s="46">
        <v>0</v>
      </c>
      <c r="UD72" s="46">
        <v>0</v>
      </c>
      <c r="UE72" s="46">
        <v>0</v>
      </c>
      <c r="UF72" s="46">
        <v>21569551</v>
      </c>
      <c r="UG72" s="46">
        <v>492846</v>
      </c>
      <c r="UH72" s="46">
        <v>0</v>
      </c>
      <c r="UI72" s="46">
        <v>1975400</v>
      </c>
      <c r="UJ72" s="46">
        <v>75841</v>
      </c>
      <c r="UK72" s="46">
        <v>21185459</v>
      </c>
      <c r="UL72" s="46">
        <v>5890727</v>
      </c>
      <c r="UM72" s="46">
        <v>0</v>
      </c>
      <c r="UN72" s="46">
        <v>0</v>
      </c>
      <c r="UO72"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2063126</v>
      </c>
      <c r="UP72" s="46">
        <f>SUM(Input[[#This Row],[Oth Exp E&amp;G]],Input[[#This Row],[Oth Exp Desg]],Input[[#This Row],[Oth Exp Aux]],Input[[#This Row],[Oth Exp R Exp]],Input[[#This Row],[Oth Exp Loan]],Input[[#This Row],[Oth Exp Annuity]],Input[[#This Row],[Oth Exp Unexp]],Input[[#This Row],[Oth Exp R of Ind]],Input[[#This Row],[Oth Exp Inv in P]])</f>
        <v>919326</v>
      </c>
      <c r="UQ72" s="46"/>
      <c r="UR72" s="46"/>
      <c r="US72" s="8" t="s">
        <v>742</v>
      </c>
      <c r="UT72" s="47">
        <v>9798459761</v>
      </c>
      <c r="UU72" s="8" t="s">
        <v>71</v>
      </c>
      <c r="UV72" s="8" t="s">
        <v>783</v>
      </c>
      <c r="UW72" s="47">
        <v>9794586090</v>
      </c>
      <c r="UX72" s="8" t="s">
        <v>784</v>
      </c>
      <c r="UY72" s="51" t="str" cm="1">
        <f t="array" ref="UY72">IFERROR(_xlfn.IFS(Input[[#This Row],[Type]]="HRI",SUMIFS('FTSE | FTFE'!$P$8:$P$77,'FTSE | FTFE'!$H$8:$H$77,A72),Input[[#This Row],[Type]]="UNIV",SUMIFS('FTSE | FTFE'!$P$104:$P$139,'FTSE | FTFE'!$H$104:$H$139,A72),OR(Input[[#This Row],[Type]]="TSTC",Input[[#This Row],[Type]]="LSC"),SUMIFS('FTSE | FTFE'!$O$88:$O$96,'FTSE | FTFE'!$H$88:$H$96,A72),Input[[#This Row],[Type]]="AHM",SUMIFS(Hidden!$H$42:$H$45,Hidden!$G$42:$G$45,A72)),"N/A")</f>
        <v>N/A</v>
      </c>
      <c r="UZ72" s="51" t="str" cm="1">
        <f t="array" ref="UZ72">IFERROR(_xlfn.IFS(Input[[#This Row],[Type]]="HRI",SUMIFS('FTSE | FTFE'!$Q$8:$Q$77,'FTSE | FTFE'!$H$8:$H$77,A72),Input[[#This Row],[Type]]="UNIV",SUMIFS('FTSE | FTFE'!$Q$104:$Q$139,'FTSE | FTFE'!$H$104:$H$139,A72),OR(Input[[#This Row],[Type]]="TSTC",Input[[#This Row],[Type]]="LSC"),SUMIFS('FTSE | FTFE'!$P$88:$P$96,'FTSE | FTFE'!$H$88:$H$96,A72)),"N/A")</f>
        <v>N/A</v>
      </c>
      <c r="VA72"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0</v>
      </c>
      <c r="VB72"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2" s="46">
        <f>SUM(Input[[#This Row],[Fed G&amp;C E&amp;G]],Input[[#This Row],[Fed G&amp;C Desg]],Input[[#This Row],[Fed G&amp;C R Exp]],Input[[#This Row],[Fed G&amp;C Loan]],Input[[#This Row],[Fed G&amp;C Annuity]],Input[[#This Row],[Fed G&amp;C Unexp]],Input[[#This Row],[Fed G&amp;C R of Ind]],Input[[#This Row],[Fed G&amp;C Inv in P]])</f>
        <v>22682031</v>
      </c>
      <c r="VD72"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22785016</v>
      </c>
      <c r="VE72"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2"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2" s="46">
        <f>SUM(Input[[#This Row],[Oth Inc E&amp;G]],Input[[#This Row],[Oth Exp Desg]],Input[[#This Row],[Oth Exp R Exp]],Input[[#This Row],[Oth Exp Loan]],Input[[#This Row],[Oth Exp Annuity]],Input[[#This Row],[Oth Exp Unexp]],Input[[#This Row],[Oth Exp R of Ind]],Input[[#This Row],[Oth Exp Inv in P]])</f>
        <v>919326</v>
      </c>
      <c r="VH72" s="46">
        <f>SUM(Input[[#This Row],[Instr E&amp;G]],Input[[#This Row],[Instr Desg]],Input[[#This Row],[Instr R Exp]],Input[[#This Row],[Instr Loan]],Input[[#This Row],[Instr Annuity]],Input[[#This Row],[Instr Unexp]],Input[[#This Row],[Instr R of Ind]],Input[[#This Row],[Instr Inv in P]])</f>
        <v>0</v>
      </c>
      <c r="VI72" s="46">
        <f>SUM(Input[[#This Row],[Res E&amp;G]],Input[[#This Row],[Res Desg]],Input[[#This Row],[Res R Exp]],Input[[#This Row],[Res Loan]],Input[[#This Row],[Res Annuity]],Input[[#This Row],[Res Unexp]],Input[[#This Row],[Res R of Ind]],Input[[#This Row],[Res Inv in P]])</f>
        <v>21569551</v>
      </c>
      <c r="VJ72" s="46">
        <f>SUM(Input[[#This Row],[Acad Sup E&amp;G]],Input[[#This Row],[Acad Sup Desg]],Input[[#This Row],[Acad Sup R Exp]],Input[[#This Row],[Acad Sup Loan]],Input[[#This Row],[Acad Sup Annuity]],Input[[#This Row],[Acad Sup Unexp]],Input[[#This Row],[Acad Sup R of Ind]],Input[[#This Row],[Acad Sup Inv in P]])</f>
        <v>1975400</v>
      </c>
      <c r="VK72" s="46">
        <f>SUM(Input[[#This Row],[Stu Svc E&amp;G]],Input[[#This Row],[Stu Svc Desg]],Input[[#This Row],[Stu Svc R Exp]],Input[[#This Row],[Stu Svc Loan]],Input[[#This Row],[Stu Svc Annuity]],Input[[#This Row],[Stu Svc Unexp]],Input[[#This Row],[Stu Svc R of Ind]],Input[[#This Row],[Stu Svc Inv in P]])</f>
        <v>75841</v>
      </c>
      <c r="VL72" s="46">
        <f>SUM(Input[[#This Row],[Inst. Spt E&amp;G]],Input[[#This Row],[Inst. Spt Desg]],Input[[#This Row],[Inst. Spt R Exp]],Input[[#This Row],[Inst. Spt Loan]],Input[[#This Row],[Inst. Spt Annuity]],Input[[#This Row],[Inst. Spt Unexp]],Input[[#This Row],[Inst. Spt R of Ind]],Input[[#This Row],[Inst. Spt Inv in P]])</f>
        <v>21185459</v>
      </c>
      <c r="VM72" s="46">
        <f>SUM(Input[[#This Row],[M&amp;O Plnt E&amp;G]],Input[[#This Row],[M&amp;O Plnt Desg]],Input[[#This Row],[M&amp;O Plnt R Exp]],Input[[#This Row],[M&amp;O Plnt Loan]],Input[[#This Row],[M&amp;O Plnt Annuity]],Input[[#This Row],[M&amp;O Plnt Unexp]],Input[[#This Row],[M&amp;O Plnt R of Ind]],Input[[#This Row],[M&amp;O Plnt Inv in P]])</f>
        <v>5890727</v>
      </c>
      <c r="VN72"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2" s="46">
        <f>SUM(Input[[#This Row],[Cap Out fund E&amp;G]],Input[[#This Row],[Cap Out fund Desg]],Input[[#This Row],[Cap Out fund R Exp]],Input[[#This Row],[Cap Out fund Loan]],Input[[#This Row],[Cap Out fund Annuity]],Input[[#This Row],[Cap Out fund Unexp]],Input[[#This Row],[Cap Out fund R of Ind]],Input[[#This Row],[Cap Out fund Inv in P]])</f>
        <v>2063126</v>
      </c>
      <c r="VP72" s="46">
        <f>SUM(Input[[#This Row],[Oth Exp E&amp;G]],Input[[#This Row],[Oth Exp Desg]],Input[[#This Row],[Oth Exp R Exp]],Input[[#This Row],[Oth Exp Loan]],Input[[#This Row],[Oth Exp Annuity]],Input[[#This Row],[Oth Exp Unexp]],Input[[#This Row],[Oth Exp R of Ind]],Input[[#This Row],[Oth Exp Inv in P]],Input[[#This Row],[Oth Exp Inv in P]])</f>
        <v>1007701</v>
      </c>
    </row>
    <row r="73" spans="1:588" ht="30" customHeight="1" x14ac:dyDescent="0.3">
      <c r="A73" s="15" t="s">
        <v>53</v>
      </c>
      <c r="B73" s="36" t="s">
        <v>111</v>
      </c>
      <c r="C73" s="36" t="s">
        <v>119</v>
      </c>
      <c r="D73" s="36">
        <v>1101</v>
      </c>
      <c r="E73" s="36" t="s">
        <v>132</v>
      </c>
      <c r="F73" s="95" t="s">
        <v>106</v>
      </c>
      <c r="G73" s="46">
        <v>105226427</v>
      </c>
      <c r="H73" s="46">
        <v>0</v>
      </c>
      <c r="I73" s="46">
        <v>0</v>
      </c>
      <c r="J73" s="46">
        <v>0</v>
      </c>
      <c r="K73" s="46">
        <v>0</v>
      </c>
      <c r="L73" s="46">
        <v>0</v>
      </c>
      <c r="M73" s="46">
        <v>0</v>
      </c>
      <c r="N73" s="46">
        <v>0</v>
      </c>
      <c r="O73" s="46">
        <v>0</v>
      </c>
      <c r="P73" s="46">
        <v>0</v>
      </c>
      <c r="Q73" s="46">
        <v>201340</v>
      </c>
      <c r="R73" s="46">
        <v>0</v>
      </c>
      <c r="S73" s="46">
        <v>1216623</v>
      </c>
      <c r="T73" s="46">
        <v>0</v>
      </c>
      <c r="U73" s="46">
        <v>0</v>
      </c>
      <c r="V73" s="46">
        <v>0</v>
      </c>
      <c r="W73" s="46">
        <v>0</v>
      </c>
      <c r="X73" s="46">
        <v>0</v>
      </c>
      <c r="Y73" s="46">
        <v>0</v>
      </c>
      <c r="Z73" s="46">
        <v>0</v>
      </c>
      <c r="AA73" s="46">
        <v>0</v>
      </c>
      <c r="AB73" s="46">
        <v>0</v>
      </c>
      <c r="AC73" s="46">
        <v>0</v>
      </c>
      <c r="AD73" s="46">
        <v>0</v>
      </c>
      <c r="AE73" s="46">
        <v>0</v>
      </c>
      <c r="AF73" s="46">
        <v>0</v>
      </c>
      <c r="AG73" s="46">
        <v>0</v>
      </c>
      <c r="AH73" s="46">
        <v>0</v>
      </c>
      <c r="AI73" s="46">
        <v>0</v>
      </c>
      <c r="AJ73" s="46">
        <v>0</v>
      </c>
      <c r="AK73" s="46">
        <v>0</v>
      </c>
      <c r="AL73" s="46">
        <v>0</v>
      </c>
      <c r="AM73" s="46">
        <v>0</v>
      </c>
      <c r="AN73" s="46">
        <v>0</v>
      </c>
      <c r="AO73" s="46">
        <v>0</v>
      </c>
      <c r="AP73" s="46">
        <v>0</v>
      </c>
      <c r="AQ73" s="46">
        <v>0</v>
      </c>
      <c r="AR73" s="46">
        <v>0</v>
      </c>
      <c r="AS73" s="46">
        <v>0</v>
      </c>
      <c r="AT73" s="46">
        <v>0</v>
      </c>
      <c r="AU73" s="46">
        <v>0</v>
      </c>
      <c r="AV73" s="46">
        <v>0</v>
      </c>
      <c r="AW73" s="46">
        <v>0</v>
      </c>
      <c r="AX73" s="46">
        <v>0</v>
      </c>
      <c r="AY73" s="46">
        <v>0</v>
      </c>
      <c r="AZ73" s="46">
        <v>0</v>
      </c>
      <c r="BA73" s="46">
        <v>0</v>
      </c>
      <c r="BB73" s="46">
        <v>0</v>
      </c>
      <c r="BC73" s="46">
        <v>0</v>
      </c>
      <c r="BD73" s="46">
        <v>0</v>
      </c>
      <c r="BE73" s="46">
        <v>0</v>
      </c>
      <c r="BF73" s="46">
        <v>0</v>
      </c>
      <c r="BG73" s="46">
        <v>0</v>
      </c>
      <c r="BH73" s="46">
        <v>0</v>
      </c>
      <c r="BI73" s="46">
        <v>0</v>
      </c>
      <c r="BJ73" s="46">
        <v>0</v>
      </c>
      <c r="BK73" s="46">
        <v>0</v>
      </c>
      <c r="BL73" s="46">
        <v>0</v>
      </c>
      <c r="BM73" s="46">
        <v>0</v>
      </c>
      <c r="BN73" s="46">
        <v>0</v>
      </c>
      <c r="BO73" s="46">
        <v>0</v>
      </c>
      <c r="BP73" s="46">
        <v>0</v>
      </c>
      <c r="BQ73" s="46">
        <v>0</v>
      </c>
      <c r="BR73" s="46">
        <v>0</v>
      </c>
      <c r="BS73" s="46">
        <v>0</v>
      </c>
      <c r="BT73" s="46">
        <v>0</v>
      </c>
      <c r="BU73" s="46">
        <v>0</v>
      </c>
      <c r="BV73" s="46">
        <v>0</v>
      </c>
      <c r="BW73" s="46">
        <v>0</v>
      </c>
      <c r="BX73" s="46">
        <v>0</v>
      </c>
      <c r="BY73" s="46">
        <v>0</v>
      </c>
      <c r="BZ73" s="46">
        <v>0</v>
      </c>
      <c r="CA73" s="46">
        <v>0</v>
      </c>
      <c r="CB73" s="46">
        <v>0</v>
      </c>
      <c r="CC73" s="46">
        <v>0</v>
      </c>
      <c r="CD73" s="46">
        <v>0</v>
      </c>
      <c r="CE73" s="46">
        <v>0</v>
      </c>
      <c r="CF73" s="46">
        <v>0</v>
      </c>
      <c r="CG73" s="46">
        <v>0</v>
      </c>
      <c r="CH73" s="46">
        <v>0</v>
      </c>
      <c r="CI73" s="46">
        <v>0</v>
      </c>
      <c r="CJ73" s="46">
        <v>0</v>
      </c>
      <c r="CK73" s="46">
        <v>0</v>
      </c>
      <c r="CL73" s="46">
        <v>0</v>
      </c>
      <c r="CM73" s="46">
        <v>0</v>
      </c>
      <c r="CN73" s="46">
        <v>0</v>
      </c>
      <c r="CO73" s="46">
        <v>0</v>
      </c>
      <c r="CP73" s="46">
        <v>0</v>
      </c>
      <c r="CQ73" s="46">
        <v>0</v>
      </c>
      <c r="CR73" s="46">
        <v>0</v>
      </c>
      <c r="CS73" s="46">
        <v>0</v>
      </c>
      <c r="CT73" s="46">
        <v>0</v>
      </c>
      <c r="CU73" s="46">
        <v>0</v>
      </c>
      <c r="CV73" s="46">
        <v>0</v>
      </c>
      <c r="CW73" s="46">
        <v>0</v>
      </c>
      <c r="CX73" s="46">
        <v>0</v>
      </c>
      <c r="CY73" s="46">
        <v>0</v>
      </c>
      <c r="CZ73" s="46">
        <v>0</v>
      </c>
      <c r="DA73" s="46">
        <v>0</v>
      </c>
      <c r="DB73" s="46">
        <v>0</v>
      </c>
      <c r="DC73" s="46">
        <v>0</v>
      </c>
      <c r="DD73" s="46">
        <v>0</v>
      </c>
      <c r="DE73" s="46">
        <v>0</v>
      </c>
      <c r="DF73" s="46">
        <v>0</v>
      </c>
      <c r="DG73" s="46">
        <v>0</v>
      </c>
      <c r="DH73" s="46">
        <v>0</v>
      </c>
      <c r="DI73" s="46">
        <v>0</v>
      </c>
      <c r="DJ73" s="46">
        <v>0</v>
      </c>
      <c r="DK73" s="46">
        <v>0</v>
      </c>
      <c r="DL73" s="46">
        <v>0</v>
      </c>
      <c r="DM73" s="46">
        <v>0</v>
      </c>
      <c r="DN73" s="46">
        <v>0</v>
      </c>
      <c r="DO73" s="46">
        <v>0</v>
      </c>
      <c r="DP73" s="46">
        <v>0</v>
      </c>
      <c r="DQ73" s="46">
        <v>0</v>
      </c>
      <c r="DR73" s="46">
        <v>0</v>
      </c>
      <c r="DS73" s="46">
        <v>0</v>
      </c>
      <c r="DT73" s="46">
        <v>0</v>
      </c>
      <c r="DU73" s="46">
        <v>0</v>
      </c>
      <c r="DV73" s="46">
        <v>0</v>
      </c>
      <c r="DW73" s="46">
        <v>0</v>
      </c>
      <c r="DX73" s="46">
        <v>0</v>
      </c>
      <c r="DY73" s="46">
        <v>0</v>
      </c>
      <c r="DZ73" s="46">
        <v>0</v>
      </c>
      <c r="EA73" s="46">
        <v>0</v>
      </c>
      <c r="EB73" s="46">
        <v>0</v>
      </c>
      <c r="EC73" s="46">
        <v>0</v>
      </c>
      <c r="ED73" s="46">
        <v>0</v>
      </c>
      <c r="EE73" s="46">
        <v>0</v>
      </c>
      <c r="EF73" s="46">
        <v>0</v>
      </c>
      <c r="EG73" s="46">
        <v>0</v>
      </c>
      <c r="EH73" s="46">
        <v>0</v>
      </c>
      <c r="EI73" s="46">
        <v>0</v>
      </c>
      <c r="EJ73" s="46">
        <v>0</v>
      </c>
      <c r="EK73" s="46">
        <v>0</v>
      </c>
      <c r="EL73" s="46">
        <v>0</v>
      </c>
      <c r="EM73" s="46">
        <v>0</v>
      </c>
      <c r="EN73" s="46">
        <v>0</v>
      </c>
      <c r="EO73" s="46">
        <v>0</v>
      </c>
      <c r="EP73" s="46">
        <v>0</v>
      </c>
      <c r="EQ73" s="46">
        <v>0</v>
      </c>
      <c r="ER73" s="46">
        <v>0</v>
      </c>
      <c r="ES73" s="46">
        <v>0</v>
      </c>
      <c r="ET73" s="46">
        <v>0</v>
      </c>
      <c r="EU73" s="46">
        <v>0</v>
      </c>
      <c r="EV73" s="46">
        <v>0</v>
      </c>
      <c r="EW73" s="46">
        <v>0</v>
      </c>
      <c r="EX73" s="46">
        <v>0</v>
      </c>
      <c r="EY73" s="46">
        <v>0</v>
      </c>
      <c r="EZ73" s="46">
        <v>0</v>
      </c>
      <c r="FA73" s="46">
        <v>0</v>
      </c>
      <c r="FB73" s="46">
        <v>0</v>
      </c>
      <c r="FC73" s="46">
        <v>0</v>
      </c>
      <c r="FD73" s="46">
        <v>0</v>
      </c>
      <c r="FE73" s="46">
        <v>0</v>
      </c>
      <c r="FF73" s="46">
        <v>0</v>
      </c>
      <c r="FG73" s="46">
        <v>0</v>
      </c>
      <c r="FH73" s="46">
        <v>0</v>
      </c>
      <c r="FI73" s="46">
        <v>0</v>
      </c>
      <c r="FJ73" s="46">
        <v>0</v>
      </c>
      <c r="FK73" s="46">
        <v>0</v>
      </c>
      <c r="FL73" s="46">
        <v>0</v>
      </c>
      <c r="FM73" s="46">
        <v>0</v>
      </c>
      <c r="FN73" s="46">
        <v>0</v>
      </c>
      <c r="FO73" s="46">
        <v>0</v>
      </c>
      <c r="FP73" s="46">
        <v>0</v>
      </c>
      <c r="FQ73" s="46">
        <v>0</v>
      </c>
      <c r="FR73" s="46">
        <v>0</v>
      </c>
      <c r="FS73" s="46">
        <v>0</v>
      </c>
      <c r="FT73" s="46">
        <v>0</v>
      </c>
      <c r="FU73" s="46">
        <v>0</v>
      </c>
      <c r="FV73" s="46">
        <v>0</v>
      </c>
      <c r="FW73" s="46">
        <v>0</v>
      </c>
      <c r="FX73" s="46">
        <v>0</v>
      </c>
      <c r="FY73" s="46">
        <v>0</v>
      </c>
      <c r="FZ73" s="46">
        <v>0</v>
      </c>
      <c r="GA73" s="46">
        <v>0</v>
      </c>
      <c r="GB73" s="46">
        <v>0</v>
      </c>
      <c r="GC73" s="46">
        <v>0</v>
      </c>
      <c r="GD73" s="46">
        <v>0</v>
      </c>
      <c r="GE73" s="46">
        <v>0</v>
      </c>
      <c r="GF73" s="46">
        <v>0</v>
      </c>
      <c r="GG73" s="46">
        <v>0</v>
      </c>
      <c r="GH73" s="46">
        <v>0</v>
      </c>
      <c r="GI73" s="46">
        <v>0</v>
      </c>
      <c r="GJ73" s="46">
        <v>0</v>
      </c>
      <c r="GK73" s="46">
        <v>0</v>
      </c>
      <c r="GL73" s="46">
        <v>0</v>
      </c>
      <c r="GM73" s="46">
        <v>0</v>
      </c>
      <c r="GN73" s="46">
        <v>0</v>
      </c>
      <c r="GO73" s="46">
        <v>0</v>
      </c>
      <c r="GP73" s="46">
        <v>0</v>
      </c>
      <c r="GQ73" s="46">
        <v>0</v>
      </c>
      <c r="GR73" s="46">
        <v>0</v>
      </c>
      <c r="GS73" s="46">
        <v>0</v>
      </c>
      <c r="GT73" s="46">
        <v>0</v>
      </c>
      <c r="GU73" s="46">
        <v>0</v>
      </c>
      <c r="GV73" s="46">
        <v>0</v>
      </c>
      <c r="GW73" s="46">
        <v>0</v>
      </c>
      <c r="GX73" s="46">
        <v>0</v>
      </c>
      <c r="GY73" s="46">
        <v>0</v>
      </c>
      <c r="GZ73" s="46">
        <v>0</v>
      </c>
      <c r="HA73" s="46">
        <v>0</v>
      </c>
      <c r="HB73" s="46">
        <v>0</v>
      </c>
      <c r="HC73" s="46">
        <v>0</v>
      </c>
      <c r="HD73" s="46">
        <v>0</v>
      </c>
      <c r="HE73" s="46">
        <v>0</v>
      </c>
      <c r="HF73" s="46">
        <v>0</v>
      </c>
      <c r="HG73" s="46">
        <v>0</v>
      </c>
      <c r="HH73" s="46">
        <v>0</v>
      </c>
      <c r="HI73" s="46">
        <v>0</v>
      </c>
      <c r="HJ73" s="46">
        <v>0</v>
      </c>
      <c r="HK73" s="46">
        <v>0</v>
      </c>
      <c r="HL73" s="46">
        <v>0</v>
      </c>
      <c r="HM73" s="46">
        <v>0</v>
      </c>
      <c r="HN73" s="46">
        <v>0</v>
      </c>
      <c r="HO73" s="46">
        <v>10149933</v>
      </c>
      <c r="HP73" s="46">
        <v>22217069</v>
      </c>
      <c r="HQ73" s="46">
        <v>0</v>
      </c>
      <c r="HR73" s="46">
        <v>101392306</v>
      </c>
      <c r="HS73" s="46">
        <v>0</v>
      </c>
      <c r="HT73" s="46">
        <v>0</v>
      </c>
      <c r="HU73" s="46">
        <v>0</v>
      </c>
      <c r="HV73" s="46">
        <v>0</v>
      </c>
      <c r="HW73" s="46">
        <v>0</v>
      </c>
      <c r="HX73" s="46">
        <v>0</v>
      </c>
      <c r="HY73" s="46">
        <v>0</v>
      </c>
      <c r="HZ73" s="46">
        <v>0</v>
      </c>
      <c r="IA73" s="46">
        <v>0</v>
      </c>
      <c r="IB73" s="46">
        <v>0</v>
      </c>
      <c r="IC73" s="46">
        <v>0</v>
      </c>
      <c r="ID73" s="46">
        <v>0</v>
      </c>
      <c r="IE73" s="46">
        <v>0</v>
      </c>
      <c r="IF73" s="46">
        <v>0</v>
      </c>
      <c r="IG73" s="46">
        <v>0</v>
      </c>
      <c r="IH73" s="46">
        <v>0</v>
      </c>
      <c r="II73" s="46">
        <v>0</v>
      </c>
      <c r="IJ73" s="46">
        <v>0</v>
      </c>
      <c r="IK73" s="46">
        <v>0</v>
      </c>
      <c r="IL73" s="46">
        <v>0</v>
      </c>
      <c r="IM73" s="46">
        <v>0</v>
      </c>
      <c r="IN73" s="46">
        <v>0</v>
      </c>
      <c r="IO73" s="46">
        <v>0</v>
      </c>
      <c r="IP73" s="46">
        <v>3235</v>
      </c>
      <c r="IQ73" s="46">
        <v>10207963</v>
      </c>
      <c r="IR73" s="46">
        <v>0</v>
      </c>
      <c r="IS73" s="46">
        <v>195159</v>
      </c>
      <c r="IT73" s="46">
        <v>0</v>
      </c>
      <c r="IU73" s="46">
        <v>0</v>
      </c>
      <c r="IV73" s="46">
        <v>0</v>
      </c>
      <c r="IW73" s="46">
        <v>0</v>
      </c>
      <c r="IX73" s="46">
        <v>0</v>
      </c>
      <c r="IY73" s="46">
        <v>0</v>
      </c>
      <c r="IZ73" s="46">
        <v>0</v>
      </c>
      <c r="JA73" s="46">
        <v>0</v>
      </c>
      <c r="JB73" s="46">
        <v>0</v>
      </c>
      <c r="JC73" s="46">
        <v>0</v>
      </c>
      <c r="JD73" s="46">
        <v>0</v>
      </c>
      <c r="JE73" s="46">
        <v>0</v>
      </c>
      <c r="JF73" s="46">
        <v>0</v>
      </c>
      <c r="JG73" s="46">
        <v>0</v>
      </c>
      <c r="JH73" s="46">
        <v>0</v>
      </c>
      <c r="JI73" s="46">
        <v>5772794</v>
      </c>
      <c r="JJ73" s="46">
        <v>0</v>
      </c>
      <c r="JK73" s="46">
        <v>13688645</v>
      </c>
      <c r="JL73" s="46">
        <v>0</v>
      </c>
      <c r="JM73" s="46">
        <v>0</v>
      </c>
      <c r="JN73" s="46">
        <v>0</v>
      </c>
      <c r="JO73" s="46">
        <v>0</v>
      </c>
      <c r="JP73" s="46">
        <v>0</v>
      </c>
      <c r="JQ73" s="46">
        <v>7479889</v>
      </c>
      <c r="JR73" s="46">
        <v>25338208</v>
      </c>
      <c r="JS73" s="46">
        <v>0</v>
      </c>
      <c r="JT73" s="46">
        <v>0</v>
      </c>
      <c r="JU73" s="46">
        <v>0</v>
      </c>
      <c r="JV73" s="46">
        <v>0</v>
      </c>
      <c r="JW73" s="46">
        <v>0</v>
      </c>
      <c r="JX73" s="46">
        <v>0</v>
      </c>
      <c r="JY73" s="46">
        <v>0</v>
      </c>
      <c r="JZ73" s="46">
        <v>0</v>
      </c>
      <c r="KA73" s="46">
        <v>0</v>
      </c>
      <c r="KB73" s="46">
        <v>0</v>
      </c>
      <c r="KC73" s="46">
        <v>0</v>
      </c>
      <c r="KD73" s="46">
        <v>0</v>
      </c>
      <c r="KE73" s="46">
        <v>0</v>
      </c>
      <c r="KF73" s="46">
        <v>0</v>
      </c>
      <c r="KG73" s="46">
        <v>0</v>
      </c>
      <c r="KH73" s="46">
        <v>0</v>
      </c>
      <c r="KI73" s="46">
        <v>70113</v>
      </c>
      <c r="KJ73" s="46">
        <v>3796697</v>
      </c>
      <c r="KK73" s="46">
        <v>0</v>
      </c>
      <c r="KL73" s="46">
        <v>225000</v>
      </c>
      <c r="KM73" s="46">
        <v>0</v>
      </c>
      <c r="KN73" s="46">
        <v>0</v>
      </c>
      <c r="KO73" s="46">
        <v>0</v>
      </c>
      <c r="KP73" s="46">
        <v>0</v>
      </c>
      <c r="KQ73" s="46">
        <v>2124345</v>
      </c>
      <c r="KR73" s="46">
        <v>0</v>
      </c>
      <c r="KS73" s="46">
        <v>0</v>
      </c>
      <c r="KT73" s="46">
        <v>0</v>
      </c>
      <c r="KU73" s="46">
        <v>0</v>
      </c>
      <c r="KV73" s="46">
        <v>0</v>
      </c>
      <c r="KW73" s="46">
        <v>0</v>
      </c>
      <c r="KX73" s="46">
        <v>0</v>
      </c>
      <c r="KY73" s="46">
        <v>0</v>
      </c>
      <c r="KZ73" s="46">
        <v>0</v>
      </c>
      <c r="LA73" s="46">
        <v>110927101</v>
      </c>
      <c r="LB73" s="46">
        <v>60122990</v>
      </c>
      <c r="LC73" s="46">
        <v>0</v>
      </c>
      <c r="LD73" s="46">
        <v>112749260</v>
      </c>
      <c r="LE73" s="46">
        <v>0</v>
      </c>
      <c r="LF73" s="46">
        <v>0</v>
      </c>
      <c r="LG73" s="46">
        <v>25543</v>
      </c>
      <c r="LH73" s="46">
        <v>0</v>
      </c>
      <c r="LI73" s="46">
        <v>0</v>
      </c>
      <c r="LJ73" s="46">
        <v>6310116</v>
      </c>
      <c r="LK73" s="46">
        <v>0</v>
      </c>
      <c r="LL73" s="46">
        <v>0</v>
      </c>
      <c r="LM73" s="46">
        <v>-949</v>
      </c>
      <c r="LN73" s="46">
        <v>0</v>
      </c>
      <c r="LO73" s="46">
        <v>0</v>
      </c>
      <c r="LP73" s="46">
        <v>0</v>
      </c>
      <c r="LQ73" s="46">
        <v>0</v>
      </c>
      <c r="LR73" s="46">
        <v>0</v>
      </c>
      <c r="LS73" s="46">
        <v>0</v>
      </c>
      <c r="LT73" s="46">
        <v>0</v>
      </c>
      <c r="LU73" s="46">
        <v>0</v>
      </c>
      <c r="LV73" s="46">
        <v>0</v>
      </c>
      <c r="LW73" s="46">
        <v>0</v>
      </c>
      <c r="LX73" s="46">
        <v>0</v>
      </c>
      <c r="LY73" s="46">
        <v>0</v>
      </c>
      <c r="LZ73" s="46">
        <v>0</v>
      </c>
      <c r="MA73" s="46">
        <v>0</v>
      </c>
      <c r="MB73" s="46">
        <v>0</v>
      </c>
      <c r="MC73" s="46">
        <v>0</v>
      </c>
      <c r="MD73" s="46">
        <v>0</v>
      </c>
      <c r="ME73" s="46">
        <v>0</v>
      </c>
      <c r="MF73" s="46">
        <v>0</v>
      </c>
      <c r="MG73" s="46">
        <v>0</v>
      </c>
      <c r="MH73" s="46">
        <v>0</v>
      </c>
      <c r="MI73" s="46">
        <v>0</v>
      </c>
      <c r="MJ73" s="46">
        <v>0</v>
      </c>
      <c r="MK73" s="46">
        <v>0</v>
      </c>
      <c r="ML73" s="46">
        <v>0</v>
      </c>
      <c r="MM73" s="46">
        <v>0</v>
      </c>
      <c r="MN73" s="46">
        <v>0</v>
      </c>
      <c r="MO73" s="46">
        <v>0</v>
      </c>
      <c r="MP73" s="46">
        <v>0</v>
      </c>
      <c r="MQ73" s="46">
        <v>0</v>
      </c>
      <c r="MR73" s="46">
        <v>0</v>
      </c>
      <c r="MS73" s="46">
        <v>0</v>
      </c>
      <c r="MT73" s="46">
        <v>0</v>
      </c>
      <c r="MU73" s="46">
        <v>0</v>
      </c>
      <c r="MV73" s="46">
        <v>0</v>
      </c>
      <c r="MW73" s="46">
        <v>0</v>
      </c>
      <c r="MX73" s="46">
        <v>0</v>
      </c>
      <c r="MY73" s="46">
        <v>0</v>
      </c>
      <c r="MZ73" s="46">
        <v>0</v>
      </c>
      <c r="NA73" s="46">
        <v>0</v>
      </c>
      <c r="NB73" s="46">
        <v>0</v>
      </c>
      <c r="NC73" s="46">
        <v>0</v>
      </c>
      <c r="ND73" s="46">
        <v>0</v>
      </c>
      <c r="NE73" s="46">
        <v>0</v>
      </c>
      <c r="NF73" s="46">
        <v>0</v>
      </c>
      <c r="NG73" s="46">
        <v>0</v>
      </c>
      <c r="NH73" s="46">
        <v>0</v>
      </c>
      <c r="NI73" s="46">
        <v>0</v>
      </c>
      <c r="NJ73" s="46">
        <v>0</v>
      </c>
      <c r="NK73" s="46">
        <v>0</v>
      </c>
      <c r="NL73" s="46">
        <v>0</v>
      </c>
      <c r="NM73" s="46">
        <v>0</v>
      </c>
      <c r="NN73" s="46">
        <v>0</v>
      </c>
      <c r="NO73" s="46">
        <v>0</v>
      </c>
      <c r="NP73" s="46">
        <v>0</v>
      </c>
      <c r="NQ73" s="46">
        <v>0</v>
      </c>
      <c r="NR73" s="46">
        <v>0</v>
      </c>
      <c r="NS73" s="46">
        <v>0</v>
      </c>
      <c r="NT73" s="46">
        <v>0</v>
      </c>
      <c r="NU73" s="46">
        <v>0</v>
      </c>
      <c r="NV73" s="46">
        <v>0</v>
      </c>
      <c r="NW73" s="46">
        <v>0</v>
      </c>
      <c r="NX73" s="46">
        <v>0</v>
      </c>
      <c r="NY73" s="46">
        <v>0</v>
      </c>
      <c r="NZ73" s="46">
        <v>0</v>
      </c>
      <c r="OA73" s="46">
        <v>0</v>
      </c>
      <c r="OB73" s="46">
        <v>0</v>
      </c>
      <c r="OC73" s="46">
        <v>0</v>
      </c>
      <c r="OD73" s="46">
        <v>7716472</v>
      </c>
      <c r="OE73" s="46">
        <v>4285397</v>
      </c>
      <c r="OF73" s="46">
        <v>0</v>
      </c>
      <c r="OG73" s="46">
        <v>5815903</v>
      </c>
      <c r="OH73" s="46">
        <v>0</v>
      </c>
      <c r="OI73" s="46">
        <v>0</v>
      </c>
      <c r="OJ73" s="46">
        <v>0</v>
      </c>
      <c r="OK73" s="46">
        <v>0</v>
      </c>
      <c r="OL73" s="46">
        <v>0</v>
      </c>
      <c r="OM73" s="46">
        <v>0</v>
      </c>
      <c r="ON73" s="46">
        <v>438620</v>
      </c>
      <c r="OO73" s="46">
        <v>0</v>
      </c>
      <c r="OP73" s="46">
        <v>0</v>
      </c>
      <c r="OQ73" s="46">
        <v>0</v>
      </c>
      <c r="OR73" s="46">
        <v>0</v>
      </c>
      <c r="OS73" s="46">
        <v>0</v>
      </c>
      <c r="OT73" s="46">
        <v>0</v>
      </c>
      <c r="OU73" s="46">
        <v>393257</v>
      </c>
      <c r="OV73" s="46">
        <v>0</v>
      </c>
      <c r="OW73" s="46">
        <v>0</v>
      </c>
      <c r="OX73" s="46">
        <v>0</v>
      </c>
      <c r="OY73" s="46">
        <v>0</v>
      </c>
      <c r="OZ73" s="46">
        <v>0</v>
      </c>
      <c r="PA73" s="46">
        <v>0</v>
      </c>
      <c r="PB73" s="46">
        <v>2660968</v>
      </c>
      <c r="PC73" s="46">
        <v>0</v>
      </c>
      <c r="PD73" s="46">
        <v>0</v>
      </c>
      <c r="PE73" s="46">
        <v>528424</v>
      </c>
      <c r="PF73" s="46">
        <v>-1064054</v>
      </c>
      <c r="PG73" s="46">
        <v>0</v>
      </c>
      <c r="PH73" s="46">
        <v>1860659</v>
      </c>
      <c r="PI73" s="46">
        <v>0</v>
      </c>
      <c r="PJ73" s="46">
        <v>1441085</v>
      </c>
      <c r="PK73" s="46">
        <v>6605000</v>
      </c>
      <c r="PL73" s="46">
        <v>0</v>
      </c>
      <c r="PM73" s="46">
        <v>0</v>
      </c>
      <c r="PN73" s="46">
        <v>0</v>
      </c>
      <c r="PO73" s="46">
        <v>0</v>
      </c>
      <c r="PP73" s="46">
        <v>0</v>
      </c>
      <c r="PQ73" s="46">
        <v>0</v>
      </c>
      <c r="PR73" s="46">
        <v>0</v>
      </c>
      <c r="PS73" s="46">
        <v>0</v>
      </c>
      <c r="PT73" s="46">
        <v>0</v>
      </c>
      <c r="PU73" s="46">
        <v>0</v>
      </c>
      <c r="PV73" s="46">
        <v>0</v>
      </c>
      <c r="PW73" s="46">
        <v>0</v>
      </c>
      <c r="PX73" s="46">
        <v>-2054960</v>
      </c>
      <c r="PY73" s="46">
        <v>0</v>
      </c>
      <c r="PZ73" s="46">
        <v>0</v>
      </c>
      <c r="QA73" s="46">
        <v>0</v>
      </c>
      <c r="QB73" s="46">
        <v>0</v>
      </c>
      <c r="QC73" s="46">
        <v>0</v>
      </c>
      <c r="QD73" s="46">
        <v>0</v>
      </c>
      <c r="QE73" s="46">
        <v>0</v>
      </c>
      <c r="QF73" s="46">
        <v>428792</v>
      </c>
      <c r="QG73" s="46">
        <v>5087555</v>
      </c>
      <c r="QH73" s="46">
        <v>0</v>
      </c>
      <c r="QI73" s="46">
        <v>-1782633</v>
      </c>
      <c r="QJ73" s="46">
        <v>0</v>
      </c>
      <c r="QK73" s="46">
        <v>7361</v>
      </c>
      <c r="QL73" s="46">
        <v>0</v>
      </c>
      <c r="QM73" s="46">
        <v>0</v>
      </c>
      <c r="QN73" s="46">
        <v>0</v>
      </c>
      <c r="QO73" s="46">
        <v>0</v>
      </c>
      <c r="QP73" s="46">
        <v>0</v>
      </c>
      <c r="QQ73" s="46">
        <v>0</v>
      </c>
      <c r="QR73" s="46">
        <v>0</v>
      </c>
      <c r="QS73" s="46">
        <v>0</v>
      </c>
      <c r="QT73" s="46">
        <v>0</v>
      </c>
      <c r="QU73" s="46">
        <v>0</v>
      </c>
      <c r="QV73" s="46">
        <v>0</v>
      </c>
      <c r="QW73" s="46">
        <v>0</v>
      </c>
      <c r="QX73" s="46">
        <v>0</v>
      </c>
      <c r="QY73" s="46">
        <v>0</v>
      </c>
      <c r="QZ73" s="46">
        <v>0</v>
      </c>
      <c r="RA73" s="46">
        <v>0</v>
      </c>
      <c r="RB73" s="46">
        <v>0</v>
      </c>
      <c r="RC73" s="46">
        <v>0</v>
      </c>
      <c r="RD73" s="46">
        <v>0</v>
      </c>
      <c r="RE73" s="46">
        <v>0</v>
      </c>
      <c r="RF73" s="46">
        <v>0</v>
      </c>
      <c r="RG73" s="46">
        <v>0</v>
      </c>
      <c r="RH73" s="46">
        <v>0</v>
      </c>
      <c r="RI73" s="46">
        <v>0</v>
      </c>
      <c r="RJ73" s="46">
        <v>0</v>
      </c>
      <c r="RK73" s="46">
        <v>0</v>
      </c>
      <c r="RL73" s="46">
        <v>0</v>
      </c>
      <c r="RM73" s="46">
        <v>0</v>
      </c>
      <c r="RN73" s="46">
        <v>0</v>
      </c>
      <c r="RO73" s="46">
        <v>-22989513</v>
      </c>
      <c r="RP73" s="46">
        <v>0</v>
      </c>
      <c r="RQ73" s="46">
        <v>0</v>
      </c>
      <c r="RR73" s="46">
        <v>0</v>
      </c>
      <c r="RS73" s="46">
        <v>0</v>
      </c>
      <c r="RT73" s="46">
        <v>0</v>
      </c>
      <c r="RU73" s="46">
        <v>0</v>
      </c>
      <c r="RV73" s="46">
        <v>0</v>
      </c>
      <c r="RW73" s="46">
        <v>0</v>
      </c>
      <c r="RX73" s="46">
        <v>-855051</v>
      </c>
      <c r="RY73" s="46">
        <v>0</v>
      </c>
      <c r="RZ73" s="46">
        <v>0</v>
      </c>
      <c r="SA73" s="46">
        <v>0</v>
      </c>
      <c r="SB73" s="46">
        <v>0</v>
      </c>
      <c r="SC73" s="46">
        <v>0</v>
      </c>
      <c r="SD73" s="46">
        <v>0</v>
      </c>
      <c r="SE73" s="46">
        <v>0</v>
      </c>
      <c r="SF73" s="46">
        <v>0</v>
      </c>
      <c r="SG73" s="46">
        <v>0</v>
      </c>
      <c r="SH73" s="46">
        <v>0</v>
      </c>
      <c r="SI73" s="46">
        <v>0</v>
      </c>
      <c r="SJ73" s="46">
        <v>0</v>
      </c>
      <c r="SK73" s="46">
        <v>0</v>
      </c>
      <c r="SL73" s="46">
        <v>0</v>
      </c>
      <c r="SM73" s="46">
        <v>0</v>
      </c>
      <c r="SN73" s="46">
        <v>0</v>
      </c>
      <c r="SO73" s="46">
        <v>0</v>
      </c>
      <c r="SP73" s="46">
        <v>1145240</v>
      </c>
      <c r="SQ73" s="46">
        <v>7716472</v>
      </c>
      <c r="SR73" s="46">
        <v>4285397</v>
      </c>
      <c r="SS73" s="46">
        <v>0</v>
      </c>
      <c r="ST73" s="46">
        <v>5815903</v>
      </c>
      <c r="SU73" s="46">
        <v>0</v>
      </c>
      <c r="SV73" s="46">
        <v>0</v>
      </c>
      <c r="SW73" s="46">
        <v>-2660968</v>
      </c>
      <c r="SX73" s="46">
        <v>0</v>
      </c>
      <c r="SY73" s="46">
        <v>0</v>
      </c>
      <c r="SZ73" s="46">
        <v>0</v>
      </c>
      <c r="TA73" s="46">
        <v>17718748</v>
      </c>
      <c r="TB73" s="46">
        <v>99024</v>
      </c>
      <c r="TC73" s="46">
        <v>0</v>
      </c>
      <c r="TD73" s="46">
        <v>0</v>
      </c>
      <c r="TE73" s="46">
        <v>0</v>
      </c>
      <c r="TF73" s="46">
        <v>0</v>
      </c>
      <c r="TG73" s="46">
        <v>0</v>
      </c>
      <c r="TH73" s="46">
        <v>0</v>
      </c>
      <c r="TI73" s="46">
        <v>0</v>
      </c>
      <c r="TJ73" s="46">
        <v>0</v>
      </c>
      <c r="TK73" s="46">
        <v>0</v>
      </c>
      <c r="TL73" s="46">
        <v>4443025</v>
      </c>
      <c r="TM73" s="46">
        <v>0</v>
      </c>
      <c r="TN73" s="46">
        <v>0</v>
      </c>
      <c r="TO73" s="46">
        <v>0</v>
      </c>
      <c r="TP73" s="46">
        <v>0</v>
      </c>
      <c r="TQ73" s="46">
        <v>0</v>
      </c>
      <c r="TR73" s="46">
        <v>0</v>
      </c>
      <c r="TS73" s="46">
        <v>0</v>
      </c>
      <c r="TT73" s="46">
        <v>0</v>
      </c>
      <c r="TU73" s="46">
        <v>167574</v>
      </c>
      <c r="TV73" s="46">
        <v>0</v>
      </c>
      <c r="TW73" s="46">
        <v>0</v>
      </c>
      <c r="TX73" s="46">
        <v>0</v>
      </c>
      <c r="TY73" s="46">
        <v>0</v>
      </c>
      <c r="TZ73" s="46">
        <v>0</v>
      </c>
      <c r="UA73" s="46">
        <v>0</v>
      </c>
      <c r="UB73" s="46">
        <v>0</v>
      </c>
      <c r="UC73" s="46">
        <v>0</v>
      </c>
      <c r="UD73" s="46">
        <v>0</v>
      </c>
      <c r="UE73" s="46">
        <v>0</v>
      </c>
      <c r="UF73" s="46">
        <v>283824894</v>
      </c>
      <c r="UG73" s="46">
        <v>6309167</v>
      </c>
      <c r="UH73" s="46">
        <v>0</v>
      </c>
      <c r="UI73" s="46">
        <v>0</v>
      </c>
      <c r="UJ73" s="46">
        <v>0</v>
      </c>
      <c r="UK73" s="46">
        <v>0</v>
      </c>
      <c r="UL73" s="46">
        <v>0</v>
      </c>
      <c r="UM73" s="46">
        <v>0</v>
      </c>
      <c r="UN73" s="46">
        <v>0</v>
      </c>
      <c r="UO73"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17817772</v>
      </c>
      <c r="UP73" s="46">
        <f>SUM(Input[[#This Row],[Oth Exp E&amp;G]],Input[[#This Row],[Oth Exp Desg]],Input[[#This Row],[Oth Exp Aux]],Input[[#This Row],[Oth Exp R Exp]],Input[[#This Row],[Oth Exp Loan]],Input[[#This Row],[Oth Exp Annuity]],Input[[#This Row],[Oth Exp Unexp]],Input[[#This Row],[Oth Exp R of Ind]],Input[[#This Row],[Oth Exp Inv in P]])</f>
        <v>831877</v>
      </c>
      <c r="UQ73" s="46"/>
      <c r="UR73" s="46"/>
      <c r="US73" s="8" t="s">
        <v>742</v>
      </c>
      <c r="UT73" s="47">
        <v>9798459761</v>
      </c>
      <c r="UU73" s="8" t="s">
        <v>71</v>
      </c>
      <c r="UV73" s="8" t="s">
        <v>773</v>
      </c>
      <c r="UW73" s="47">
        <v>9793145898</v>
      </c>
      <c r="UX73" s="8" t="s">
        <v>774</v>
      </c>
      <c r="UY73" s="51" t="str" cm="1">
        <f t="array" ref="UY73">IFERROR(_xlfn.IFS(Input[[#This Row],[Type]]="HRI",SUMIFS('FTSE | FTFE'!$P$8:$P$77,'FTSE | FTFE'!$H$8:$H$77,A73),Input[[#This Row],[Type]]="UNIV",SUMIFS('FTSE | FTFE'!$P$104:$P$139,'FTSE | FTFE'!$H$104:$H$139,A73),OR(Input[[#This Row],[Type]]="TSTC",Input[[#This Row],[Type]]="LSC"),SUMIFS('FTSE | FTFE'!$O$88:$O$96,'FTSE | FTFE'!$H$88:$H$96,A73),Input[[#This Row],[Type]]="AHM",SUMIFS(Hidden!$H$42:$H$45,Hidden!$G$42:$G$45,A73)),"N/A")</f>
        <v>N/A</v>
      </c>
      <c r="UZ73" s="51" t="str" cm="1">
        <f t="array" ref="UZ73">IFERROR(_xlfn.IFS(Input[[#This Row],[Type]]="HRI",SUMIFS('FTSE | FTFE'!$Q$8:$Q$77,'FTSE | FTFE'!$H$8:$H$77,A73),Input[[#This Row],[Type]]="UNIV",SUMIFS('FTSE | FTFE'!$Q$104:$Q$139,'FTSE | FTFE'!$H$104:$H$139,A73),OR(Input[[#This Row],[Type]]="TSTC",Input[[#This Row],[Type]]="LSC"),SUMIFS('FTSE | FTFE'!$P$88:$P$96,'FTSE | FTFE'!$H$88:$H$96,A73)),"N/A")</f>
        <v>N/A</v>
      </c>
      <c r="VA73"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106644390</v>
      </c>
      <c r="VB73"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3" s="46">
        <f>SUM(Input[[#This Row],[Fed G&amp;C E&amp;G]],Input[[#This Row],[Fed G&amp;C Desg]],Input[[#This Row],[Fed G&amp;C R Exp]],Input[[#This Row],[Fed G&amp;C Loan]],Input[[#This Row],[Fed G&amp;C Annuity]],Input[[#This Row],[Fed G&amp;C Unexp]],Input[[#This Row],[Fed G&amp;C R of Ind]],Input[[#This Row],[Fed G&amp;C Inv in P]])</f>
        <v>133759308</v>
      </c>
      <c r="VD73"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68902048</v>
      </c>
      <c r="VE73"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3"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3" s="46">
        <f>SUM(Input[[#This Row],[Oth Inc E&amp;G]],Input[[#This Row],[Oth Exp Desg]],Input[[#This Row],[Oth Exp R Exp]],Input[[#This Row],[Oth Exp Loan]],Input[[#This Row],[Oth Exp Annuity]],Input[[#This Row],[Oth Exp Unexp]],Input[[#This Row],[Oth Exp R of Ind]],Input[[#This Row],[Oth Exp Inv in P]])</f>
        <v>901990</v>
      </c>
      <c r="VH73" s="46">
        <f>SUM(Input[[#This Row],[Instr E&amp;G]],Input[[#This Row],[Instr Desg]],Input[[#This Row],[Instr R Exp]],Input[[#This Row],[Instr Loan]],Input[[#This Row],[Instr Annuity]],Input[[#This Row],[Instr Unexp]],Input[[#This Row],[Instr R of Ind]],Input[[#This Row],[Instr Inv in P]])</f>
        <v>0</v>
      </c>
      <c r="VI73" s="46">
        <f>SUM(Input[[#This Row],[Res E&amp;G]],Input[[#This Row],[Res Desg]],Input[[#This Row],[Res R Exp]],Input[[#This Row],[Res Loan]],Input[[#This Row],[Res Annuity]],Input[[#This Row],[Res Unexp]],Input[[#This Row],[Res R of Ind]],Input[[#This Row],[Res Inv in P]])</f>
        <v>283824894</v>
      </c>
      <c r="VJ73" s="46">
        <f>SUM(Input[[#This Row],[Acad Sup E&amp;G]],Input[[#This Row],[Acad Sup Desg]],Input[[#This Row],[Acad Sup R Exp]],Input[[#This Row],[Acad Sup Loan]],Input[[#This Row],[Acad Sup Annuity]],Input[[#This Row],[Acad Sup Unexp]],Input[[#This Row],[Acad Sup R of Ind]],Input[[#This Row],[Acad Sup Inv in P]])</f>
        <v>0</v>
      </c>
      <c r="VK73" s="46">
        <f>SUM(Input[[#This Row],[Stu Svc E&amp;G]],Input[[#This Row],[Stu Svc Desg]],Input[[#This Row],[Stu Svc R Exp]],Input[[#This Row],[Stu Svc Loan]],Input[[#This Row],[Stu Svc Annuity]],Input[[#This Row],[Stu Svc Unexp]],Input[[#This Row],[Stu Svc R of Ind]],Input[[#This Row],[Stu Svc Inv in P]])</f>
        <v>0</v>
      </c>
      <c r="VL73" s="46">
        <f>SUM(Input[[#This Row],[Inst. Spt E&amp;G]],Input[[#This Row],[Inst. Spt Desg]],Input[[#This Row],[Inst. Spt R Exp]],Input[[#This Row],[Inst. Spt Loan]],Input[[#This Row],[Inst. Spt Annuity]],Input[[#This Row],[Inst. Spt Unexp]],Input[[#This Row],[Inst. Spt R of Ind]],Input[[#This Row],[Inst. Spt Inv in P]])</f>
        <v>0</v>
      </c>
      <c r="VM73" s="46">
        <f>SUM(Input[[#This Row],[M&amp;O Plnt E&amp;G]],Input[[#This Row],[M&amp;O Plnt Desg]],Input[[#This Row],[M&amp;O Plnt R Exp]],Input[[#This Row],[M&amp;O Plnt Loan]],Input[[#This Row],[M&amp;O Plnt Annuity]],Input[[#This Row],[M&amp;O Plnt Unexp]],Input[[#This Row],[M&amp;O Plnt R of Ind]],Input[[#This Row],[M&amp;O Plnt Inv in P]])</f>
        <v>0</v>
      </c>
      <c r="VN73"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3" s="46">
        <f>SUM(Input[[#This Row],[Cap Out fund E&amp;G]],Input[[#This Row],[Cap Out fund Desg]],Input[[#This Row],[Cap Out fund R Exp]],Input[[#This Row],[Cap Out fund Loan]],Input[[#This Row],[Cap Out fund Annuity]],Input[[#This Row],[Cap Out fund Unexp]],Input[[#This Row],[Cap Out fund R of Ind]],Input[[#This Row],[Cap Out fund Inv in P]])</f>
        <v>17817772</v>
      </c>
      <c r="VP73" s="46">
        <f>SUM(Input[[#This Row],[Oth Exp E&amp;G]],Input[[#This Row],[Oth Exp Desg]],Input[[#This Row],[Oth Exp R Exp]],Input[[#This Row],[Oth Exp Loan]],Input[[#This Row],[Oth Exp Annuity]],Input[[#This Row],[Oth Exp Unexp]],Input[[#This Row],[Oth Exp R of Ind]],Input[[#This Row],[Oth Exp Inv in P]],Input[[#This Row],[Oth Exp Inv in P]])</f>
        <v>1225134</v>
      </c>
    </row>
    <row r="74" spans="1:588" ht="30" customHeight="1" x14ac:dyDescent="0.3">
      <c r="A74" s="15" t="s">
        <v>98</v>
      </c>
      <c r="B74" s="36" t="s">
        <v>111</v>
      </c>
      <c r="C74" s="36" t="s">
        <v>119</v>
      </c>
      <c r="D74" s="36">
        <v>1102</v>
      </c>
      <c r="E74" s="36" t="s">
        <v>132</v>
      </c>
      <c r="F74" s="95" t="s">
        <v>106</v>
      </c>
      <c r="G74" s="46">
        <v>85208352</v>
      </c>
      <c r="H74" s="46">
        <v>0</v>
      </c>
      <c r="I74" s="46">
        <v>0</v>
      </c>
      <c r="J74" s="46">
        <v>0</v>
      </c>
      <c r="K74" s="46">
        <v>0</v>
      </c>
      <c r="L74" s="46">
        <v>0</v>
      </c>
      <c r="M74" s="46">
        <v>0</v>
      </c>
      <c r="N74" s="46">
        <v>0</v>
      </c>
      <c r="O74" s="46">
        <v>0</v>
      </c>
      <c r="P74" s="46">
        <v>0</v>
      </c>
      <c r="Q74" s="46">
        <v>118621</v>
      </c>
      <c r="R74" s="46">
        <v>0</v>
      </c>
      <c r="S74" s="46">
        <v>725927</v>
      </c>
      <c r="T74" s="46">
        <v>0</v>
      </c>
      <c r="U74" s="46">
        <v>0</v>
      </c>
      <c r="V74" s="46">
        <v>0</v>
      </c>
      <c r="W74" s="46">
        <v>0</v>
      </c>
      <c r="X74" s="46">
        <v>0</v>
      </c>
      <c r="Y74" s="46">
        <v>0</v>
      </c>
      <c r="Z74" s="46">
        <v>0</v>
      </c>
      <c r="AA74" s="46">
        <v>0</v>
      </c>
      <c r="AB74" s="46">
        <v>0</v>
      </c>
      <c r="AC74" s="46">
        <v>0</v>
      </c>
      <c r="AD74" s="46">
        <v>0</v>
      </c>
      <c r="AE74" s="46">
        <v>0</v>
      </c>
      <c r="AF74" s="46">
        <v>0</v>
      </c>
      <c r="AG74" s="46">
        <v>0</v>
      </c>
      <c r="AH74" s="46">
        <v>0</v>
      </c>
      <c r="AI74" s="46">
        <v>0</v>
      </c>
      <c r="AJ74" s="46">
        <v>0</v>
      </c>
      <c r="AK74" s="46">
        <v>0</v>
      </c>
      <c r="AL74" s="46">
        <v>0</v>
      </c>
      <c r="AM74" s="46">
        <v>0</v>
      </c>
      <c r="AN74" s="46">
        <v>0</v>
      </c>
      <c r="AO74" s="46">
        <v>0</v>
      </c>
      <c r="AP74" s="46">
        <v>0</v>
      </c>
      <c r="AQ74" s="46">
        <v>0</v>
      </c>
      <c r="AR74" s="46">
        <v>0</v>
      </c>
      <c r="AS74" s="46">
        <v>0</v>
      </c>
      <c r="AT74" s="46">
        <v>0</v>
      </c>
      <c r="AU74" s="46">
        <v>0</v>
      </c>
      <c r="AV74" s="46">
        <v>0</v>
      </c>
      <c r="AW74" s="46">
        <v>0</v>
      </c>
      <c r="AX74" s="46">
        <v>0</v>
      </c>
      <c r="AY74" s="46">
        <v>0</v>
      </c>
      <c r="AZ74" s="46">
        <v>0</v>
      </c>
      <c r="BA74" s="46">
        <v>0</v>
      </c>
      <c r="BB74" s="46">
        <v>0</v>
      </c>
      <c r="BC74" s="46">
        <v>0</v>
      </c>
      <c r="BD74" s="46">
        <v>0</v>
      </c>
      <c r="BE74" s="46">
        <v>0</v>
      </c>
      <c r="BF74" s="46">
        <v>0</v>
      </c>
      <c r="BG74" s="46">
        <v>0</v>
      </c>
      <c r="BH74" s="46">
        <v>0</v>
      </c>
      <c r="BI74" s="46">
        <v>0</v>
      </c>
      <c r="BJ74" s="46">
        <v>0</v>
      </c>
      <c r="BK74" s="46">
        <v>0</v>
      </c>
      <c r="BL74" s="46">
        <v>0</v>
      </c>
      <c r="BM74" s="46">
        <v>0</v>
      </c>
      <c r="BN74" s="46">
        <v>0</v>
      </c>
      <c r="BO74" s="46">
        <v>0</v>
      </c>
      <c r="BP74" s="46">
        <v>0</v>
      </c>
      <c r="BQ74" s="46">
        <v>0</v>
      </c>
      <c r="BR74" s="46">
        <v>0</v>
      </c>
      <c r="BS74" s="46">
        <v>0</v>
      </c>
      <c r="BT74" s="46">
        <v>0</v>
      </c>
      <c r="BU74" s="46">
        <v>0</v>
      </c>
      <c r="BV74" s="46">
        <v>0</v>
      </c>
      <c r="BW74" s="46">
        <v>0</v>
      </c>
      <c r="BX74" s="46">
        <v>0</v>
      </c>
      <c r="BY74" s="46">
        <v>0</v>
      </c>
      <c r="BZ74" s="46">
        <v>0</v>
      </c>
      <c r="CA74" s="46">
        <v>0</v>
      </c>
      <c r="CB74" s="46">
        <v>0</v>
      </c>
      <c r="CC74" s="46">
        <v>0</v>
      </c>
      <c r="CD74" s="46">
        <v>0</v>
      </c>
      <c r="CE74" s="46">
        <v>0</v>
      </c>
      <c r="CF74" s="46">
        <v>0</v>
      </c>
      <c r="CG74" s="46">
        <v>0</v>
      </c>
      <c r="CH74" s="46">
        <v>0</v>
      </c>
      <c r="CI74" s="46">
        <v>0</v>
      </c>
      <c r="CJ74" s="46">
        <v>0</v>
      </c>
      <c r="CK74" s="46">
        <v>0</v>
      </c>
      <c r="CL74" s="46">
        <v>0</v>
      </c>
      <c r="CM74" s="46">
        <v>0</v>
      </c>
      <c r="CN74" s="46">
        <v>0</v>
      </c>
      <c r="CO74" s="46">
        <v>0</v>
      </c>
      <c r="CP74" s="46">
        <v>0</v>
      </c>
      <c r="CQ74" s="46">
        <v>0</v>
      </c>
      <c r="CR74" s="46">
        <v>0</v>
      </c>
      <c r="CS74" s="46">
        <v>0</v>
      </c>
      <c r="CT74" s="46">
        <v>0</v>
      </c>
      <c r="CU74" s="46">
        <v>0</v>
      </c>
      <c r="CV74" s="46">
        <v>0</v>
      </c>
      <c r="CW74" s="46">
        <v>0</v>
      </c>
      <c r="CX74" s="46">
        <v>0</v>
      </c>
      <c r="CY74" s="46">
        <v>0</v>
      </c>
      <c r="CZ74" s="46">
        <v>0</v>
      </c>
      <c r="DA74" s="46">
        <v>0</v>
      </c>
      <c r="DB74" s="46">
        <v>0</v>
      </c>
      <c r="DC74" s="46">
        <v>0</v>
      </c>
      <c r="DD74" s="46">
        <v>0</v>
      </c>
      <c r="DE74" s="46">
        <v>0</v>
      </c>
      <c r="DF74" s="46">
        <v>0</v>
      </c>
      <c r="DG74" s="46">
        <v>0</v>
      </c>
      <c r="DH74" s="46">
        <v>0</v>
      </c>
      <c r="DI74" s="46">
        <v>0</v>
      </c>
      <c r="DJ74" s="46">
        <v>0</v>
      </c>
      <c r="DK74" s="46">
        <v>0</v>
      </c>
      <c r="DL74" s="46">
        <v>0</v>
      </c>
      <c r="DM74" s="46">
        <v>0</v>
      </c>
      <c r="DN74" s="46">
        <v>0</v>
      </c>
      <c r="DO74" s="46">
        <v>0</v>
      </c>
      <c r="DP74" s="46">
        <v>0</v>
      </c>
      <c r="DQ74" s="46">
        <v>0</v>
      </c>
      <c r="DR74" s="46">
        <v>0</v>
      </c>
      <c r="DS74" s="46">
        <v>0</v>
      </c>
      <c r="DT74" s="46">
        <v>0</v>
      </c>
      <c r="DU74" s="46">
        <v>0</v>
      </c>
      <c r="DV74" s="46">
        <v>0</v>
      </c>
      <c r="DW74" s="46">
        <v>0</v>
      </c>
      <c r="DX74" s="46">
        <v>0</v>
      </c>
      <c r="DY74" s="46">
        <v>0</v>
      </c>
      <c r="DZ74" s="46">
        <v>0</v>
      </c>
      <c r="EA74" s="46">
        <v>0</v>
      </c>
      <c r="EB74" s="46">
        <v>0</v>
      </c>
      <c r="EC74" s="46">
        <v>0</v>
      </c>
      <c r="ED74" s="46">
        <v>0</v>
      </c>
      <c r="EE74" s="46">
        <v>0</v>
      </c>
      <c r="EF74" s="46">
        <v>0</v>
      </c>
      <c r="EG74" s="46">
        <v>0</v>
      </c>
      <c r="EH74" s="46">
        <v>0</v>
      </c>
      <c r="EI74" s="46">
        <v>0</v>
      </c>
      <c r="EJ74" s="46">
        <v>0</v>
      </c>
      <c r="EK74" s="46">
        <v>0</v>
      </c>
      <c r="EL74" s="46">
        <v>0</v>
      </c>
      <c r="EM74" s="46">
        <v>0</v>
      </c>
      <c r="EN74" s="46">
        <v>0</v>
      </c>
      <c r="EO74" s="46">
        <v>0</v>
      </c>
      <c r="EP74" s="46">
        <v>0</v>
      </c>
      <c r="EQ74" s="46">
        <v>0</v>
      </c>
      <c r="ER74" s="46">
        <v>0</v>
      </c>
      <c r="ES74" s="46">
        <v>0</v>
      </c>
      <c r="ET74" s="46">
        <v>0</v>
      </c>
      <c r="EU74" s="46">
        <v>0</v>
      </c>
      <c r="EV74" s="46">
        <v>0</v>
      </c>
      <c r="EW74" s="46">
        <v>0</v>
      </c>
      <c r="EX74" s="46">
        <v>0</v>
      </c>
      <c r="EY74" s="46">
        <v>0</v>
      </c>
      <c r="EZ74" s="46">
        <v>0</v>
      </c>
      <c r="FA74" s="46">
        <v>0</v>
      </c>
      <c r="FB74" s="46">
        <v>0</v>
      </c>
      <c r="FC74" s="46">
        <v>0</v>
      </c>
      <c r="FD74" s="46">
        <v>0</v>
      </c>
      <c r="FE74" s="46">
        <v>0</v>
      </c>
      <c r="FF74" s="46">
        <v>0</v>
      </c>
      <c r="FG74" s="46">
        <v>0</v>
      </c>
      <c r="FH74" s="46">
        <v>0</v>
      </c>
      <c r="FI74" s="46">
        <v>0</v>
      </c>
      <c r="FJ74" s="46">
        <v>0</v>
      </c>
      <c r="FK74" s="46">
        <v>0</v>
      </c>
      <c r="FL74" s="46">
        <v>0</v>
      </c>
      <c r="FM74" s="46">
        <v>0</v>
      </c>
      <c r="FN74" s="46">
        <v>0</v>
      </c>
      <c r="FO74" s="46">
        <v>0</v>
      </c>
      <c r="FP74" s="46">
        <v>0</v>
      </c>
      <c r="FQ74" s="46">
        <v>0</v>
      </c>
      <c r="FR74" s="46">
        <v>0</v>
      </c>
      <c r="FS74" s="46">
        <v>0</v>
      </c>
      <c r="FT74" s="46">
        <v>0</v>
      </c>
      <c r="FU74" s="46">
        <v>0</v>
      </c>
      <c r="FV74" s="46">
        <v>0</v>
      </c>
      <c r="FW74" s="46">
        <v>0</v>
      </c>
      <c r="FX74" s="46">
        <v>0</v>
      </c>
      <c r="FY74" s="46">
        <v>0</v>
      </c>
      <c r="FZ74" s="46">
        <v>0</v>
      </c>
      <c r="GA74" s="46">
        <v>0</v>
      </c>
      <c r="GB74" s="46">
        <v>0</v>
      </c>
      <c r="GC74" s="46">
        <v>0</v>
      </c>
      <c r="GD74" s="46">
        <v>0</v>
      </c>
      <c r="GE74" s="46">
        <v>0</v>
      </c>
      <c r="GF74" s="46">
        <v>0</v>
      </c>
      <c r="GG74" s="46">
        <v>0</v>
      </c>
      <c r="GH74" s="46">
        <v>0</v>
      </c>
      <c r="GI74" s="46">
        <v>0</v>
      </c>
      <c r="GJ74" s="46">
        <v>0</v>
      </c>
      <c r="GK74" s="46">
        <v>0</v>
      </c>
      <c r="GL74" s="46">
        <v>0</v>
      </c>
      <c r="GM74" s="46">
        <v>0</v>
      </c>
      <c r="GN74" s="46">
        <v>0</v>
      </c>
      <c r="GO74" s="46">
        <v>0</v>
      </c>
      <c r="GP74" s="46">
        <v>0</v>
      </c>
      <c r="GQ74" s="46">
        <v>0</v>
      </c>
      <c r="GR74" s="46">
        <v>0</v>
      </c>
      <c r="GS74" s="46">
        <v>0</v>
      </c>
      <c r="GT74" s="46">
        <v>0</v>
      </c>
      <c r="GU74" s="46">
        <v>0</v>
      </c>
      <c r="GV74" s="46">
        <v>0</v>
      </c>
      <c r="GW74" s="46">
        <v>0</v>
      </c>
      <c r="GX74" s="46">
        <v>0</v>
      </c>
      <c r="GY74" s="46">
        <v>0</v>
      </c>
      <c r="GZ74" s="46">
        <v>0</v>
      </c>
      <c r="HA74" s="46">
        <v>0</v>
      </c>
      <c r="HB74" s="46">
        <v>0</v>
      </c>
      <c r="HC74" s="46">
        <v>0</v>
      </c>
      <c r="HD74" s="46">
        <v>0</v>
      </c>
      <c r="HE74" s="46">
        <v>0</v>
      </c>
      <c r="HF74" s="46">
        <v>0</v>
      </c>
      <c r="HG74" s="46">
        <v>0</v>
      </c>
      <c r="HH74" s="46">
        <v>0</v>
      </c>
      <c r="HI74" s="46">
        <v>0</v>
      </c>
      <c r="HJ74" s="46">
        <v>0</v>
      </c>
      <c r="HK74" s="46">
        <v>0</v>
      </c>
      <c r="HL74" s="46">
        <v>0</v>
      </c>
      <c r="HM74" s="46">
        <v>0</v>
      </c>
      <c r="HN74" s="46">
        <v>0</v>
      </c>
      <c r="HO74" s="46">
        <v>14431887</v>
      </c>
      <c r="HP74" s="46">
        <v>5983117</v>
      </c>
      <c r="HQ74" s="46">
        <v>0</v>
      </c>
      <c r="HR74" s="46">
        <v>32674274</v>
      </c>
      <c r="HS74" s="46">
        <v>0</v>
      </c>
      <c r="HT74" s="46">
        <v>0</v>
      </c>
      <c r="HU74" s="46">
        <v>0</v>
      </c>
      <c r="HV74" s="46">
        <v>0</v>
      </c>
      <c r="HW74" s="46">
        <v>0</v>
      </c>
      <c r="HX74" s="46">
        <v>0</v>
      </c>
      <c r="HY74" s="46">
        <v>0</v>
      </c>
      <c r="HZ74" s="46">
        <v>0</v>
      </c>
      <c r="IA74" s="46">
        <v>0</v>
      </c>
      <c r="IB74" s="46">
        <v>0</v>
      </c>
      <c r="IC74" s="46">
        <v>0</v>
      </c>
      <c r="ID74" s="46">
        <v>0</v>
      </c>
      <c r="IE74" s="46">
        <v>0</v>
      </c>
      <c r="IF74" s="46">
        <v>0</v>
      </c>
      <c r="IG74" s="46">
        <v>0</v>
      </c>
      <c r="IH74" s="46">
        <v>0</v>
      </c>
      <c r="II74" s="46">
        <v>0</v>
      </c>
      <c r="IJ74" s="46">
        <v>0</v>
      </c>
      <c r="IK74" s="46">
        <v>0</v>
      </c>
      <c r="IL74" s="46">
        <v>0</v>
      </c>
      <c r="IM74" s="46">
        <v>0</v>
      </c>
      <c r="IN74" s="46">
        <v>0</v>
      </c>
      <c r="IO74" s="46">
        <v>0</v>
      </c>
      <c r="IP74" s="46">
        <v>3493</v>
      </c>
      <c r="IQ74" s="46">
        <v>2480852</v>
      </c>
      <c r="IR74" s="46">
        <v>0</v>
      </c>
      <c r="IS74" s="46">
        <v>0</v>
      </c>
      <c r="IT74" s="46">
        <v>0</v>
      </c>
      <c r="IU74" s="46">
        <v>0</v>
      </c>
      <c r="IV74" s="46">
        <v>0</v>
      </c>
      <c r="IW74" s="46">
        <v>0</v>
      </c>
      <c r="IX74" s="46">
        <v>0</v>
      </c>
      <c r="IY74" s="46">
        <v>0</v>
      </c>
      <c r="IZ74" s="46">
        <v>0</v>
      </c>
      <c r="JA74" s="46">
        <v>0</v>
      </c>
      <c r="JB74" s="46">
        <v>0</v>
      </c>
      <c r="JC74" s="46">
        <v>0</v>
      </c>
      <c r="JD74" s="46">
        <v>0</v>
      </c>
      <c r="JE74" s="46">
        <v>0</v>
      </c>
      <c r="JF74" s="46">
        <v>0</v>
      </c>
      <c r="JG74" s="46">
        <v>0</v>
      </c>
      <c r="JH74" s="46">
        <v>0</v>
      </c>
      <c r="JI74" s="46">
        <v>3291676</v>
      </c>
      <c r="JJ74" s="46">
        <v>0</v>
      </c>
      <c r="JK74" s="46">
        <v>11622296</v>
      </c>
      <c r="JL74" s="46">
        <v>0</v>
      </c>
      <c r="JM74" s="46">
        <v>0</v>
      </c>
      <c r="JN74" s="46">
        <v>0</v>
      </c>
      <c r="JO74" s="46">
        <v>0</v>
      </c>
      <c r="JP74" s="46">
        <v>0</v>
      </c>
      <c r="JQ74" s="46">
        <v>0</v>
      </c>
      <c r="JR74" s="46">
        <v>15769141</v>
      </c>
      <c r="JS74" s="46">
        <v>0</v>
      </c>
      <c r="JT74" s="46">
        <v>0</v>
      </c>
      <c r="JU74" s="46">
        <v>0</v>
      </c>
      <c r="JV74" s="46">
        <v>0</v>
      </c>
      <c r="JW74" s="46">
        <v>0</v>
      </c>
      <c r="JX74" s="46">
        <v>0</v>
      </c>
      <c r="JY74" s="46">
        <v>0</v>
      </c>
      <c r="JZ74" s="46">
        <v>0</v>
      </c>
      <c r="KA74" s="46">
        <v>0</v>
      </c>
      <c r="KB74" s="46">
        <v>0</v>
      </c>
      <c r="KC74" s="46">
        <v>0</v>
      </c>
      <c r="KD74" s="46">
        <v>0</v>
      </c>
      <c r="KE74" s="46">
        <v>0</v>
      </c>
      <c r="KF74" s="46">
        <v>0</v>
      </c>
      <c r="KG74" s="46">
        <v>0</v>
      </c>
      <c r="KH74" s="46">
        <v>0</v>
      </c>
      <c r="KI74" s="46">
        <v>27793</v>
      </c>
      <c r="KJ74" s="46">
        <v>1187483</v>
      </c>
      <c r="KK74" s="46">
        <v>0</v>
      </c>
      <c r="KL74" s="46">
        <v>4653</v>
      </c>
      <c r="KM74" s="46">
        <v>0</v>
      </c>
      <c r="KN74" s="46">
        <v>0</v>
      </c>
      <c r="KO74" s="46">
        <v>0</v>
      </c>
      <c r="KP74" s="46">
        <v>0</v>
      </c>
      <c r="KQ74" s="46">
        <v>-87265</v>
      </c>
      <c r="KR74" s="46">
        <v>0</v>
      </c>
      <c r="KS74" s="46">
        <v>0</v>
      </c>
      <c r="KT74" s="46">
        <v>0</v>
      </c>
      <c r="KU74" s="46">
        <v>0</v>
      </c>
      <c r="KV74" s="46">
        <v>0</v>
      </c>
      <c r="KW74" s="46">
        <v>0</v>
      </c>
      <c r="KX74" s="46">
        <v>0</v>
      </c>
      <c r="KY74" s="46">
        <v>0</v>
      </c>
      <c r="KZ74" s="46">
        <v>0</v>
      </c>
      <c r="LA74" s="46">
        <v>171449</v>
      </c>
      <c r="LB74" s="46">
        <v>8993</v>
      </c>
      <c r="LC74" s="46">
        <v>0</v>
      </c>
      <c r="LD74" s="46">
        <v>3474977</v>
      </c>
      <c r="LE74" s="46">
        <v>0</v>
      </c>
      <c r="LF74" s="46">
        <v>0</v>
      </c>
      <c r="LG74" s="46">
        <v>0</v>
      </c>
      <c r="LH74" s="46">
        <v>0</v>
      </c>
      <c r="LI74" s="46">
        <v>0</v>
      </c>
      <c r="LJ74" s="46">
        <v>104456905</v>
      </c>
      <c r="LK74" s="46">
        <v>27049745</v>
      </c>
      <c r="LL74" s="46">
        <v>0</v>
      </c>
      <c r="LM74" s="46">
        <v>40787001</v>
      </c>
      <c r="LN74" s="46">
        <v>0</v>
      </c>
      <c r="LO74" s="46">
        <v>0</v>
      </c>
      <c r="LP74" s="46">
        <v>0</v>
      </c>
      <c r="LQ74" s="46">
        <v>0</v>
      </c>
      <c r="LR74" s="46">
        <v>0</v>
      </c>
      <c r="LS74" s="46">
        <v>0</v>
      </c>
      <c r="LT74" s="46">
        <v>0</v>
      </c>
      <c r="LU74" s="46">
        <v>0</v>
      </c>
      <c r="LV74" s="46">
        <v>0</v>
      </c>
      <c r="LW74" s="46">
        <v>0</v>
      </c>
      <c r="LX74" s="46">
        <v>0</v>
      </c>
      <c r="LY74" s="46">
        <v>0</v>
      </c>
      <c r="LZ74" s="46">
        <v>0</v>
      </c>
      <c r="MA74" s="46">
        <v>0</v>
      </c>
      <c r="MB74" s="46">
        <v>0</v>
      </c>
      <c r="MC74" s="46">
        <v>0</v>
      </c>
      <c r="MD74" s="46">
        <v>0</v>
      </c>
      <c r="ME74" s="46">
        <v>0</v>
      </c>
      <c r="MF74" s="46">
        <v>0</v>
      </c>
      <c r="MG74" s="46">
        <v>0</v>
      </c>
      <c r="MH74" s="46">
        <v>0</v>
      </c>
      <c r="MI74" s="46">
        <v>0</v>
      </c>
      <c r="MJ74" s="46">
        <v>0</v>
      </c>
      <c r="MK74" s="46">
        <v>0</v>
      </c>
      <c r="ML74" s="46">
        <v>0</v>
      </c>
      <c r="MM74" s="46">
        <v>0</v>
      </c>
      <c r="MN74" s="46">
        <v>0</v>
      </c>
      <c r="MO74" s="46">
        <v>0</v>
      </c>
      <c r="MP74" s="46">
        <v>0</v>
      </c>
      <c r="MQ74" s="46">
        <v>0</v>
      </c>
      <c r="MR74" s="46">
        <v>0</v>
      </c>
      <c r="MS74" s="46">
        <v>0</v>
      </c>
      <c r="MT74" s="46">
        <v>9261579</v>
      </c>
      <c r="MU74" s="46">
        <v>112865</v>
      </c>
      <c r="MV74" s="46">
        <v>0</v>
      </c>
      <c r="MW74" s="46">
        <v>0</v>
      </c>
      <c r="MX74" s="46">
        <v>0</v>
      </c>
      <c r="MY74" s="46">
        <v>0</v>
      </c>
      <c r="MZ74" s="46">
        <v>0</v>
      </c>
      <c r="NA74" s="46">
        <v>0</v>
      </c>
      <c r="NB74" s="46">
        <v>0</v>
      </c>
      <c r="NC74" s="46">
        <v>1721069</v>
      </c>
      <c r="ND74" s="46">
        <v>-97823</v>
      </c>
      <c r="NE74" s="46">
        <v>0</v>
      </c>
      <c r="NF74" s="46">
        <v>0</v>
      </c>
      <c r="NG74" s="46">
        <v>0</v>
      </c>
      <c r="NH74" s="46">
        <v>0</v>
      </c>
      <c r="NI74" s="46">
        <v>0</v>
      </c>
      <c r="NJ74" s="46">
        <v>0</v>
      </c>
      <c r="NK74" s="46">
        <v>0</v>
      </c>
      <c r="NL74" s="46">
        <v>0</v>
      </c>
      <c r="NM74" s="46">
        <v>0</v>
      </c>
      <c r="NN74" s="46">
        <v>0</v>
      </c>
      <c r="NO74" s="46">
        <v>0</v>
      </c>
      <c r="NP74" s="46">
        <v>0</v>
      </c>
      <c r="NQ74" s="46">
        <v>0</v>
      </c>
      <c r="NR74" s="46">
        <v>0</v>
      </c>
      <c r="NS74" s="46">
        <v>0</v>
      </c>
      <c r="NT74" s="46">
        <v>0</v>
      </c>
      <c r="NU74" s="46">
        <v>0</v>
      </c>
      <c r="NV74" s="46">
        <v>0</v>
      </c>
      <c r="NW74" s="46">
        <v>0</v>
      </c>
      <c r="NX74" s="46">
        <v>0</v>
      </c>
      <c r="NY74" s="46">
        <v>0</v>
      </c>
      <c r="NZ74" s="46">
        <v>0</v>
      </c>
      <c r="OA74" s="46">
        <v>0</v>
      </c>
      <c r="OB74" s="46">
        <v>0</v>
      </c>
      <c r="OC74" s="46">
        <v>0</v>
      </c>
      <c r="OD74" s="46">
        <v>464239</v>
      </c>
      <c r="OE74" s="46">
        <v>2081283</v>
      </c>
      <c r="OF74" s="46">
        <v>0</v>
      </c>
      <c r="OG74" s="46">
        <v>198509</v>
      </c>
      <c r="OH74" s="46">
        <v>0</v>
      </c>
      <c r="OI74" s="46">
        <v>0</v>
      </c>
      <c r="OJ74" s="46">
        <v>0</v>
      </c>
      <c r="OK74" s="46">
        <v>0</v>
      </c>
      <c r="OL74" s="46">
        <v>0</v>
      </c>
      <c r="OM74" s="46">
        <v>4592</v>
      </c>
      <c r="ON74" s="46">
        <v>143801</v>
      </c>
      <c r="OO74" s="46">
        <v>0</v>
      </c>
      <c r="OP74" s="46">
        <v>17182</v>
      </c>
      <c r="OQ74" s="46">
        <v>0</v>
      </c>
      <c r="OR74" s="46">
        <v>0</v>
      </c>
      <c r="OS74" s="46">
        <v>0</v>
      </c>
      <c r="OT74" s="46">
        <v>0</v>
      </c>
      <c r="OU74" s="46">
        <v>8721</v>
      </c>
      <c r="OV74" s="46">
        <v>0</v>
      </c>
      <c r="OW74" s="46">
        <v>0</v>
      </c>
      <c r="OX74" s="46">
        <v>0</v>
      </c>
      <c r="OY74" s="46">
        <v>0</v>
      </c>
      <c r="OZ74" s="46">
        <v>0</v>
      </c>
      <c r="PA74" s="46">
        <v>0</v>
      </c>
      <c r="PB74" s="46">
        <v>0</v>
      </c>
      <c r="PC74" s="46">
        <v>0</v>
      </c>
      <c r="PD74" s="46">
        <v>0</v>
      </c>
      <c r="PE74" s="46">
        <v>2936739</v>
      </c>
      <c r="PF74" s="46">
        <v>1965138</v>
      </c>
      <c r="PG74" s="46">
        <v>0</v>
      </c>
      <c r="PH74" s="46">
        <v>824954</v>
      </c>
      <c r="PI74" s="46">
        <v>0</v>
      </c>
      <c r="PJ74" s="46">
        <v>9984</v>
      </c>
      <c r="PK74" s="46">
        <v>0</v>
      </c>
      <c r="PL74" s="46">
        <v>0</v>
      </c>
      <c r="PM74" s="46">
        <v>0</v>
      </c>
      <c r="PN74" s="46">
        <v>0</v>
      </c>
      <c r="PO74" s="46">
        <v>0</v>
      </c>
      <c r="PP74" s="46">
        <v>0</v>
      </c>
      <c r="PQ74" s="46">
        <v>0</v>
      </c>
      <c r="PR74" s="46">
        <v>0</v>
      </c>
      <c r="PS74" s="46">
        <v>0</v>
      </c>
      <c r="PT74" s="46">
        <v>0</v>
      </c>
      <c r="PU74" s="46">
        <v>0</v>
      </c>
      <c r="PV74" s="46">
        <v>0</v>
      </c>
      <c r="PW74" s="46">
        <v>0</v>
      </c>
      <c r="PX74" s="46">
        <v>-385150</v>
      </c>
      <c r="PY74" s="46">
        <v>0</v>
      </c>
      <c r="PZ74" s="46">
        <v>0</v>
      </c>
      <c r="QA74" s="46">
        <v>0</v>
      </c>
      <c r="QB74" s="46">
        <v>0</v>
      </c>
      <c r="QC74" s="46">
        <v>0</v>
      </c>
      <c r="QD74" s="46">
        <v>0</v>
      </c>
      <c r="QE74" s="46">
        <v>0</v>
      </c>
      <c r="QF74" s="46">
        <v>0</v>
      </c>
      <c r="QG74" s="46">
        <v>1551118</v>
      </c>
      <c r="QH74" s="46">
        <v>0</v>
      </c>
      <c r="QI74" s="46">
        <v>0</v>
      </c>
      <c r="QJ74" s="46">
        <v>0</v>
      </c>
      <c r="QK74" s="46">
        <v>6413</v>
      </c>
      <c r="QL74" s="46">
        <v>0</v>
      </c>
      <c r="QM74" s="46">
        <v>0</v>
      </c>
      <c r="QN74" s="46">
        <v>0</v>
      </c>
      <c r="QO74" s="46">
        <v>0</v>
      </c>
      <c r="QP74" s="46">
        <v>0</v>
      </c>
      <c r="QQ74" s="46">
        <v>0</v>
      </c>
      <c r="QR74" s="46">
        <v>0</v>
      </c>
      <c r="QS74" s="46">
        <v>0</v>
      </c>
      <c r="QT74" s="46">
        <v>0</v>
      </c>
      <c r="QU74" s="46">
        <v>0</v>
      </c>
      <c r="QV74" s="46">
        <v>0</v>
      </c>
      <c r="QW74" s="46">
        <v>0</v>
      </c>
      <c r="QX74" s="46">
        <v>0</v>
      </c>
      <c r="QY74" s="46">
        <v>0</v>
      </c>
      <c r="QZ74" s="46">
        <v>0</v>
      </c>
      <c r="RA74" s="46">
        <v>0</v>
      </c>
      <c r="RB74" s="46">
        <v>0</v>
      </c>
      <c r="RC74" s="46">
        <v>0</v>
      </c>
      <c r="RD74" s="46">
        <v>0</v>
      </c>
      <c r="RE74" s="46">
        <v>0</v>
      </c>
      <c r="RF74" s="46">
        <v>0</v>
      </c>
      <c r="RG74" s="46">
        <v>0</v>
      </c>
      <c r="RH74" s="46">
        <v>0</v>
      </c>
      <c r="RI74" s="46">
        <v>0</v>
      </c>
      <c r="RJ74" s="46">
        <v>0</v>
      </c>
      <c r="RK74" s="46">
        <v>0</v>
      </c>
      <c r="RL74" s="46">
        <v>0</v>
      </c>
      <c r="RM74" s="46">
        <v>0</v>
      </c>
      <c r="RN74" s="46">
        <v>0</v>
      </c>
      <c r="RO74" s="46">
        <v>-5078238</v>
      </c>
      <c r="RP74" s="46">
        <v>0</v>
      </c>
      <c r="RQ74" s="46">
        <v>0</v>
      </c>
      <c r="RR74" s="46">
        <v>0</v>
      </c>
      <c r="RS74" s="46">
        <v>0</v>
      </c>
      <c r="RT74" s="46">
        <v>0</v>
      </c>
      <c r="RU74" s="46">
        <v>0</v>
      </c>
      <c r="RV74" s="46">
        <v>0</v>
      </c>
      <c r="RW74" s="46">
        <v>0</v>
      </c>
      <c r="RX74" s="46">
        <v>-110668</v>
      </c>
      <c r="RY74" s="46">
        <v>0</v>
      </c>
      <c r="RZ74" s="46">
        <v>0</v>
      </c>
      <c r="SA74" s="46">
        <v>0</v>
      </c>
      <c r="SB74" s="46">
        <v>0</v>
      </c>
      <c r="SC74" s="46">
        <v>0</v>
      </c>
      <c r="SD74" s="46">
        <v>0</v>
      </c>
      <c r="SE74" s="46">
        <v>0</v>
      </c>
      <c r="SF74" s="46">
        <v>0</v>
      </c>
      <c r="SG74" s="46">
        <v>0</v>
      </c>
      <c r="SH74" s="46">
        <v>0</v>
      </c>
      <c r="SI74" s="46">
        <v>0</v>
      </c>
      <c r="SJ74" s="46">
        <v>0</v>
      </c>
      <c r="SK74" s="46">
        <v>0</v>
      </c>
      <c r="SL74" s="46">
        <v>0</v>
      </c>
      <c r="SM74" s="46">
        <v>0</v>
      </c>
      <c r="SN74" s="46">
        <v>0</v>
      </c>
      <c r="SO74" s="46">
        <v>0</v>
      </c>
      <c r="SP74" s="46">
        <v>0</v>
      </c>
      <c r="SQ74" s="46">
        <v>464239</v>
      </c>
      <c r="SR74" s="46">
        <v>2081283</v>
      </c>
      <c r="SS74" s="46">
        <v>0</v>
      </c>
      <c r="ST74" s="46">
        <v>198509</v>
      </c>
      <c r="SU74" s="46">
        <v>0</v>
      </c>
      <c r="SV74" s="46">
        <v>0</v>
      </c>
      <c r="SW74" s="46">
        <v>0</v>
      </c>
      <c r="SX74" s="46">
        <v>0</v>
      </c>
      <c r="SY74" s="46">
        <v>0</v>
      </c>
      <c r="SZ74" s="46">
        <v>0</v>
      </c>
      <c r="TA74" s="46">
        <v>13595</v>
      </c>
      <c r="TB74" s="46">
        <v>1781230</v>
      </c>
      <c r="TC74" s="46">
        <v>0</v>
      </c>
      <c r="TD74" s="46">
        <v>0</v>
      </c>
      <c r="TE74" s="46">
        <v>0</v>
      </c>
      <c r="TF74" s="46">
        <v>565031</v>
      </c>
      <c r="TG74" s="46">
        <v>384175</v>
      </c>
      <c r="TH74" s="46">
        <v>0</v>
      </c>
      <c r="TI74" s="46">
        <v>0</v>
      </c>
      <c r="TJ74" s="46">
        <v>0</v>
      </c>
      <c r="TK74" s="46">
        <v>0</v>
      </c>
      <c r="TL74" s="46">
        <v>37601</v>
      </c>
      <c r="TM74" s="46">
        <v>51766</v>
      </c>
      <c r="TN74" s="46">
        <v>0</v>
      </c>
      <c r="TO74" s="46">
        <v>0</v>
      </c>
      <c r="TP74" s="46">
        <v>0</v>
      </c>
      <c r="TQ74" s="46">
        <v>0</v>
      </c>
      <c r="TR74" s="46">
        <v>0</v>
      </c>
      <c r="TS74" s="46">
        <v>0</v>
      </c>
      <c r="TT74" s="46">
        <v>0</v>
      </c>
      <c r="TU74" s="46">
        <v>1829</v>
      </c>
      <c r="TV74" s="46">
        <v>53714</v>
      </c>
      <c r="TW74" s="46">
        <v>0</v>
      </c>
      <c r="TX74" s="46">
        <v>0</v>
      </c>
      <c r="TY74" s="46">
        <v>0</v>
      </c>
      <c r="TZ74" s="46">
        <v>0</v>
      </c>
      <c r="UA74" s="46">
        <v>0</v>
      </c>
      <c r="UB74" s="46">
        <v>0</v>
      </c>
      <c r="UC74" s="46">
        <v>0</v>
      </c>
      <c r="UD74" s="46">
        <v>0</v>
      </c>
      <c r="UE74" s="46">
        <v>0</v>
      </c>
      <c r="UF74" s="46">
        <v>3655419</v>
      </c>
      <c r="UG74" s="46">
        <v>172293651</v>
      </c>
      <c r="UH74" s="46">
        <v>0</v>
      </c>
      <c r="UI74" s="46">
        <v>0</v>
      </c>
      <c r="UJ74" s="46">
        <v>0</v>
      </c>
      <c r="UK74" s="46">
        <v>9374444</v>
      </c>
      <c r="UL74" s="46">
        <v>1623246</v>
      </c>
      <c r="UM74" s="46">
        <v>0</v>
      </c>
      <c r="UN74" s="46">
        <v>0</v>
      </c>
      <c r="UO74"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2744031</v>
      </c>
      <c r="UP74" s="46">
        <f>SUM(Input[[#This Row],[Oth Exp E&amp;G]],Input[[#This Row],[Oth Exp Desg]],Input[[#This Row],[Oth Exp Aux]],Input[[#This Row],[Oth Exp R Exp]],Input[[#This Row],[Oth Exp Loan]],Input[[#This Row],[Oth Exp Annuity]],Input[[#This Row],[Oth Exp Unexp]],Input[[#This Row],[Oth Exp R of Ind]],Input[[#This Row],[Oth Exp Inv in P]])</f>
        <v>174296</v>
      </c>
      <c r="UQ74" s="46"/>
      <c r="UR74" s="46"/>
      <c r="US74" s="8" t="s">
        <v>742</v>
      </c>
      <c r="UT74" s="47">
        <v>9798459761</v>
      </c>
      <c r="UU74" s="8" t="s">
        <v>71</v>
      </c>
      <c r="UV74" s="8" t="s">
        <v>771</v>
      </c>
      <c r="UW74" s="47">
        <v>9793140137</v>
      </c>
      <c r="UX74" s="8" t="s">
        <v>772</v>
      </c>
      <c r="UY74" s="51" t="str" cm="1">
        <f t="array" ref="UY74">IFERROR(_xlfn.IFS(Input[[#This Row],[Type]]="HRI",SUMIFS('FTSE | FTFE'!$P$8:$P$77,'FTSE | FTFE'!$H$8:$H$77,A74),Input[[#This Row],[Type]]="UNIV",SUMIFS('FTSE | FTFE'!$P$104:$P$139,'FTSE | FTFE'!$H$104:$H$139,A74),OR(Input[[#This Row],[Type]]="TSTC",Input[[#This Row],[Type]]="LSC"),SUMIFS('FTSE | FTFE'!$O$88:$O$96,'FTSE | FTFE'!$H$88:$H$96,A74),Input[[#This Row],[Type]]="AHM",SUMIFS(Hidden!$H$42:$H$45,Hidden!$G$42:$G$45,A74)),"N/A")</f>
        <v>N/A</v>
      </c>
      <c r="UZ74" s="51" t="str" cm="1">
        <f t="array" ref="UZ74">IFERROR(_xlfn.IFS(Input[[#This Row],[Type]]="HRI",SUMIFS('FTSE | FTFE'!$Q$8:$Q$77,'FTSE | FTFE'!$H$8:$H$77,A74),Input[[#This Row],[Type]]="UNIV",SUMIFS('FTSE | FTFE'!$Q$104:$Q$139,'FTSE | FTFE'!$H$104:$H$139,A74),OR(Input[[#This Row],[Type]]="TSTC",Input[[#This Row],[Type]]="LSC"),SUMIFS('FTSE | FTFE'!$P$88:$P$96,'FTSE | FTFE'!$H$88:$H$96,A74)),"N/A")</f>
        <v>N/A</v>
      </c>
      <c r="VA74"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86052900</v>
      </c>
      <c r="VB74"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4" s="46">
        <f>SUM(Input[[#This Row],[Fed G&amp;C E&amp;G]],Input[[#This Row],[Fed G&amp;C Desg]],Input[[#This Row],[Fed G&amp;C R Exp]],Input[[#This Row],[Fed G&amp;C Loan]],Input[[#This Row],[Fed G&amp;C Annuity]],Input[[#This Row],[Fed G&amp;C Unexp]],Input[[#This Row],[Fed G&amp;C R of Ind]],Input[[#This Row],[Fed G&amp;C Inv in P]])</f>
        <v>53089278</v>
      </c>
      <c r="VD74"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34300122</v>
      </c>
      <c r="VE74"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4"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4" s="46">
        <f>SUM(Input[[#This Row],[Oth Inc E&amp;G]],Input[[#This Row],[Oth Exp Desg]],Input[[#This Row],[Oth Exp R Exp]],Input[[#This Row],[Oth Exp Loan]],Input[[#This Row],[Oth Exp Annuity]],Input[[#This Row],[Oth Exp Unexp]],Input[[#This Row],[Oth Exp R of Ind]],Input[[#This Row],[Oth Exp Inv in P]])</f>
        <v>197497</v>
      </c>
      <c r="VH74" s="46">
        <f>SUM(Input[[#This Row],[Instr E&amp;G]],Input[[#This Row],[Instr Desg]],Input[[#This Row],[Instr R Exp]],Input[[#This Row],[Instr Loan]],Input[[#This Row],[Instr Annuity]],Input[[#This Row],[Instr Unexp]],Input[[#This Row],[Instr R of Ind]],Input[[#This Row],[Instr Inv in P]])</f>
        <v>0</v>
      </c>
      <c r="VI74" s="46">
        <f>SUM(Input[[#This Row],[Res E&amp;G]],Input[[#This Row],[Res Desg]],Input[[#This Row],[Res R Exp]],Input[[#This Row],[Res Loan]],Input[[#This Row],[Res Annuity]],Input[[#This Row],[Res Unexp]],Input[[#This Row],[Res R of Ind]],Input[[#This Row],[Res Inv in P]])</f>
        <v>3655419</v>
      </c>
      <c r="VJ74" s="46">
        <f>SUM(Input[[#This Row],[Acad Sup E&amp;G]],Input[[#This Row],[Acad Sup Desg]],Input[[#This Row],[Acad Sup R Exp]],Input[[#This Row],[Acad Sup Loan]],Input[[#This Row],[Acad Sup Annuity]],Input[[#This Row],[Acad Sup Unexp]],Input[[#This Row],[Acad Sup R of Ind]],Input[[#This Row],[Acad Sup Inv in P]])</f>
        <v>0</v>
      </c>
      <c r="VK74" s="46">
        <f>SUM(Input[[#This Row],[Stu Svc E&amp;G]],Input[[#This Row],[Stu Svc Desg]],Input[[#This Row],[Stu Svc R Exp]],Input[[#This Row],[Stu Svc Loan]],Input[[#This Row],[Stu Svc Annuity]],Input[[#This Row],[Stu Svc Unexp]],Input[[#This Row],[Stu Svc R of Ind]],Input[[#This Row],[Stu Svc Inv in P]])</f>
        <v>0</v>
      </c>
      <c r="VL74" s="46">
        <f>SUM(Input[[#This Row],[Inst. Spt E&amp;G]],Input[[#This Row],[Inst. Spt Desg]],Input[[#This Row],[Inst. Spt R Exp]],Input[[#This Row],[Inst. Spt Loan]],Input[[#This Row],[Inst. Spt Annuity]],Input[[#This Row],[Inst. Spt Unexp]],Input[[#This Row],[Inst. Spt R of Ind]],Input[[#This Row],[Inst. Spt Inv in P]])</f>
        <v>9374444</v>
      </c>
      <c r="VM74" s="46">
        <f>SUM(Input[[#This Row],[M&amp;O Plnt E&amp;G]],Input[[#This Row],[M&amp;O Plnt Desg]],Input[[#This Row],[M&amp;O Plnt R Exp]],Input[[#This Row],[M&amp;O Plnt Loan]],Input[[#This Row],[M&amp;O Plnt Annuity]],Input[[#This Row],[M&amp;O Plnt Unexp]],Input[[#This Row],[M&amp;O Plnt R of Ind]],Input[[#This Row],[M&amp;O Plnt Inv in P]])</f>
        <v>1623246</v>
      </c>
      <c r="VN74"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4" s="46">
        <f>SUM(Input[[#This Row],[Cap Out fund E&amp;G]],Input[[#This Row],[Cap Out fund Desg]],Input[[#This Row],[Cap Out fund R Exp]],Input[[#This Row],[Cap Out fund Loan]],Input[[#This Row],[Cap Out fund Annuity]],Input[[#This Row],[Cap Out fund Unexp]],Input[[#This Row],[Cap Out fund R of Ind]],Input[[#This Row],[Cap Out fund Inv in P]])</f>
        <v>2744031</v>
      </c>
      <c r="VP74" s="46">
        <f>SUM(Input[[#This Row],[Oth Exp E&amp;G]],Input[[#This Row],[Oth Exp Desg]],Input[[#This Row],[Oth Exp R Exp]],Input[[#This Row],[Oth Exp Loan]],Input[[#This Row],[Oth Exp Annuity]],Input[[#This Row],[Oth Exp Unexp]],Input[[#This Row],[Oth Exp R of Ind]],Input[[#This Row],[Oth Exp Inv in P]],Input[[#This Row],[Oth Exp Inv in P]])</f>
        <v>183017</v>
      </c>
    </row>
    <row r="75" spans="1:588" ht="30" customHeight="1" x14ac:dyDescent="0.3">
      <c r="A75" s="15" t="s">
        <v>54</v>
      </c>
      <c r="B75" s="36" t="s">
        <v>111</v>
      </c>
      <c r="C75" s="36" t="s">
        <v>119</v>
      </c>
      <c r="D75" s="36">
        <v>1103</v>
      </c>
      <c r="E75" s="36" t="s">
        <v>132</v>
      </c>
      <c r="F75" s="95" t="s">
        <v>106</v>
      </c>
      <c r="G75" s="46">
        <v>39875543</v>
      </c>
      <c r="H75" s="46">
        <v>0</v>
      </c>
      <c r="I75" s="46">
        <v>0</v>
      </c>
      <c r="J75" s="46">
        <v>0</v>
      </c>
      <c r="K75" s="46">
        <v>0</v>
      </c>
      <c r="L75" s="46">
        <v>0</v>
      </c>
      <c r="M75" s="46">
        <v>0</v>
      </c>
      <c r="N75" s="46">
        <v>0</v>
      </c>
      <c r="O75" s="46">
        <v>0</v>
      </c>
      <c r="P75" s="46">
        <v>0</v>
      </c>
      <c r="Q75" s="46">
        <v>300745</v>
      </c>
      <c r="R75" s="46">
        <v>0</v>
      </c>
      <c r="S75" s="46">
        <v>4152224</v>
      </c>
      <c r="T75" s="46">
        <v>0</v>
      </c>
      <c r="U75" s="46">
        <v>0</v>
      </c>
      <c r="V75" s="46">
        <v>0</v>
      </c>
      <c r="W75" s="46">
        <v>0</v>
      </c>
      <c r="X75" s="46">
        <v>0</v>
      </c>
      <c r="Y75" s="46">
        <v>0</v>
      </c>
      <c r="Z75" s="46">
        <v>0</v>
      </c>
      <c r="AA75" s="46">
        <v>0</v>
      </c>
      <c r="AB75" s="46">
        <v>0</v>
      </c>
      <c r="AC75" s="46">
        <v>0</v>
      </c>
      <c r="AD75" s="46">
        <v>0</v>
      </c>
      <c r="AE75" s="46">
        <v>0</v>
      </c>
      <c r="AF75" s="46">
        <v>0</v>
      </c>
      <c r="AG75" s="46">
        <v>0</v>
      </c>
      <c r="AH75" s="46">
        <v>0</v>
      </c>
      <c r="AI75" s="46">
        <v>0</v>
      </c>
      <c r="AJ75" s="46">
        <v>0</v>
      </c>
      <c r="AK75" s="46">
        <v>0</v>
      </c>
      <c r="AL75" s="46">
        <v>0</v>
      </c>
      <c r="AM75" s="46">
        <v>0</v>
      </c>
      <c r="AN75" s="46">
        <v>0</v>
      </c>
      <c r="AO75" s="46">
        <v>0</v>
      </c>
      <c r="AP75" s="46">
        <v>0</v>
      </c>
      <c r="AQ75" s="46">
        <v>0</v>
      </c>
      <c r="AR75" s="46">
        <v>0</v>
      </c>
      <c r="AS75" s="46">
        <v>0</v>
      </c>
      <c r="AT75" s="46">
        <v>0</v>
      </c>
      <c r="AU75" s="46">
        <v>0</v>
      </c>
      <c r="AV75" s="46">
        <v>0</v>
      </c>
      <c r="AW75" s="46">
        <v>0</v>
      </c>
      <c r="AX75" s="46">
        <v>0</v>
      </c>
      <c r="AY75" s="46">
        <v>0</v>
      </c>
      <c r="AZ75" s="46">
        <v>0</v>
      </c>
      <c r="BA75" s="46">
        <v>0</v>
      </c>
      <c r="BB75" s="46">
        <v>0</v>
      </c>
      <c r="BC75" s="46">
        <v>0</v>
      </c>
      <c r="BD75" s="46">
        <v>0</v>
      </c>
      <c r="BE75" s="46">
        <v>0</v>
      </c>
      <c r="BF75" s="46">
        <v>0</v>
      </c>
      <c r="BG75" s="46">
        <v>0</v>
      </c>
      <c r="BH75" s="46">
        <v>0</v>
      </c>
      <c r="BI75" s="46">
        <v>0</v>
      </c>
      <c r="BJ75" s="46">
        <v>0</v>
      </c>
      <c r="BK75" s="46">
        <v>0</v>
      </c>
      <c r="BL75" s="46">
        <v>0</v>
      </c>
      <c r="BM75" s="46">
        <v>0</v>
      </c>
      <c r="BN75" s="46">
        <v>0</v>
      </c>
      <c r="BO75" s="46">
        <v>0</v>
      </c>
      <c r="BP75" s="46">
        <v>0</v>
      </c>
      <c r="BQ75" s="46">
        <v>0</v>
      </c>
      <c r="BR75" s="46">
        <v>0</v>
      </c>
      <c r="BS75" s="46">
        <v>0</v>
      </c>
      <c r="BT75" s="46">
        <v>0</v>
      </c>
      <c r="BU75" s="46">
        <v>0</v>
      </c>
      <c r="BV75" s="46">
        <v>0</v>
      </c>
      <c r="BW75" s="46">
        <v>0</v>
      </c>
      <c r="BX75" s="46">
        <v>0</v>
      </c>
      <c r="BY75" s="46">
        <v>0</v>
      </c>
      <c r="BZ75" s="46">
        <v>0</v>
      </c>
      <c r="CA75" s="46">
        <v>0</v>
      </c>
      <c r="CB75" s="46">
        <v>0</v>
      </c>
      <c r="CC75" s="46">
        <v>0</v>
      </c>
      <c r="CD75" s="46">
        <v>0</v>
      </c>
      <c r="CE75" s="46">
        <v>0</v>
      </c>
      <c r="CF75" s="46">
        <v>0</v>
      </c>
      <c r="CG75" s="46">
        <v>0</v>
      </c>
      <c r="CH75" s="46">
        <v>0</v>
      </c>
      <c r="CI75" s="46">
        <v>0</v>
      </c>
      <c r="CJ75" s="46">
        <v>0</v>
      </c>
      <c r="CK75" s="46">
        <v>0</v>
      </c>
      <c r="CL75" s="46">
        <v>0</v>
      </c>
      <c r="CM75" s="46">
        <v>0</v>
      </c>
      <c r="CN75" s="46">
        <v>0</v>
      </c>
      <c r="CO75" s="46">
        <v>0</v>
      </c>
      <c r="CP75" s="46">
        <v>0</v>
      </c>
      <c r="CQ75" s="46">
        <v>0</v>
      </c>
      <c r="CR75" s="46">
        <v>0</v>
      </c>
      <c r="CS75" s="46">
        <v>0</v>
      </c>
      <c r="CT75" s="46">
        <v>0</v>
      </c>
      <c r="CU75" s="46">
        <v>0</v>
      </c>
      <c r="CV75" s="46">
        <v>0</v>
      </c>
      <c r="CW75" s="46">
        <v>0</v>
      </c>
      <c r="CX75" s="46">
        <v>0</v>
      </c>
      <c r="CY75" s="46">
        <v>0</v>
      </c>
      <c r="CZ75" s="46">
        <v>0</v>
      </c>
      <c r="DA75" s="46">
        <v>0</v>
      </c>
      <c r="DB75" s="46">
        <v>0</v>
      </c>
      <c r="DC75" s="46">
        <v>0</v>
      </c>
      <c r="DD75" s="46">
        <v>0</v>
      </c>
      <c r="DE75" s="46">
        <v>0</v>
      </c>
      <c r="DF75" s="46">
        <v>0</v>
      </c>
      <c r="DG75" s="46">
        <v>0</v>
      </c>
      <c r="DH75" s="46">
        <v>0</v>
      </c>
      <c r="DI75" s="46">
        <v>0</v>
      </c>
      <c r="DJ75" s="46">
        <v>0</v>
      </c>
      <c r="DK75" s="46">
        <v>0</v>
      </c>
      <c r="DL75" s="46">
        <v>0</v>
      </c>
      <c r="DM75" s="46">
        <v>0</v>
      </c>
      <c r="DN75" s="46">
        <v>0</v>
      </c>
      <c r="DO75" s="46">
        <v>0</v>
      </c>
      <c r="DP75" s="46">
        <v>0</v>
      </c>
      <c r="DQ75" s="46">
        <v>0</v>
      </c>
      <c r="DR75" s="46">
        <v>0</v>
      </c>
      <c r="DS75" s="46">
        <v>0</v>
      </c>
      <c r="DT75" s="46">
        <v>0</v>
      </c>
      <c r="DU75" s="46">
        <v>0</v>
      </c>
      <c r="DV75" s="46">
        <v>0</v>
      </c>
      <c r="DW75" s="46">
        <v>0</v>
      </c>
      <c r="DX75" s="46">
        <v>0</v>
      </c>
      <c r="DY75" s="46">
        <v>0</v>
      </c>
      <c r="DZ75" s="46">
        <v>0</v>
      </c>
      <c r="EA75" s="46">
        <v>0</v>
      </c>
      <c r="EB75" s="46">
        <v>0</v>
      </c>
      <c r="EC75" s="46">
        <v>0</v>
      </c>
      <c r="ED75" s="46">
        <v>0</v>
      </c>
      <c r="EE75" s="46">
        <v>0</v>
      </c>
      <c r="EF75" s="46">
        <v>0</v>
      </c>
      <c r="EG75" s="46">
        <v>0</v>
      </c>
      <c r="EH75" s="46">
        <v>0</v>
      </c>
      <c r="EI75" s="46">
        <v>0</v>
      </c>
      <c r="EJ75" s="46">
        <v>0</v>
      </c>
      <c r="EK75" s="46">
        <v>0</v>
      </c>
      <c r="EL75" s="46">
        <v>0</v>
      </c>
      <c r="EM75" s="46">
        <v>0</v>
      </c>
      <c r="EN75" s="46">
        <v>0</v>
      </c>
      <c r="EO75" s="46">
        <v>0</v>
      </c>
      <c r="EP75" s="46">
        <v>0</v>
      </c>
      <c r="EQ75" s="46">
        <v>0</v>
      </c>
      <c r="ER75" s="46">
        <v>0</v>
      </c>
      <c r="ES75" s="46">
        <v>0</v>
      </c>
      <c r="ET75" s="46">
        <v>0</v>
      </c>
      <c r="EU75" s="46">
        <v>0</v>
      </c>
      <c r="EV75" s="46">
        <v>0</v>
      </c>
      <c r="EW75" s="46">
        <v>0</v>
      </c>
      <c r="EX75" s="46">
        <v>0</v>
      </c>
      <c r="EY75" s="46">
        <v>0</v>
      </c>
      <c r="EZ75" s="46">
        <v>0</v>
      </c>
      <c r="FA75" s="46">
        <v>0</v>
      </c>
      <c r="FB75" s="46">
        <v>0</v>
      </c>
      <c r="FC75" s="46">
        <v>0</v>
      </c>
      <c r="FD75" s="46">
        <v>0</v>
      </c>
      <c r="FE75" s="46">
        <v>0</v>
      </c>
      <c r="FF75" s="46">
        <v>0</v>
      </c>
      <c r="FG75" s="46">
        <v>0</v>
      </c>
      <c r="FH75" s="46">
        <v>0</v>
      </c>
      <c r="FI75" s="46">
        <v>0</v>
      </c>
      <c r="FJ75" s="46">
        <v>0</v>
      </c>
      <c r="FK75" s="46">
        <v>0</v>
      </c>
      <c r="FL75" s="46">
        <v>0</v>
      </c>
      <c r="FM75" s="46">
        <v>0</v>
      </c>
      <c r="FN75" s="46">
        <v>0</v>
      </c>
      <c r="FO75" s="46">
        <v>0</v>
      </c>
      <c r="FP75" s="46">
        <v>0</v>
      </c>
      <c r="FQ75" s="46">
        <v>0</v>
      </c>
      <c r="FR75" s="46">
        <v>0</v>
      </c>
      <c r="FS75" s="46">
        <v>0</v>
      </c>
      <c r="FT75" s="46">
        <v>0</v>
      </c>
      <c r="FU75" s="46">
        <v>0</v>
      </c>
      <c r="FV75" s="46">
        <v>0</v>
      </c>
      <c r="FW75" s="46">
        <v>0</v>
      </c>
      <c r="FX75" s="46">
        <v>0</v>
      </c>
      <c r="FY75" s="46">
        <v>0</v>
      </c>
      <c r="FZ75" s="46">
        <v>0</v>
      </c>
      <c r="GA75" s="46">
        <v>0</v>
      </c>
      <c r="GB75" s="46">
        <v>0</v>
      </c>
      <c r="GC75" s="46">
        <v>0</v>
      </c>
      <c r="GD75" s="46">
        <v>0</v>
      </c>
      <c r="GE75" s="46">
        <v>0</v>
      </c>
      <c r="GF75" s="46">
        <v>0</v>
      </c>
      <c r="GG75" s="46">
        <v>0</v>
      </c>
      <c r="GH75" s="46">
        <v>0</v>
      </c>
      <c r="GI75" s="46">
        <v>0</v>
      </c>
      <c r="GJ75" s="46">
        <v>0</v>
      </c>
      <c r="GK75" s="46">
        <v>0</v>
      </c>
      <c r="GL75" s="46">
        <v>0</v>
      </c>
      <c r="GM75" s="46">
        <v>0</v>
      </c>
      <c r="GN75" s="46">
        <v>0</v>
      </c>
      <c r="GO75" s="46">
        <v>0</v>
      </c>
      <c r="GP75" s="46">
        <v>0</v>
      </c>
      <c r="GQ75" s="46">
        <v>0</v>
      </c>
      <c r="GR75" s="46">
        <v>0</v>
      </c>
      <c r="GS75" s="46">
        <v>0</v>
      </c>
      <c r="GT75" s="46">
        <v>0</v>
      </c>
      <c r="GU75" s="46">
        <v>0</v>
      </c>
      <c r="GV75" s="46">
        <v>0</v>
      </c>
      <c r="GW75" s="46">
        <v>0</v>
      </c>
      <c r="GX75" s="46">
        <v>0</v>
      </c>
      <c r="GY75" s="46">
        <v>0</v>
      </c>
      <c r="GZ75" s="46">
        <v>0</v>
      </c>
      <c r="HA75" s="46">
        <v>0</v>
      </c>
      <c r="HB75" s="46">
        <v>0</v>
      </c>
      <c r="HC75" s="46">
        <v>0</v>
      </c>
      <c r="HD75" s="46">
        <v>0</v>
      </c>
      <c r="HE75" s="46">
        <v>0</v>
      </c>
      <c r="HF75" s="46">
        <v>0</v>
      </c>
      <c r="HG75" s="46">
        <v>0</v>
      </c>
      <c r="HH75" s="46">
        <v>0</v>
      </c>
      <c r="HI75" s="46">
        <v>0</v>
      </c>
      <c r="HJ75" s="46">
        <v>0</v>
      </c>
      <c r="HK75" s="46">
        <v>0</v>
      </c>
      <c r="HL75" s="46">
        <v>0</v>
      </c>
      <c r="HM75" s="46">
        <v>0</v>
      </c>
      <c r="HN75" s="46">
        <v>0</v>
      </c>
      <c r="HO75" s="46">
        <v>0</v>
      </c>
      <c r="HP75" s="46">
        <v>34285750</v>
      </c>
      <c r="HQ75" s="46">
        <v>0</v>
      </c>
      <c r="HR75" s="46">
        <v>132557108</v>
      </c>
      <c r="HS75" s="46">
        <v>0</v>
      </c>
      <c r="HT75" s="46">
        <v>0</v>
      </c>
      <c r="HU75" s="46">
        <v>0</v>
      </c>
      <c r="HV75" s="46">
        <v>0</v>
      </c>
      <c r="HW75" s="46">
        <v>0</v>
      </c>
      <c r="HX75" s="46">
        <v>0</v>
      </c>
      <c r="HY75" s="46">
        <v>0</v>
      </c>
      <c r="HZ75" s="46">
        <v>0</v>
      </c>
      <c r="IA75" s="46">
        <v>0</v>
      </c>
      <c r="IB75" s="46">
        <v>0</v>
      </c>
      <c r="IC75" s="46">
        <v>0</v>
      </c>
      <c r="ID75" s="46">
        <v>0</v>
      </c>
      <c r="IE75" s="46">
        <v>0</v>
      </c>
      <c r="IF75" s="46">
        <v>0</v>
      </c>
      <c r="IG75" s="46">
        <v>0</v>
      </c>
      <c r="IH75" s="46">
        <v>0</v>
      </c>
      <c r="II75" s="46">
        <v>0</v>
      </c>
      <c r="IJ75" s="46">
        <v>0</v>
      </c>
      <c r="IK75" s="46">
        <v>0</v>
      </c>
      <c r="IL75" s="46">
        <v>0</v>
      </c>
      <c r="IM75" s="46">
        <v>0</v>
      </c>
      <c r="IN75" s="46">
        <v>0</v>
      </c>
      <c r="IO75" s="46">
        <v>0</v>
      </c>
      <c r="IP75" s="46">
        <v>0</v>
      </c>
      <c r="IQ75" s="46">
        <v>1452251</v>
      </c>
      <c r="IR75" s="46">
        <v>0</v>
      </c>
      <c r="IS75" s="46">
        <v>0</v>
      </c>
      <c r="IT75" s="46">
        <v>0</v>
      </c>
      <c r="IU75" s="46">
        <v>0</v>
      </c>
      <c r="IV75" s="46">
        <v>0</v>
      </c>
      <c r="IW75" s="46">
        <v>0</v>
      </c>
      <c r="IX75" s="46">
        <v>0</v>
      </c>
      <c r="IY75" s="46">
        <v>0</v>
      </c>
      <c r="IZ75" s="46">
        <v>0</v>
      </c>
      <c r="JA75" s="46">
        <v>0</v>
      </c>
      <c r="JB75" s="46">
        <v>0</v>
      </c>
      <c r="JC75" s="46">
        <v>0</v>
      </c>
      <c r="JD75" s="46">
        <v>0</v>
      </c>
      <c r="JE75" s="46">
        <v>0</v>
      </c>
      <c r="JF75" s="46">
        <v>0</v>
      </c>
      <c r="JG75" s="46">
        <v>0</v>
      </c>
      <c r="JH75" s="46">
        <v>0</v>
      </c>
      <c r="JI75" s="46">
        <v>7275300</v>
      </c>
      <c r="JJ75" s="46">
        <v>0</v>
      </c>
      <c r="JK75" s="46">
        <v>19416942</v>
      </c>
      <c r="JL75" s="46">
        <v>0</v>
      </c>
      <c r="JM75" s="46">
        <v>0</v>
      </c>
      <c r="JN75" s="46">
        <v>0</v>
      </c>
      <c r="JO75" s="46">
        <v>0</v>
      </c>
      <c r="JP75" s="46">
        <v>0</v>
      </c>
      <c r="JQ75" s="46">
        <v>0</v>
      </c>
      <c r="JR75" s="46">
        <v>15660525</v>
      </c>
      <c r="JS75" s="46">
        <v>0</v>
      </c>
      <c r="JT75" s="46">
        <v>0</v>
      </c>
      <c r="JU75" s="46">
        <v>0</v>
      </c>
      <c r="JV75" s="46">
        <v>0</v>
      </c>
      <c r="JW75" s="46">
        <v>0</v>
      </c>
      <c r="JX75" s="46">
        <v>0</v>
      </c>
      <c r="JY75" s="46">
        <v>0</v>
      </c>
      <c r="JZ75" s="46">
        <v>0</v>
      </c>
      <c r="KA75" s="46">
        <v>0</v>
      </c>
      <c r="KB75" s="46">
        <v>0</v>
      </c>
      <c r="KC75" s="46">
        <v>0</v>
      </c>
      <c r="KD75" s="46">
        <v>0</v>
      </c>
      <c r="KE75" s="46">
        <v>0</v>
      </c>
      <c r="KF75" s="46">
        <v>0</v>
      </c>
      <c r="KG75" s="46">
        <v>0</v>
      </c>
      <c r="KH75" s="46">
        <v>0</v>
      </c>
      <c r="KI75" s="46">
        <v>0</v>
      </c>
      <c r="KJ75" s="46">
        <v>755158</v>
      </c>
      <c r="KK75" s="46">
        <v>0</v>
      </c>
      <c r="KL75" s="46">
        <v>0</v>
      </c>
      <c r="KM75" s="46">
        <v>0</v>
      </c>
      <c r="KN75" s="46">
        <v>0</v>
      </c>
      <c r="KO75" s="46">
        <v>0</v>
      </c>
      <c r="KP75" s="46">
        <v>0</v>
      </c>
      <c r="KQ75" s="46">
        <v>141694</v>
      </c>
      <c r="KR75" s="46">
        <v>0</v>
      </c>
      <c r="KS75" s="46">
        <v>0</v>
      </c>
      <c r="KT75" s="46">
        <v>0</v>
      </c>
      <c r="KU75" s="46">
        <v>0</v>
      </c>
      <c r="KV75" s="46">
        <v>0</v>
      </c>
      <c r="KW75" s="46">
        <v>0</v>
      </c>
      <c r="KX75" s="46">
        <v>0</v>
      </c>
      <c r="KY75" s="46">
        <v>0</v>
      </c>
      <c r="KZ75" s="46">
        <v>0</v>
      </c>
      <c r="LA75" s="46">
        <v>34389656</v>
      </c>
      <c r="LB75" s="46">
        <v>55408164</v>
      </c>
      <c r="LC75" s="46">
        <v>0</v>
      </c>
      <c r="LD75" s="46">
        <v>158572947</v>
      </c>
      <c r="LE75" s="46">
        <v>0</v>
      </c>
      <c r="LF75" s="46">
        <v>0</v>
      </c>
      <c r="LG75" s="46">
        <v>124094</v>
      </c>
      <c r="LH75" s="46">
        <v>0</v>
      </c>
      <c r="LI75" s="46">
        <v>0</v>
      </c>
      <c r="LJ75" s="46">
        <v>0</v>
      </c>
      <c r="LK75" s="46">
        <v>0</v>
      </c>
      <c r="LL75" s="46">
        <v>0</v>
      </c>
      <c r="LM75" s="46">
        <v>0</v>
      </c>
      <c r="LN75" s="46">
        <v>0</v>
      </c>
      <c r="LO75" s="46">
        <v>0</v>
      </c>
      <c r="LP75" s="46">
        <v>0</v>
      </c>
      <c r="LQ75" s="46">
        <v>0</v>
      </c>
      <c r="LR75" s="46">
        <v>0</v>
      </c>
      <c r="LS75" s="46">
        <v>0</v>
      </c>
      <c r="LT75" s="46">
        <v>0</v>
      </c>
      <c r="LU75" s="46">
        <v>0</v>
      </c>
      <c r="LV75" s="46">
        <v>0</v>
      </c>
      <c r="LW75" s="46">
        <v>0</v>
      </c>
      <c r="LX75" s="46">
        <v>0</v>
      </c>
      <c r="LY75" s="46">
        <v>0</v>
      </c>
      <c r="LZ75" s="46">
        <v>0</v>
      </c>
      <c r="MA75" s="46">
        <v>0</v>
      </c>
      <c r="MB75" s="46">
        <v>0</v>
      </c>
      <c r="MC75" s="46">
        <v>0</v>
      </c>
      <c r="MD75" s="46">
        <v>0</v>
      </c>
      <c r="ME75" s="46">
        <v>0</v>
      </c>
      <c r="MF75" s="46">
        <v>0</v>
      </c>
      <c r="MG75" s="46">
        <v>0</v>
      </c>
      <c r="MH75" s="46">
        <v>0</v>
      </c>
      <c r="MI75" s="46">
        <v>0</v>
      </c>
      <c r="MJ75" s="46">
        <v>0</v>
      </c>
      <c r="MK75" s="46">
        <v>0</v>
      </c>
      <c r="ML75" s="46">
        <v>0</v>
      </c>
      <c r="MM75" s="46">
        <v>0</v>
      </c>
      <c r="MN75" s="46">
        <v>0</v>
      </c>
      <c r="MO75" s="46">
        <v>0</v>
      </c>
      <c r="MP75" s="46">
        <v>0</v>
      </c>
      <c r="MQ75" s="46">
        <v>0</v>
      </c>
      <c r="MR75" s="46">
        <v>0</v>
      </c>
      <c r="MS75" s="46">
        <v>0</v>
      </c>
      <c r="MT75" s="46">
        <v>0</v>
      </c>
      <c r="MU75" s="46">
        <v>0</v>
      </c>
      <c r="MV75" s="46">
        <v>0</v>
      </c>
      <c r="MW75" s="46">
        <v>0</v>
      </c>
      <c r="MX75" s="46">
        <v>0</v>
      </c>
      <c r="MY75" s="46">
        <v>0</v>
      </c>
      <c r="MZ75" s="46">
        <v>0</v>
      </c>
      <c r="NA75" s="46">
        <v>0</v>
      </c>
      <c r="NB75" s="46">
        <v>0</v>
      </c>
      <c r="NC75" s="46">
        <v>0</v>
      </c>
      <c r="ND75" s="46">
        <v>0</v>
      </c>
      <c r="NE75" s="46">
        <v>0</v>
      </c>
      <c r="NF75" s="46">
        <v>0</v>
      </c>
      <c r="NG75" s="46">
        <v>0</v>
      </c>
      <c r="NH75" s="46">
        <v>0</v>
      </c>
      <c r="NI75" s="46">
        <v>0</v>
      </c>
      <c r="NJ75" s="46">
        <v>0</v>
      </c>
      <c r="NK75" s="46">
        <v>0</v>
      </c>
      <c r="NL75" s="46">
        <v>0</v>
      </c>
      <c r="NM75" s="46">
        <v>0</v>
      </c>
      <c r="NN75" s="46">
        <v>0</v>
      </c>
      <c r="NO75" s="46">
        <v>0</v>
      </c>
      <c r="NP75" s="46">
        <v>0</v>
      </c>
      <c r="NQ75" s="46">
        <v>0</v>
      </c>
      <c r="NR75" s="46">
        <v>0</v>
      </c>
      <c r="NS75" s="46">
        <v>0</v>
      </c>
      <c r="NT75" s="46">
        <v>0</v>
      </c>
      <c r="NU75" s="46">
        <v>0</v>
      </c>
      <c r="NV75" s="46">
        <v>0</v>
      </c>
      <c r="NW75" s="46">
        <v>0</v>
      </c>
      <c r="NX75" s="46">
        <v>0</v>
      </c>
      <c r="NY75" s="46">
        <v>0</v>
      </c>
      <c r="NZ75" s="46">
        <v>0</v>
      </c>
      <c r="OA75" s="46">
        <v>0</v>
      </c>
      <c r="OB75" s="46">
        <v>0</v>
      </c>
      <c r="OC75" s="46">
        <v>0</v>
      </c>
      <c r="OD75" s="46">
        <v>0</v>
      </c>
      <c r="OE75" s="46">
        <v>2381168</v>
      </c>
      <c r="OF75" s="46">
        <v>0</v>
      </c>
      <c r="OG75" s="46">
        <v>6506796</v>
      </c>
      <c r="OH75" s="46">
        <v>0</v>
      </c>
      <c r="OI75" s="46">
        <v>0</v>
      </c>
      <c r="OJ75" s="46">
        <v>0</v>
      </c>
      <c r="OK75" s="46">
        <v>0</v>
      </c>
      <c r="OL75" s="46">
        <v>0</v>
      </c>
      <c r="OM75" s="46">
        <v>0</v>
      </c>
      <c r="ON75" s="46">
        <v>37801</v>
      </c>
      <c r="OO75" s="46">
        <v>0</v>
      </c>
      <c r="OP75" s="46">
        <v>0</v>
      </c>
      <c r="OQ75" s="46">
        <v>0</v>
      </c>
      <c r="OR75" s="46">
        <v>0</v>
      </c>
      <c r="OS75" s="46">
        <v>1113450</v>
      </c>
      <c r="OT75" s="46">
        <v>0</v>
      </c>
      <c r="OU75" s="46">
        <v>1066659</v>
      </c>
      <c r="OV75" s="46">
        <v>0</v>
      </c>
      <c r="OW75" s="46">
        <v>0</v>
      </c>
      <c r="OX75" s="46">
        <v>0</v>
      </c>
      <c r="OY75" s="46">
        <v>0</v>
      </c>
      <c r="OZ75" s="46">
        <v>0</v>
      </c>
      <c r="PA75" s="46">
        <v>0</v>
      </c>
      <c r="PB75" s="46">
        <v>9506741</v>
      </c>
      <c r="PC75" s="46">
        <v>0</v>
      </c>
      <c r="PD75" s="46">
        <v>0</v>
      </c>
      <c r="PE75" s="46">
        <v>2012147</v>
      </c>
      <c r="PF75" s="46">
        <v>12223400</v>
      </c>
      <c r="PG75" s="46">
        <v>0</v>
      </c>
      <c r="PH75" s="46">
        <v>-6549058</v>
      </c>
      <c r="PI75" s="46">
        <v>0</v>
      </c>
      <c r="PJ75" s="46">
        <v>148004</v>
      </c>
      <c r="PK75" s="46">
        <v>0</v>
      </c>
      <c r="PL75" s="46">
        <v>0</v>
      </c>
      <c r="PM75" s="46">
        <v>0</v>
      </c>
      <c r="PN75" s="46">
        <v>0</v>
      </c>
      <c r="PO75" s="46">
        <v>0</v>
      </c>
      <c r="PP75" s="46">
        <v>0</v>
      </c>
      <c r="PQ75" s="46">
        <v>0</v>
      </c>
      <c r="PR75" s="46">
        <v>0</v>
      </c>
      <c r="PS75" s="46">
        <v>0</v>
      </c>
      <c r="PT75" s="46">
        <v>0</v>
      </c>
      <c r="PU75" s="46">
        <v>0</v>
      </c>
      <c r="PV75" s="46">
        <v>0</v>
      </c>
      <c r="PW75" s="46">
        <v>-4799869</v>
      </c>
      <c r="PX75" s="46">
        <v>-9233888</v>
      </c>
      <c r="PY75" s="46">
        <v>0</v>
      </c>
      <c r="PZ75" s="46">
        <v>0</v>
      </c>
      <c r="QA75" s="46">
        <v>0</v>
      </c>
      <c r="QB75" s="46">
        <v>0</v>
      </c>
      <c r="QC75" s="46">
        <v>0</v>
      </c>
      <c r="QD75" s="46">
        <v>0</v>
      </c>
      <c r="QE75" s="46">
        <v>0</v>
      </c>
      <c r="QF75" s="46">
        <v>0</v>
      </c>
      <c r="QG75" s="46">
        <v>944503</v>
      </c>
      <c r="QH75" s="46">
        <v>0</v>
      </c>
      <c r="QI75" s="46">
        <v>0</v>
      </c>
      <c r="QJ75" s="46">
        <v>0</v>
      </c>
      <c r="QK75" s="46">
        <v>-21701</v>
      </c>
      <c r="QL75" s="46">
        <v>0</v>
      </c>
      <c r="QM75" s="46">
        <v>0</v>
      </c>
      <c r="QN75" s="46">
        <v>0</v>
      </c>
      <c r="QO75" s="46">
        <v>0</v>
      </c>
      <c r="QP75" s="46">
        <v>0</v>
      </c>
      <c r="QQ75" s="46">
        <v>0</v>
      </c>
      <c r="QR75" s="46">
        <v>0</v>
      </c>
      <c r="QS75" s="46">
        <v>0</v>
      </c>
      <c r="QT75" s="46">
        <v>0</v>
      </c>
      <c r="QU75" s="46">
        <v>0</v>
      </c>
      <c r="QV75" s="46">
        <v>0</v>
      </c>
      <c r="QW75" s="46">
        <v>0</v>
      </c>
      <c r="QX75" s="46">
        <v>0</v>
      </c>
      <c r="QY75" s="46">
        <v>0</v>
      </c>
      <c r="QZ75" s="46">
        <v>0</v>
      </c>
      <c r="RA75" s="46">
        <v>0</v>
      </c>
      <c r="RB75" s="46">
        <v>0</v>
      </c>
      <c r="RC75" s="46">
        <v>0</v>
      </c>
      <c r="RD75" s="46">
        <v>0</v>
      </c>
      <c r="RE75" s="46">
        <v>0</v>
      </c>
      <c r="RF75" s="46">
        <v>0</v>
      </c>
      <c r="RG75" s="46">
        <v>0</v>
      </c>
      <c r="RH75" s="46">
        <v>0</v>
      </c>
      <c r="RI75" s="46">
        <v>0</v>
      </c>
      <c r="RJ75" s="46">
        <v>0</v>
      </c>
      <c r="RK75" s="46">
        <v>0</v>
      </c>
      <c r="RL75" s="46">
        <v>0</v>
      </c>
      <c r="RM75" s="46">
        <v>0</v>
      </c>
      <c r="RN75" s="46">
        <v>0</v>
      </c>
      <c r="RO75" s="46">
        <v>-17760022</v>
      </c>
      <c r="RP75" s="46">
        <v>0</v>
      </c>
      <c r="RQ75" s="46">
        <v>0</v>
      </c>
      <c r="RR75" s="46">
        <v>0</v>
      </c>
      <c r="RS75" s="46">
        <v>0</v>
      </c>
      <c r="RT75" s="46">
        <v>0</v>
      </c>
      <c r="RU75" s="46">
        <v>0</v>
      </c>
      <c r="RV75" s="46">
        <v>0</v>
      </c>
      <c r="RW75" s="46">
        <v>0</v>
      </c>
      <c r="RX75" s="46">
        <v>20887613</v>
      </c>
      <c r="RY75" s="46">
        <v>0</v>
      </c>
      <c r="RZ75" s="46">
        <v>0</v>
      </c>
      <c r="SA75" s="46">
        <v>0</v>
      </c>
      <c r="SB75" s="46">
        <v>0</v>
      </c>
      <c r="SC75" s="46">
        <v>0</v>
      </c>
      <c r="SD75" s="46">
        <v>0</v>
      </c>
      <c r="SE75" s="46">
        <v>0</v>
      </c>
      <c r="SF75" s="46">
        <v>0</v>
      </c>
      <c r="SG75" s="46">
        <v>0</v>
      </c>
      <c r="SH75" s="46">
        <v>0</v>
      </c>
      <c r="SI75" s="46">
        <v>0</v>
      </c>
      <c r="SJ75" s="46">
        <v>0</v>
      </c>
      <c r="SK75" s="46">
        <v>0</v>
      </c>
      <c r="SL75" s="46">
        <v>0</v>
      </c>
      <c r="SM75" s="46">
        <v>0</v>
      </c>
      <c r="SN75" s="46">
        <v>0</v>
      </c>
      <c r="SO75" s="46">
        <v>0</v>
      </c>
      <c r="SP75" s="46">
        <v>0</v>
      </c>
      <c r="SQ75" s="46">
        <v>0</v>
      </c>
      <c r="SR75" s="46">
        <v>2381168</v>
      </c>
      <c r="SS75" s="46">
        <v>0</v>
      </c>
      <c r="ST75" s="46">
        <v>6506796</v>
      </c>
      <c r="SU75" s="46">
        <v>0</v>
      </c>
      <c r="SV75" s="46">
        <v>0</v>
      </c>
      <c r="SW75" s="46">
        <v>-9506741</v>
      </c>
      <c r="SX75" s="46">
        <v>0</v>
      </c>
      <c r="SY75" s="46">
        <v>0</v>
      </c>
      <c r="SZ75" s="46">
        <v>0</v>
      </c>
      <c r="TA75" s="46">
        <v>8887964</v>
      </c>
      <c r="TB75" s="46">
        <v>0</v>
      </c>
      <c r="TC75" s="46">
        <v>0</v>
      </c>
      <c r="TD75" s="46">
        <v>0</v>
      </c>
      <c r="TE75" s="46">
        <v>0</v>
      </c>
      <c r="TF75" s="46">
        <v>0</v>
      </c>
      <c r="TG75" s="46">
        <v>0</v>
      </c>
      <c r="TH75" s="46">
        <v>0</v>
      </c>
      <c r="TI75" s="46">
        <v>0</v>
      </c>
      <c r="TJ75" s="46">
        <v>0</v>
      </c>
      <c r="TK75" s="46">
        <v>0</v>
      </c>
      <c r="TL75" s="46">
        <v>5418690</v>
      </c>
      <c r="TM75" s="46">
        <v>0</v>
      </c>
      <c r="TN75" s="46">
        <v>0</v>
      </c>
      <c r="TO75" s="46">
        <v>0</v>
      </c>
      <c r="TP75" s="46">
        <v>0</v>
      </c>
      <c r="TQ75" s="46">
        <v>0</v>
      </c>
      <c r="TR75" s="46">
        <v>0</v>
      </c>
      <c r="TS75" s="46">
        <v>0</v>
      </c>
      <c r="TT75" s="46">
        <v>0</v>
      </c>
      <c r="TU75" s="46">
        <v>0</v>
      </c>
      <c r="TV75" s="46">
        <v>0</v>
      </c>
      <c r="TW75" s="46">
        <v>0</v>
      </c>
      <c r="TX75" s="46">
        <v>0</v>
      </c>
      <c r="TY75" s="46">
        <v>0</v>
      </c>
      <c r="TZ75" s="46">
        <v>0</v>
      </c>
      <c r="UA75" s="46">
        <v>0</v>
      </c>
      <c r="UB75" s="46">
        <v>0</v>
      </c>
      <c r="UC75" s="46">
        <v>0</v>
      </c>
      <c r="UD75" s="46">
        <v>0</v>
      </c>
      <c r="UE75" s="46">
        <v>0</v>
      </c>
      <c r="UF75" s="46">
        <v>248494861</v>
      </c>
      <c r="UG75" s="46">
        <v>0</v>
      </c>
      <c r="UH75" s="46">
        <v>0</v>
      </c>
      <c r="UI75" s="46">
        <v>0</v>
      </c>
      <c r="UJ75" s="46">
        <v>0</v>
      </c>
      <c r="UK75" s="46">
        <v>0</v>
      </c>
      <c r="UL75" s="46">
        <v>0</v>
      </c>
      <c r="UM75" s="46">
        <v>0</v>
      </c>
      <c r="UN75" s="46">
        <v>0</v>
      </c>
      <c r="UO75"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8887964</v>
      </c>
      <c r="UP75" s="46">
        <f>SUM(Input[[#This Row],[Oth Exp E&amp;G]],Input[[#This Row],[Oth Exp Desg]],Input[[#This Row],[Oth Exp Aux]],Input[[#This Row],[Oth Exp R Exp]],Input[[#This Row],[Oth Exp Loan]],Input[[#This Row],[Oth Exp Annuity]],Input[[#This Row],[Oth Exp Unexp]],Input[[#This Row],[Oth Exp R of Ind]],Input[[#This Row],[Oth Exp Inv in P]])</f>
        <v>2217910</v>
      </c>
      <c r="UQ75" s="46"/>
      <c r="UR75" s="46"/>
      <c r="US75" s="8" t="s">
        <v>742</v>
      </c>
      <c r="UT75" s="47">
        <v>9798459761</v>
      </c>
      <c r="UU75" s="8" t="s">
        <v>71</v>
      </c>
      <c r="UV75" s="8" t="s">
        <v>775</v>
      </c>
      <c r="UW75" s="47">
        <v>9794588986</v>
      </c>
      <c r="UX75" s="8" t="s">
        <v>776</v>
      </c>
      <c r="UY75" s="51" t="str" cm="1">
        <f t="array" ref="UY75">IFERROR(_xlfn.IFS(Input[[#This Row],[Type]]="HRI",SUMIFS('FTSE | FTFE'!$P$8:$P$77,'FTSE | FTFE'!$H$8:$H$77,A75),Input[[#This Row],[Type]]="UNIV",SUMIFS('FTSE | FTFE'!$P$104:$P$139,'FTSE | FTFE'!$H$104:$H$139,A75),OR(Input[[#This Row],[Type]]="TSTC",Input[[#This Row],[Type]]="LSC"),SUMIFS('FTSE | FTFE'!$O$88:$O$96,'FTSE | FTFE'!$H$88:$H$96,A75),Input[[#This Row],[Type]]="AHM",SUMIFS(Hidden!$H$42:$H$45,Hidden!$G$42:$G$45,A75)),"N/A")</f>
        <v>N/A</v>
      </c>
      <c r="UZ75" s="51" t="str" cm="1">
        <f t="array" ref="UZ75">IFERROR(_xlfn.IFS(Input[[#This Row],[Type]]="HRI",SUMIFS('FTSE | FTFE'!$Q$8:$Q$77,'FTSE | FTFE'!$H$8:$H$77,A75),Input[[#This Row],[Type]]="UNIV",SUMIFS('FTSE | FTFE'!$Q$104:$Q$139,'FTSE | FTFE'!$H$104:$H$139,A75),OR(Input[[#This Row],[Type]]="TSTC",Input[[#This Row],[Type]]="LSC"),SUMIFS('FTSE | FTFE'!$P$88:$P$96,'FTSE | FTFE'!$H$88:$H$96,A75)),"N/A")</f>
        <v>N/A</v>
      </c>
      <c r="VA75"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44328512</v>
      </c>
      <c r="VB75"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5" s="46">
        <f>SUM(Input[[#This Row],[Fed G&amp;C E&amp;G]],Input[[#This Row],[Fed G&amp;C Desg]],Input[[#This Row],[Fed G&amp;C R Exp]],Input[[#This Row],[Fed G&amp;C Loan]],Input[[#This Row],[Fed G&amp;C Annuity]],Input[[#This Row],[Fed G&amp;C Unexp]],Input[[#This Row],[Fed G&amp;C R of Ind]],Input[[#This Row],[Fed G&amp;C Inv in P]])</f>
        <v>166842858</v>
      </c>
      <c r="VD75"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44701870</v>
      </c>
      <c r="VE75"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5"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5" s="46">
        <f>SUM(Input[[#This Row],[Oth Inc E&amp;G]],Input[[#This Row],[Oth Exp Desg]],Input[[#This Row],[Oth Exp R Exp]],Input[[#This Row],[Oth Exp Loan]],Input[[#This Row],[Oth Exp Annuity]],Input[[#This Row],[Oth Exp Unexp]],Input[[#This Row],[Oth Exp R of Ind]],Input[[#This Row],[Oth Exp Inv in P]])</f>
        <v>2217910</v>
      </c>
      <c r="VH75" s="46">
        <f>SUM(Input[[#This Row],[Instr E&amp;G]],Input[[#This Row],[Instr Desg]],Input[[#This Row],[Instr R Exp]],Input[[#This Row],[Instr Loan]],Input[[#This Row],[Instr Annuity]],Input[[#This Row],[Instr Unexp]],Input[[#This Row],[Instr R of Ind]],Input[[#This Row],[Instr Inv in P]])</f>
        <v>0</v>
      </c>
      <c r="VI75" s="46">
        <f>SUM(Input[[#This Row],[Res E&amp;G]],Input[[#This Row],[Res Desg]],Input[[#This Row],[Res R Exp]],Input[[#This Row],[Res Loan]],Input[[#This Row],[Res Annuity]],Input[[#This Row],[Res Unexp]],Input[[#This Row],[Res R of Ind]],Input[[#This Row],[Res Inv in P]])</f>
        <v>248494861</v>
      </c>
      <c r="VJ75" s="46">
        <f>SUM(Input[[#This Row],[Acad Sup E&amp;G]],Input[[#This Row],[Acad Sup Desg]],Input[[#This Row],[Acad Sup R Exp]],Input[[#This Row],[Acad Sup Loan]],Input[[#This Row],[Acad Sup Annuity]],Input[[#This Row],[Acad Sup Unexp]],Input[[#This Row],[Acad Sup R of Ind]],Input[[#This Row],[Acad Sup Inv in P]])</f>
        <v>0</v>
      </c>
      <c r="VK75" s="46">
        <f>SUM(Input[[#This Row],[Stu Svc E&amp;G]],Input[[#This Row],[Stu Svc Desg]],Input[[#This Row],[Stu Svc R Exp]],Input[[#This Row],[Stu Svc Loan]],Input[[#This Row],[Stu Svc Annuity]],Input[[#This Row],[Stu Svc Unexp]],Input[[#This Row],[Stu Svc R of Ind]],Input[[#This Row],[Stu Svc Inv in P]])</f>
        <v>0</v>
      </c>
      <c r="VL75" s="46">
        <f>SUM(Input[[#This Row],[Inst. Spt E&amp;G]],Input[[#This Row],[Inst. Spt Desg]],Input[[#This Row],[Inst. Spt R Exp]],Input[[#This Row],[Inst. Spt Loan]],Input[[#This Row],[Inst. Spt Annuity]],Input[[#This Row],[Inst. Spt Unexp]],Input[[#This Row],[Inst. Spt R of Ind]],Input[[#This Row],[Inst. Spt Inv in P]])</f>
        <v>0</v>
      </c>
      <c r="VM75" s="46">
        <f>SUM(Input[[#This Row],[M&amp;O Plnt E&amp;G]],Input[[#This Row],[M&amp;O Plnt Desg]],Input[[#This Row],[M&amp;O Plnt R Exp]],Input[[#This Row],[M&amp;O Plnt Loan]],Input[[#This Row],[M&amp;O Plnt Annuity]],Input[[#This Row],[M&amp;O Plnt Unexp]],Input[[#This Row],[M&amp;O Plnt R of Ind]],Input[[#This Row],[M&amp;O Plnt Inv in P]])</f>
        <v>0</v>
      </c>
      <c r="VN75"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5" s="46">
        <f>SUM(Input[[#This Row],[Cap Out fund E&amp;G]],Input[[#This Row],[Cap Out fund Desg]],Input[[#This Row],[Cap Out fund R Exp]],Input[[#This Row],[Cap Out fund Loan]],Input[[#This Row],[Cap Out fund Annuity]],Input[[#This Row],[Cap Out fund Unexp]],Input[[#This Row],[Cap Out fund R of Ind]],Input[[#This Row],[Cap Out fund Inv in P]])</f>
        <v>8887964</v>
      </c>
      <c r="VP75" s="46">
        <f>SUM(Input[[#This Row],[Oth Exp E&amp;G]],Input[[#This Row],[Oth Exp Desg]],Input[[#This Row],[Oth Exp R Exp]],Input[[#This Row],[Oth Exp Loan]],Input[[#This Row],[Oth Exp Annuity]],Input[[#This Row],[Oth Exp Unexp]],Input[[#This Row],[Oth Exp R of Ind]],Input[[#This Row],[Oth Exp Inv in P]],Input[[#This Row],[Oth Exp Inv in P]])</f>
        <v>3284569</v>
      </c>
    </row>
    <row r="76" spans="1:588" ht="30" customHeight="1" x14ac:dyDescent="0.3">
      <c r="A76" s="15" t="s">
        <v>101</v>
      </c>
      <c r="B76" s="36" t="s">
        <v>111</v>
      </c>
      <c r="C76" s="36" t="s">
        <v>119</v>
      </c>
      <c r="D76" s="36">
        <v>1104</v>
      </c>
      <c r="E76" s="36" t="s">
        <v>132</v>
      </c>
      <c r="F76" s="95" t="s">
        <v>106</v>
      </c>
      <c r="G76" s="46">
        <v>15651162</v>
      </c>
      <c r="H76" s="46">
        <v>0</v>
      </c>
      <c r="I76" s="46">
        <v>0</v>
      </c>
      <c r="J76" s="46">
        <v>0</v>
      </c>
      <c r="K76" s="46">
        <v>0</v>
      </c>
      <c r="L76" s="46">
        <v>0</v>
      </c>
      <c r="M76" s="46">
        <v>0</v>
      </c>
      <c r="N76" s="46">
        <v>0</v>
      </c>
      <c r="O76" s="46">
        <v>0</v>
      </c>
      <c r="P76" s="46">
        <v>0</v>
      </c>
      <c r="Q76" s="46">
        <v>1044196</v>
      </c>
      <c r="R76" s="46">
        <v>0</v>
      </c>
      <c r="S76" s="46">
        <v>0</v>
      </c>
      <c r="T76" s="46">
        <v>0</v>
      </c>
      <c r="U76" s="46">
        <v>0</v>
      </c>
      <c r="V76" s="46">
        <v>0</v>
      </c>
      <c r="W76" s="46">
        <v>0</v>
      </c>
      <c r="X76" s="46">
        <v>0</v>
      </c>
      <c r="Y76" s="46">
        <v>0</v>
      </c>
      <c r="Z76" s="46">
        <v>0</v>
      </c>
      <c r="AA76" s="46">
        <v>0</v>
      </c>
      <c r="AB76" s="46">
        <v>0</v>
      </c>
      <c r="AC76" s="46">
        <v>0</v>
      </c>
      <c r="AD76" s="46">
        <v>0</v>
      </c>
      <c r="AE76" s="46">
        <v>0</v>
      </c>
      <c r="AF76" s="46">
        <v>0</v>
      </c>
      <c r="AG76" s="46">
        <v>0</v>
      </c>
      <c r="AH76" s="46">
        <v>0</v>
      </c>
      <c r="AI76" s="46">
        <v>0</v>
      </c>
      <c r="AJ76" s="46">
        <v>0</v>
      </c>
      <c r="AK76" s="46">
        <v>0</v>
      </c>
      <c r="AL76" s="46">
        <v>0</v>
      </c>
      <c r="AM76" s="46">
        <v>0</v>
      </c>
      <c r="AN76" s="46">
        <v>0</v>
      </c>
      <c r="AO76" s="46">
        <v>0</v>
      </c>
      <c r="AP76" s="46">
        <v>0</v>
      </c>
      <c r="AQ76" s="46">
        <v>0</v>
      </c>
      <c r="AR76" s="46">
        <v>0</v>
      </c>
      <c r="AS76" s="46">
        <v>0</v>
      </c>
      <c r="AT76" s="46">
        <v>0</v>
      </c>
      <c r="AU76" s="46">
        <v>0</v>
      </c>
      <c r="AV76" s="46">
        <v>0</v>
      </c>
      <c r="AW76" s="46">
        <v>0</v>
      </c>
      <c r="AX76" s="46">
        <v>0</v>
      </c>
      <c r="AY76" s="46">
        <v>0</v>
      </c>
      <c r="AZ76" s="46">
        <v>0</v>
      </c>
      <c r="BA76" s="46">
        <v>0</v>
      </c>
      <c r="BB76" s="46">
        <v>0</v>
      </c>
      <c r="BC76" s="46">
        <v>0</v>
      </c>
      <c r="BD76" s="46">
        <v>0</v>
      </c>
      <c r="BE76" s="46">
        <v>0</v>
      </c>
      <c r="BF76" s="46">
        <v>0</v>
      </c>
      <c r="BG76" s="46">
        <v>0</v>
      </c>
      <c r="BH76" s="46">
        <v>0</v>
      </c>
      <c r="BI76" s="46">
        <v>0</v>
      </c>
      <c r="BJ76" s="46">
        <v>0</v>
      </c>
      <c r="BK76" s="46">
        <v>0</v>
      </c>
      <c r="BL76" s="46">
        <v>0</v>
      </c>
      <c r="BM76" s="46">
        <v>0</v>
      </c>
      <c r="BN76" s="46">
        <v>0</v>
      </c>
      <c r="BO76" s="46">
        <v>0</v>
      </c>
      <c r="BP76" s="46">
        <v>0</v>
      </c>
      <c r="BQ76" s="46">
        <v>0</v>
      </c>
      <c r="BR76" s="46">
        <v>0</v>
      </c>
      <c r="BS76" s="46">
        <v>0</v>
      </c>
      <c r="BT76" s="46">
        <v>0</v>
      </c>
      <c r="BU76" s="46">
        <v>0</v>
      </c>
      <c r="BV76" s="46">
        <v>0</v>
      </c>
      <c r="BW76" s="46">
        <v>0</v>
      </c>
      <c r="BX76" s="46">
        <v>0</v>
      </c>
      <c r="BY76" s="46">
        <v>0</v>
      </c>
      <c r="BZ76" s="46">
        <v>0</v>
      </c>
      <c r="CA76" s="46">
        <v>0</v>
      </c>
      <c r="CB76" s="46">
        <v>0</v>
      </c>
      <c r="CC76" s="46">
        <v>0</v>
      </c>
      <c r="CD76" s="46">
        <v>0</v>
      </c>
      <c r="CE76" s="46">
        <v>0</v>
      </c>
      <c r="CF76" s="46">
        <v>0</v>
      </c>
      <c r="CG76" s="46">
        <v>0</v>
      </c>
      <c r="CH76" s="46">
        <v>0</v>
      </c>
      <c r="CI76" s="46">
        <v>0</v>
      </c>
      <c r="CJ76" s="46">
        <v>0</v>
      </c>
      <c r="CK76" s="46">
        <v>0</v>
      </c>
      <c r="CL76" s="46">
        <v>0</v>
      </c>
      <c r="CM76" s="46">
        <v>0</v>
      </c>
      <c r="CN76" s="46">
        <v>0</v>
      </c>
      <c r="CO76" s="46">
        <v>0</v>
      </c>
      <c r="CP76" s="46">
        <v>0</v>
      </c>
      <c r="CQ76" s="46">
        <v>0</v>
      </c>
      <c r="CR76" s="46">
        <v>0</v>
      </c>
      <c r="CS76" s="46">
        <v>0</v>
      </c>
      <c r="CT76" s="46">
        <v>0</v>
      </c>
      <c r="CU76" s="46">
        <v>0</v>
      </c>
      <c r="CV76" s="46">
        <v>0</v>
      </c>
      <c r="CW76" s="46">
        <v>0</v>
      </c>
      <c r="CX76" s="46">
        <v>0</v>
      </c>
      <c r="CY76" s="46">
        <v>0</v>
      </c>
      <c r="CZ76" s="46">
        <v>0</v>
      </c>
      <c r="DA76" s="46">
        <v>0</v>
      </c>
      <c r="DB76" s="46">
        <v>0</v>
      </c>
      <c r="DC76" s="46">
        <v>0</v>
      </c>
      <c r="DD76" s="46">
        <v>0</v>
      </c>
      <c r="DE76" s="46">
        <v>0</v>
      </c>
      <c r="DF76" s="46">
        <v>0</v>
      </c>
      <c r="DG76" s="46">
        <v>0</v>
      </c>
      <c r="DH76" s="46">
        <v>0</v>
      </c>
      <c r="DI76" s="46">
        <v>0</v>
      </c>
      <c r="DJ76" s="46">
        <v>0</v>
      </c>
      <c r="DK76" s="46">
        <v>0</v>
      </c>
      <c r="DL76" s="46">
        <v>0</v>
      </c>
      <c r="DM76" s="46">
        <v>0</v>
      </c>
      <c r="DN76" s="46">
        <v>0</v>
      </c>
      <c r="DO76" s="46">
        <v>0</v>
      </c>
      <c r="DP76" s="46">
        <v>0</v>
      </c>
      <c r="DQ76" s="46">
        <v>0</v>
      </c>
      <c r="DR76" s="46">
        <v>0</v>
      </c>
      <c r="DS76" s="46">
        <v>0</v>
      </c>
      <c r="DT76" s="46">
        <v>0</v>
      </c>
      <c r="DU76" s="46">
        <v>0</v>
      </c>
      <c r="DV76" s="46">
        <v>0</v>
      </c>
      <c r="DW76" s="46">
        <v>0</v>
      </c>
      <c r="DX76" s="46">
        <v>0</v>
      </c>
      <c r="DY76" s="46">
        <v>0</v>
      </c>
      <c r="DZ76" s="46">
        <v>0</v>
      </c>
      <c r="EA76" s="46">
        <v>0</v>
      </c>
      <c r="EB76" s="46">
        <v>0</v>
      </c>
      <c r="EC76" s="46">
        <v>0</v>
      </c>
      <c r="ED76" s="46">
        <v>0</v>
      </c>
      <c r="EE76" s="46">
        <v>0</v>
      </c>
      <c r="EF76" s="46">
        <v>0</v>
      </c>
      <c r="EG76" s="46">
        <v>0</v>
      </c>
      <c r="EH76" s="46">
        <v>0</v>
      </c>
      <c r="EI76" s="46">
        <v>0</v>
      </c>
      <c r="EJ76" s="46">
        <v>0</v>
      </c>
      <c r="EK76" s="46">
        <v>0</v>
      </c>
      <c r="EL76" s="46">
        <v>0</v>
      </c>
      <c r="EM76" s="46">
        <v>0</v>
      </c>
      <c r="EN76" s="46">
        <v>0</v>
      </c>
      <c r="EO76" s="46">
        <v>0</v>
      </c>
      <c r="EP76" s="46">
        <v>0</v>
      </c>
      <c r="EQ76" s="46">
        <v>0</v>
      </c>
      <c r="ER76" s="46">
        <v>0</v>
      </c>
      <c r="ES76" s="46">
        <v>0</v>
      </c>
      <c r="ET76" s="46">
        <v>0</v>
      </c>
      <c r="EU76" s="46">
        <v>0</v>
      </c>
      <c r="EV76" s="46">
        <v>0</v>
      </c>
      <c r="EW76" s="46">
        <v>0</v>
      </c>
      <c r="EX76" s="46">
        <v>0</v>
      </c>
      <c r="EY76" s="46">
        <v>0</v>
      </c>
      <c r="EZ76" s="46">
        <v>0</v>
      </c>
      <c r="FA76" s="46">
        <v>0</v>
      </c>
      <c r="FB76" s="46">
        <v>0</v>
      </c>
      <c r="FC76" s="46">
        <v>0</v>
      </c>
      <c r="FD76" s="46">
        <v>0</v>
      </c>
      <c r="FE76" s="46">
        <v>0</v>
      </c>
      <c r="FF76" s="46">
        <v>0</v>
      </c>
      <c r="FG76" s="46">
        <v>0</v>
      </c>
      <c r="FH76" s="46">
        <v>0</v>
      </c>
      <c r="FI76" s="46">
        <v>0</v>
      </c>
      <c r="FJ76" s="46">
        <v>0</v>
      </c>
      <c r="FK76" s="46">
        <v>0</v>
      </c>
      <c r="FL76" s="46">
        <v>0</v>
      </c>
      <c r="FM76" s="46">
        <v>0</v>
      </c>
      <c r="FN76" s="46">
        <v>0</v>
      </c>
      <c r="FO76" s="46">
        <v>0</v>
      </c>
      <c r="FP76" s="46">
        <v>0</v>
      </c>
      <c r="FQ76" s="46">
        <v>0</v>
      </c>
      <c r="FR76" s="46">
        <v>0</v>
      </c>
      <c r="FS76" s="46">
        <v>0</v>
      </c>
      <c r="FT76" s="46">
        <v>0</v>
      </c>
      <c r="FU76" s="46">
        <v>0</v>
      </c>
      <c r="FV76" s="46">
        <v>0</v>
      </c>
      <c r="FW76" s="46">
        <v>0</v>
      </c>
      <c r="FX76" s="46">
        <v>0</v>
      </c>
      <c r="FY76" s="46">
        <v>0</v>
      </c>
      <c r="FZ76" s="46">
        <v>0</v>
      </c>
      <c r="GA76" s="46">
        <v>0</v>
      </c>
      <c r="GB76" s="46">
        <v>0</v>
      </c>
      <c r="GC76" s="46">
        <v>0</v>
      </c>
      <c r="GD76" s="46">
        <v>0</v>
      </c>
      <c r="GE76" s="46">
        <v>0</v>
      </c>
      <c r="GF76" s="46">
        <v>0</v>
      </c>
      <c r="GG76" s="46">
        <v>0</v>
      </c>
      <c r="GH76" s="46">
        <v>0</v>
      </c>
      <c r="GI76" s="46">
        <v>0</v>
      </c>
      <c r="GJ76" s="46">
        <v>0</v>
      </c>
      <c r="GK76" s="46">
        <v>0</v>
      </c>
      <c r="GL76" s="46">
        <v>0</v>
      </c>
      <c r="GM76" s="46">
        <v>0</v>
      </c>
      <c r="GN76" s="46">
        <v>0</v>
      </c>
      <c r="GO76" s="46">
        <v>0</v>
      </c>
      <c r="GP76" s="46">
        <v>0</v>
      </c>
      <c r="GQ76" s="46">
        <v>0</v>
      </c>
      <c r="GR76" s="46">
        <v>0</v>
      </c>
      <c r="GS76" s="46">
        <v>0</v>
      </c>
      <c r="GT76" s="46">
        <v>0</v>
      </c>
      <c r="GU76" s="46">
        <v>0</v>
      </c>
      <c r="GV76" s="46">
        <v>0</v>
      </c>
      <c r="GW76" s="46">
        <v>0</v>
      </c>
      <c r="GX76" s="46">
        <v>0</v>
      </c>
      <c r="GY76" s="46">
        <v>0</v>
      </c>
      <c r="GZ76" s="46">
        <v>0</v>
      </c>
      <c r="HA76" s="46">
        <v>0</v>
      </c>
      <c r="HB76" s="46">
        <v>0</v>
      </c>
      <c r="HC76" s="46">
        <v>0</v>
      </c>
      <c r="HD76" s="46">
        <v>0</v>
      </c>
      <c r="HE76" s="46">
        <v>0</v>
      </c>
      <c r="HF76" s="46">
        <v>0</v>
      </c>
      <c r="HG76" s="46">
        <v>0</v>
      </c>
      <c r="HH76" s="46">
        <v>0</v>
      </c>
      <c r="HI76" s="46">
        <v>0</v>
      </c>
      <c r="HJ76" s="46">
        <v>0</v>
      </c>
      <c r="HK76" s="46">
        <v>0</v>
      </c>
      <c r="HL76" s="46">
        <v>0</v>
      </c>
      <c r="HM76" s="46">
        <v>0</v>
      </c>
      <c r="HN76" s="46">
        <v>0</v>
      </c>
      <c r="HO76" s="46">
        <v>0</v>
      </c>
      <c r="HP76" s="46">
        <v>6725761</v>
      </c>
      <c r="HQ76" s="46">
        <v>0</v>
      </c>
      <c r="HR76" s="46">
        <v>19013025</v>
      </c>
      <c r="HS76" s="46">
        <v>0</v>
      </c>
      <c r="HT76" s="46">
        <v>0</v>
      </c>
      <c r="HU76" s="46">
        <v>0</v>
      </c>
      <c r="HV76" s="46">
        <v>0</v>
      </c>
      <c r="HW76" s="46">
        <v>0</v>
      </c>
      <c r="HX76" s="46">
        <v>0</v>
      </c>
      <c r="HY76" s="46">
        <v>0</v>
      </c>
      <c r="HZ76" s="46">
        <v>0</v>
      </c>
      <c r="IA76" s="46">
        <v>0</v>
      </c>
      <c r="IB76" s="46">
        <v>0</v>
      </c>
      <c r="IC76" s="46">
        <v>0</v>
      </c>
      <c r="ID76" s="46">
        <v>0</v>
      </c>
      <c r="IE76" s="46">
        <v>0</v>
      </c>
      <c r="IF76" s="46">
        <v>0</v>
      </c>
      <c r="IG76" s="46">
        <v>0</v>
      </c>
      <c r="IH76" s="46">
        <v>0</v>
      </c>
      <c r="II76" s="46">
        <v>0</v>
      </c>
      <c r="IJ76" s="46">
        <v>0</v>
      </c>
      <c r="IK76" s="46">
        <v>0</v>
      </c>
      <c r="IL76" s="46">
        <v>0</v>
      </c>
      <c r="IM76" s="46">
        <v>0</v>
      </c>
      <c r="IN76" s="46">
        <v>0</v>
      </c>
      <c r="IO76" s="46">
        <v>0</v>
      </c>
      <c r="IP76" s="46">
        <v>0</v>
      </c>
      <c r="IQ76" s="46">
        <v>700047</v>
      </c>
      <c r="IR76" s="46">
        <v>0</v>
      </c>
      <c r="IS76" s="46">
        <v>4385</v>
      </c>
      <c r="IT76" s="46">
        <v>0</v>
      </c>
      <c r="IU76" s="46">
        <v>0</v>
      </c>
      <c r="IV76" s="46">
        <v>0</v>
      </c>
      <c r="IW76" s="46">
        <v>0</v>
      </c>
      <c r="IX76" s="46">
        <v>0</v>
      </c>
      <c r="IY76" s="46">
        <v>0</v>
      </c>
      <c r="IZ76" s="46">
        <v>0</v>
      </c>
      <c r="JA76" s="46">
        <v>0</v>
      </c>
      <c r="JB76" s="46">
        <v>3103668</v>
      </c>
      <c r="JC76" s="46">
        <v>0</v>
      </c>
      <c r="JD76" s="46">
        <v>0</v>
      </c>
      <c r="JE76" s="46">
        <v>0</v>
      </c>
      <c r="JF76" s="46">
        <v>0</v>
      </c>
      <c r="JG76" s="46">
        <v>0</v>
      </c>
      <c r="JH76" s="46">
        <v>0</v>
      </c>
      <c r="JI76" s="46">
        <v>15385740</v>
      </c>
      <c r="JJ76" s="46">
        <v>0</v>
      </c>
      <c r="JK76" s="46">
        <v>46820647</v>
      </c>
      <c r="JL76" s="46">
        <v>0</v>
      </c>
      <c r="JM76" s="46">
        <v>0</v>
      </c>
      <c r="JN76" s="46">
        <v>0</v>
      </c>
      <c r="JO76" s="46">
        <v>0</v>
      </c>
      <c r="JP76" s="46">
        <v>0</v>
      </c>
      <c r="JQ76" s="46">
        <v>0</v>
      </c>
      <c r="JR76" s="46">
        <v>1428451</v>
      </c>
      <c r="JS76" s="46">
        <v>0</v>
      </c>
      <c r="JT76" s="46">
        <v>2179558</v>
      </c>
      <c r="JU76" s="46">
        <v>0</v>
      </c>
      <c r="JV76" s="46">
        <v>0</v>
      </c>
      <c r="JW76" s="46">
        <v>0</v>
      </c>
      <c r="JX76" s="46">
        <v>0</v>
      </c>
      <c r="JY76" s="46">
        <v>0</v>
      </c>
      <c r="JZ76" s="46">
        <v>0</v>
      </c>
      <c r="KA76" s="46">
        <v>0</v>
      </c>
      <c r="KB76" s="46">
        <v>0</v>
      </c>
      <c r="KC76" s="46">
        <v>0</v>
      </c>
      <c r="KD76" s="46">
        <v>0</v>
      </c>
      <c r="KE76" s="46">
        <v>0</v>
      </c>
      <c r="KF76" s="46">
        <v>0</v>
      </c>
      <c r="KG76" s="46">
        <v>0</v>
      </c>
      <c r="KH76" s="46">
        <v>0</v>
      </c>
      <c r="KI76" s="46">
        <v>0</v>
      </c>
      <c r="KJ76" s="46">
        <v>271656</v>
      </c>
      <c r="KK76" s="46">
        <v>0</v>
      </c>
      <c r="KL76" s="46">
        <v>356266</v>
      </c>
      <c r="KM76" s="46">
        <v>0</v>
      </c>
      <c r="KN76" s="46">
        <v>0</v>
      </c>
      <c r="KO76" s="46">
        <v>0</v>
      </c>
      <c r="KP76" s="46">
        <v>0</v>
      </c>
      <c r="KQ76" s="46">
        <v>-7782</v>
      </c>
      <c r="KR76" s="46">
        <v>0</v>
      </c>
      <c r="KS76" s="46">
        <v>0</v>
      </c>
      <c r="KT76" s="46">
        <v>0</v>
      </c>
      <c r="KU76" s="46">
        <v>0</v>
      </c>
      <c r="KV76" s="46">
        <v>0</v>
      </c>
      <c r="KW76" s="46">
        <v>0</v>
      </c>
      <c r="KX76" s="46">
        <v>0</v>
      </c>
      <c r="KY76" s="46">
        <v>0</v>
      </c>
      <c r="KZ76" s="46">
        <v>0</v>
      </c>
      <c r="LA76" s="46">
        <v>17704510</v>
      </c>
      <c r="LB76" s="46">
        <v>18426756</v>
      </c>
      <c r="LC76" s="46">
        <v>0</v>
      </c>
      <c r="LD76" s="46">
        <v>71184606</v>
      </c>
      <c r="LE76" s="46">
        <v>0</v>
      </c>
      <c r="LF76" s="46">
        <v>0</v>
      </c>
      <c r="LG76" s="46">
        <v>47749</v>
      </c>
      <c r="LH76" s="46">
        <v>0</v>
      </c>
      <c r="LI76" s="46">
        <v>0</v>
      </c>
      <c r="LJ76" s="46">
        <v>0</v>
      </c>
      <c r="LK76" s="46">
        <v>0</v>
      </c>
      <c r="LL76" s="46">
        <v>0</v>
      </c>
      <c r="LM76" s="46">
        <v>0</v>
      </c>
      <c r="LN76" s="46">
        <v>0</v>
      </c>
      <c r="LO76" s="46">
        <v>0</v>
      </c>
      <c r="LP76" s="46">
        <v>0</v>
      </c>
      <c r="LQ76" s="46">
        <v>0</v>
      </c>
      <c r="LR76" s="46">
        <v>0</v>
      </c>
      <c r="LS76" s="46">
        <v>0</v>
      </c>
      <c r="LT76" s="46">
        <v>0</v>
      </c>
      <c r="LU76" s="46">
        <v>0</v>
      </c>
      <c r="LV76" s="46">
        <v>0</v>
      </c>
      <c r="LW76" s="46">
        <v>0</v>
      </c>
      <c r="LX76" s="46">
        <v>0</v>
      </c>
      <c r="LY76" s="46">
        <v>0</v>
      </c>
      <c r="LZ76" s="46">
        <v>0</v>
      </c>
      <c r="MA76" s="46">
        <v>0</v>
      </c>
      <c r="MB76" s="46">
        <v>0</v>
      </c>
      <c r="MC76" s="46">
        <v>0</v>
      </c>
      <c r="MD76" s="46">
        <v>0</v>
      </c>
      <c r="ME76" s="46">
        <v>0</v>
      </c>
      <c r="MF76" s="46">
        <v>0</v>
      </c>
      <c r="MG76" s="46">
        <v>0</v>
      </c>
      <c r="MH76" s="46">
        <v>0</v>
      </c>
      <c r="MI76" s="46">
        <v>0</v>
      </c>
      <c r="MJ76" s="46">
        <v>0</v>
      </c>
      <c r="MK76" s="46">
        <v>0</v>
      </c>
      <c r="ML76" s="46">
        <v>0</v>
      </c>
      <c r="MM76" s="46">
        <v>0</v>
      </c>
      <c r="MN76" s="46">
        <v>0</v>
      </c>
      <c r="MO76" s="46">
        <v>0</v>
      </c>
      <c r="MP76" s="46">
        <v>0</v>
      </c>
      <c r="MQ76" s="46">
        <v>0</v>
      </c>
      <c r="MR76" s="46">
        <v>0</v>
      </c>
      <c r="MS76" s="46">
        <v>0</v>
      </c>
      <c r="MT76" s="46">
        <v>0</v>
      </c>
      <c r="MU76" s="46">
        <v>0</v>
      </c>
      <c r="MV76" s="46">
        <v>0</v>
      </c>
      <c r="MW76" s="46">
        <v>0</v>
      </c>
      <c r="MX76" s="46">
        <v>0</v>
      </c>
      <c r="MY76" s="46">
        <v>0</v>
      </c>
      <c r="MZ76" s="46">
        <v>0</v>
      </c>
      <c r="NA76" s="46">
        <v>0</v>
      </c>
      <c r="NB76" s="46">
        <v>0</v>
      </c>
      <c r="NC76" s="46">
        <v>0</v>
      </c>
      <c r="ND76" s="46">
        <v>0</v>
      </c>
      <c r="NE76" s="46">
        <v>0</v>
      </c>
      <c r="NF76" s="46">
        <v>0</v>
      </c>
      <c r="NG76" s="46">
        <v>0</v>
      </c>
      <c r="NH76" s="46">
        <v>0</v>
      </c>
      <c r="NI76" s="46">
        <v>0</v>
      </c>
      <c r="NJ76" s="46">
        <v>0</v>
      </c>
      <c r="NK76" s="46">
        <v>0</v>
      </c>
      <c r="NL76" s="46">
        <v>0</v>
      </c>
      <c r="NM76" s="46">
        <v>0</v>
      </c>
      <c r="NN76" s="46">
        <v>0</v>
      </c>
      <c r="NO76" s="46">
        <v>0</v>
      </c>
      <c r="NP76" s="46">
        <v>0</v>
      </c>
      <c r="NQ76" s="46">
        <v>0</v>
      </c>
      <c r="NR76" s="46">
        <v>0</v>
      </c>
      <c r="NS76" s="46">
        <v>0</v>
      </c>
      <c r="NT76" s="46">
        <v>0</v>
      </c>
      <c r="NU76" s="46">
        <v>0</v>
      </c>
      <c r="NV76" s="46">
        <v>0</v>
      </c>
      <c r="NW76" s="46">
        <v>0</v>
      </c>
      <c r="NX76" s="46">
        <v>0</v>
      </c>
      <c r="NY76" s="46">
        <v>0</v>
      </c>
      <c r="NZ76" s="46">
        <v>0</v>
      </c>
      <c r="OA76" s="46">
        <v>0</v>
      </c>
      <c r="OB76" s="46">
        <v>0</v>
      </c>
      <c r="OC76" s="46">
        <v>0</v>
      </c>
      <c r="OD76" s="46">
        <v>0</v>
      </c>
      <c r="OE76" s="46">
        <v>24289</v>
      </c>
      <c r="OF76" s="46">
        <v>0</v>
      </c>
      <c r="OG76" s="46">
        <v>1179735</v>
      </c>
      <c r="OH76" s="46">
        <v>0</v>
      </c>
      <c r="OI76" s="46">
        <v>0</v>
      </c>
      <c r="OJ76" s="46">
        <v>0</v>
      </c>
      <c r="OK76" s="46">
        <v>0</v>
      </c>
      <c r="OL76" s="46">
        <v>0</v>
      </c>
      <c r="OM76" s="46">
        <v>0</v>
      </c>
      <c r="ON76" s="46">
        <v>70837</v>
      </c>
      <c r="OO76" s="46">
        <v>0</v>
      </c>
      <c r="OP76" s="46">
        <v>0</v>
      </c>
      <c r="OQ76" s="46">
        <v>0</v>
      </c>
      <c r="OR76" s="46">
        <v>0</v>
      </c>
      <c r="OS76" s="46">
        <v>0</v>
      </c>
      <c r="OT76" s="46">
        <v>0</v>
      </c>
      <c r="OU76" s="46">
        <v>32591</v>
      </c>
      <c r="OV76" s="46">
        <v>0</v>
      </c>
      <c r="OW76" s="46">
        <v>0</v>
      </c>
      <c r="OX76" s="46">
        <v>0</v>
      </c>
      <c r="OY76" s="46">
        <v>0</v>
      </c>
      <c r="OZ76" s="46">
        <v>0</v>
      </c>
      <c r="PA76" s="46">
        <v>0</v>
      </c>
      <c r="PB76" s="46">
        <v>2049807</v>
      </c>
      <c r="PC76" s="46">
        <v>0</v>
      </c>
      <c r="PD76" s="46">
        <v>0</v>
      </c>
      <c r="PE76" s="46">
        <v>1993422</v>
      </c>
      <c r="PF76" s="46">
        <v>-946895</v>
      </c>
      <c r="PG76" s="46">
        <v>0</v>
      </c>
      <c r="PH76" s="46">
        <v>-712979</v>
      </c>
      <c r="PI76" s="46">
        <v>0</v>
      </c>
      <c r="PJ76" s="46">
        <v>6671</v>
      </c>
      <c r="PK76" s="46">
        <v>10467724</v>
      </c>
      <c r="PL76" s="46">
        <v>0</v>
      </c>
      <c r="PM76" s="46">
        <v>207839</v>
      </c>
      <c r="PN76" s="46">
        <v>0</v>
      </c>
      <c r="PO76" s="46">
        <v>0</v>
      </c>
      <c r="PP76" s="46">
        <v>0</v>
      </c>
      <c r="PQ76" s="46">
        <v>0</v>
      </c>
      <c r="PR76" s="46">
        <v>0</v>
      </c>
      <c r="PS76" s="46">
        <v>0</v>
      </c>
      <c r="PT76" s="46">
        <v>0</v>
      </c>
      <c r="PU76" s="46">
        <v>0</v>
      </c>
      <c r="PV76" s="46">
        <v>0</v>
      </c>
      <c r="PW76" s="46">
        <v>0</v>
      </c>
      <c r="PX76" s="46">
        <v>-706420</v>
      </c>
      <c r="PY76" s="46">
        <v>0</v>
      </c>
      <c r="PZ76" s="46">
        <v>0</v>
      </c>
      <c r="QA76" s="46">
        <v>0</v>
      </c>
      <c r="QB76" s="46">
        <v>0</v>
      </c>
      <c r="QC76" s="46">
        <v>0</v>
      </c>
      <c r="QD76" s="46">
        <v>0</v>
      </c>
      <c r="QE76" s="46">
        <v>0</v>
      </c>
      <c r="QF76" s="46">
        <v>230905</v>
      </c>
      <c r="QG76" s="46">
        <v>327760</v>
      </c>
      <c r="QH76" s="46">
        <v>0</v>
      </c>
      <c r="QI76" s="46">
        <v>0</v>
      </c>
      <c r="QJ76" s="46">
        <v>0</v>
      </c>
      <c r="QK76" s="46">
        <v>1646</v>
      </c>
      <c r="QL76" s="46">
        <v>0</v>
      </c>
      <c r="QM76" s="46">
        <v>0</v>
      </c>
      <c r="QN76" s="46">
        <v>0</v>
      </c>
      <c r="QO76" s="46">
        <v>0</v>
      </c>
      <c r="QP76" s="46">
        <v>0</v>
      </c>
      <c r="QQ76" s="46">
        <v>0</v>
      </c>
      <c r="QR76" s="46">
        <v>0</v>
      </c>
      <c r="QS76" s="46">
        <v>0</v>
      </c>
      <c r="QT76" s="46">
        <v>0</v>
      </c>
      <c r="QU76" s="46">
        <v>0</v>
      </c>
      <c r="QV76" s="46">
        <v>0</v>
      </c>
      <c r="QW76" s="46">
        <v>0</v>
      </c>
      <c r="QX76" s="46">
        <v>0</v>
      </c>
      <c r="QY76" s="46">
        <v>0</v>
      </c>
      <c r="QZ76" s="46">
        <v>0</v>
      </c>
      <c r="RA76" s="46">
        <v>0</v>
      </c>
      <c r="RB76" s="46">
        <v>0</v>
      </c>
      <c r="RC76" s="46">
        <v>0</v>
      </c>
      <c r="RD76" s="46">
        <v>0</v>
      </c>
      <c r="RE76" s="46">
        <v>0</v>
      </c>
      <c r="RF76" s="46">
        <v>0</v>
      </c>
      <c r="RG76" s="46">
        <v>0</v>
      </c>
      <c r="RH76" s="46">
        <v>0</v>
      </c>
      <c r="RI76" s="46">
        <v>0</v>
      </c>
      <c r="RJ76" s="46">
        <v>0</v>
      </c>
      <c r="RK76" s="46">
        <v>0</v>
      </c>
      <c r="RL76" s="46">
        <v>0</v>
      </c>
      <c r="RM76" s="46">
        <v>0</v>
      </c>
      <c r="RN76" s="46">
        <v>0</v>
      </c>
      <c r="RO76" s="46">
        <v>-6414755</v>
      </c>
      <c r="RP76" s="46">
        <v>0</v>
      </c>
      <c r="RQ76" s="46">
        <v>0</v>
      </c>
      <c r="RR76" s="46">
        <v>0</v>
      </c>
      <c r="RS76" s="46">
        <v>0</v>
      </c>
      <c r="RT76" s="46">
        <v>0</v>
      </c>
      <c r="RU76" s="46">
        <v>0</v>
      </c>
      <c r="RV76" s="46">
        <v>0</v>
      </c>
      <c r="RW76" s="46">
        <v>0</v>
      </c>
      <c r="RX76" s="46">
        <v>2506702</v>
      </c>
      <c r="RY76" s="46">
        <v>0</v>
      </c>
      <c r="RZ76" s="46">
        <v>0</v>
      </c>
      <c r="SA76" s="46">
        <v>0</v>
      </c>
      <c r="SB76" s="46">
        <v>0</v>
      </c>
      <c r="SC76" s="46">
        <v>0</v>
      </c>
      <c r="SD76" s="46">
        <v>0</v>
      </c>
      <c r="SE76" s="46">
        <v>0</v>
      </c>
      <c r="SF76" s="46">
        <v>0</v>
      </c>
      <c r="SG76" s="46">
        <v>0</v>
      </c>
      <c r="SH76" s="46">
        <v>0</v>
      </c>
      <c r="SI76" s="46">
        <v>0</v>
      </c>
      <c r="SJ76" s="46">
        <v>0</v>
      </c>
      <c r="SK76" s="46">
        <v>0</v>
      </c>
      <c r="SL76" s="46">
        <v>0</v>
      </c>
      <c r="SM76" s="46">
        <v>0</v>
      </c>
      <c r="SN76" s="46">
        <v>0</v>
      </c>
      <c r="SO76" s="46">
        <v>0</v>
      </c>
      <c r="SP76" s="46">
        <v>0</v>
      </c>
      <c r="SQ76" s="46">
        <v>0</v>
      </c>
      <c r="SR76" s="46">
        <v>24289</v>
      </c>
      <c r="SS76" s="46">
        <v>0</v>
      </c>
      <c r="ST76" s="46">
        <v>1179735</v>
      </c>
      <c r="SU76" s="46">
        <v>0</v>
      </c>
      <c r="SV76" s="46">
        <v>0</v>
      </c>
      <c r="SW76" s="46">
        <v>-2049807</v>
      </c>
      <c r="SX76" s="46">
        <v>0</v>
      </c>
      <c r="SY76" s="46">
        <v>0</v>
      </c>
      <c r="SZ76" s="46">
        <v>0</v>
      </c>
      <c r="TA76" s="46">
        <v>1204024</v>
      </c>
      <c r="TB76" s="46">
        <v>0</v>
      </c>
      <c r="TC76" s="46">
        <v>0</v>
      </c>
      <c r="TD76" s="46">
        <v>0</v>
      </c>
      <c r="TE76" s="46">
        <v>0</v>
      </c>
      <c r="TF76" s="46">
        <v>0</v>
      </c>
      <c r="TG76" s="46">
        <v>0</v>
      </c>
      <c r="TH76" s="46">
        <v>0</v>
      </c>
      <c r="TI76" s="46">
        <v>0</v>
      </c>
      <c r="TJ76" s="46">
        <v>0</v>
      </c>
      <c r="TK76" s="46">
        <v>0</v>
      </c>
      <c r="TL76" s="46">
        <v>242978</v>
      </c>
      <c r="TM76" s="46">
        <v>0</v>
      </c>
      <c r="TN76" s="46">
        <v>0</v>
      </c>
      <c r="TO76" s="46">
        <v>0</v>
      </c>
      <c r="TP76" s="46">
        <v>0</v>
      </c>
      <c r="TQ76" s="46">
        <v>0</v>
      </c>
      <c r="TR76" s="46">
        <v>0</v>
      </c>
      <c r="TS76" s="46">
        <v>0</v>
      </c>
      <c r="TT76" s="46">
        <v>0</v>
      </c>
      <c r="TU76" s="46">
        <v>0</v>
      </c>
      <c r="TV76" s="46">
        <v>0</v>
      </c>
      <c r="TW76" s="46">
        <v>0</v>
      </c>
      <c r="TX76" s="46">
        <v>0</v>
      </c>
      <c r="TY76" s="46">
        <v>0</v>
      </c>
      <c r="TZ76" s="46">
        <v>0</v>
      </c>
      <c r="UA76" s="46">
        <v>0</v>
      </c>
      <c r="UB76" s="46">
        <v>0</v>
      </c>
      <c r="UC76" s="46">
        <v>0</v>
      </c>
      <c r="UD76" s="46">
        <v>0</v>
      </c>
      <c r="UE76" s="46">
        <v>0</v>
      </c>
      <c r="UF76" s="46">
        <v>107363621</v>
      </c>
      <c r="UG76" s="46">
        <v>0</v>
      </c>
      <c r="UH76" s="46">
        <v>0</v>
      </c>
      <c r="UI76" s="46">
        <v>0</v>
      </c>
      <c r="UJ76" s="46">
        <v>0</v>
      </c>
      <c r="UK76" s="46">
        <v>0</v>
      </c>
      <c r="UL76" s="46">
        <v>0</v>
      </c>
      <c r="UM76" s="46">
        <v>0</v>
      </c>
      <c r="UN76" s="46">
        <v>0</v>
      </c>
      <c r="UO76"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1204024</v>
      </c>
      <c r="UP76" s="46">
        <f>SUM(Input[[#This Row],[Oth Exp E&amp;G]],Input[[#This Row],[Oth Exp Desg]],Input[[#This Row],[Oth Exp Aux]],Input[[#This Row],[Oth Exp R Exp]],Input[[#This Row],[Oth Exp Loan]],Input[[#This Row],[Oth Exp Annuity]],Input[[#This Row],[Oth Exp Unexp]],Input[[#This Row],[Oth Exp R of Ind]],Input[[#This Row],[Oth Exp Inv in P]])</f>
        <v>103428</v>
      </c>
      <c r="UQ76" s="46"/>
      <c r="UR76" s="46"/>
      <c r="US76" s="8" t="s">
        <v>742</v>
      </c>
      <c r="UT76" s="47">
        <v>9798459761</v>
      </c>
      <c r="UU76" s="8" t="s">
        <v>71</v>
      </c>
      <c r="UV76" s="8" t="s">
        <v>785</v>
      </c>
      <c r="UW76" s="47">
        <v>9793172757</v>
      </c>
      <c r="UX76" s="8" t="s">
        <v>786</v>
      </c>
      <c r="UY76" s="51" t="str" cm="1">
        <f t="array" ref="UY76">IFERROR(_xlfn.IFS(Input[[#This Row],[Type]]="HRI",SUMIFS('FTSE | FTFE'!$P$8:$P$77,'FTSE | FTFE'!$H$8:$H$77,A76),Input[[#This Row],[Type]]="UNIV",SUMIFS('FTSE | FTFE'!$P$104:$P$139,'FTSE | FTFE'!$H$104:$H$139,A76),OR(Input[[#This Row],[Type]]="TSTC",Input[[#This Row],[Type]]="LSC"),SUMIFS('FTSE | FTFE'!$O$88:$O$96,'FTSE | FTFE'!$H$88:$H$96,A76),Input[[#This Row],[Type]]="AHM",SUMIFS(Hidden!$H$42:$H$45,Hidden!$G$42:$G$45,A76)),"N/A")</f>
        <v>N/A</v>
      </c>
      <c r="UZ76" s="51" t="str" cm="1">
        <f t="array" ref="UZ76">IFERROR(_xlfn.IFS(Input[[#This Row],[Type]]="HRI",SUMIFS('FTSE | FTFE'!$Q$8:$Q$77,'FTSE | FTFE'!$H$8:$H$77,A76),Input[[#This Row],[Type]]="UNIV",SUMIFS('FTSE | FTFE'!$Q$104:$Q$139,'FTSE | FTFE'!$H$104:$H$139,A76),OR(Input[[#This Row],[Type]]="TSTC",Input[[#This Row],[Type]]="LSC"),SUMIFS('FTSE | FTFE'!$P$88:$P$96,'FTSE | FTFE'!$H$88:$H$96,A76)),"N/A")</f>
        <v>N/A</v>
      </c>
      <c r="VA76"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16695358</v>
      </c>
      <c r="VB76"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6" s="46">
        <f>SUM(Input[[#This Row],[Fed G&amp;C E&amp;G]],Input[[#This Row],[Fed G&amp;C Desg]],Input[[#This Row],[Fed G&amp;C R Exp]],Input[[#This Row],[Fed G&amp;C Loan]],Input[[#This Row],[Fed G&amp;C Annuity]],Input[[#This Row],[Fed G&amp;C Unexp]],Input[[#This Row],[Fed G&amp;C R of Ind]],Input[[#This Row],[Fed G&amp;C Inv in P]])</f>
        <v>25738786</v>
      </c>
      <c r="VD76"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70242636</v>
      </c>
      <c r="VE76"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6"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6" s="46">
        <f>SUM(Input[[#This Row],[Oth Inc E&amp;G]],Input[[#This Row],[Oth Exp Desg]],Input[[#This Row],[Oth Exp R Exp]],Input[[#This Row],[Oth Exp Loan]],Input[[#This Row],[Oth Exp Annuity]],Input[[#This Row],[Oth Exp Unexp]],Input[[#This Row],[Oth Exp R of Ind]],Input[[#This Row],[Oth Exp Inv in P]])</f>
        <v>103428</v>
      </c>
      <c r="VH76" s="46">
        <f>SUM(Input[[#This Row],[Instr E&amp;G]],Input[[#This Row],[Instr Desg]],Input[[#This Row],[Instr R Exp]],Input[[#This Row],[Instr Loan]],Input[[#This Row],[Instr Annuity]],Input[[#This Row],[Instr Unexp]],Input[[#This Row],[Instr R of Ind]],Input[[#This Row],[Instr Inv in P]])</f>
        <v>0</v>
      </c>
      <c r="VI76" s="46">
        <f>SUM(Input[[#This Row],[Res E&amp;G]],Input[[#This Row],[Res Desg]],Input[[#This Row],[Res R Exp]],Input[[#This Row],[Res Loan]],Input[[#This Row],[Res Annuity]],Input[[#This Row],[Res Unexp]],Input[[#This Row],[Res R of Ind]],Input[[#This Row],[Res Inv in P]])</f>
        <v>107363621</v>
      </c>
      <c r="VJ76" s="46">
        <f>SUM(Input[[#This Row],[Acad Sup E&amp;G]],Input[[#This Row],[Acad Sup Desg]],Input[[#This Row],[Acad Sup R Exp]],Input[[#This Row],[Acad Sup Loan]],Input[[#This Row],[Acad Sup Annuity]],Input[[#This Row],[Acad Sup Unexp]],Input[[#This Row],[Acad Sup R of Ind]],Input[[#This Row],[Acad Sup Inv in P]])</f>
        <v>0</v>
      </c>
      <c r="VK76" s="46">
        <f>SUM(Input[[#This Row],[Stu Svc E&amp;G]],Input[[#This Row],[Stu Svc Desg]],Input[[#This Row],[Stu Svc R Exp]],Input[[#This Row],[Stu Svc Loan]],Input[[#This Row],[Stu Svc Annuity]],Input[[#This Row],[Stu Svc Unexp]],Input[[#This Row],[Stu Svc R of Ind]],Input[[#This Row],[Stu Svc Inv in P]])</f>
        <v>0</v>
      </c>
      <c r="VL76" s="46">
        <f>SUM(Input[[#This Row],[Inst. Spt E&amp;G]],Input[[#This Row],[Inst. Spt Desg]],Input[[#This Row],[Inst. Spt R Exp]],Input[[#This Row],[Inst. Spt Loan]],Input[[#This Row],[Inst. Spt Annuity]],Input[[#This Row],[Inst. Spt Unexp]],Input[[#This Row],[Inst. Spt R of Ind]],Input[[#This Row],[Inst. Spt Inv in P]])</f>
        <v>0</v>
      </c>
      <c r="VM76" s="46">
        <f>SUM(Input[[#This Row],[M&amp;O Plnt E&amp;G]],Input[[#This Row],[M&amp;O Plnt Desg]],Input[[#This Row],[M&amp;O Plnt R Exp]],Input[[#This Row],[M&amp;O Plnt Loan]],Input[[#This Row],[M&amp;O Plnt Annuity]],Input[[#This Row],[M&amp;O Plnt Unexp]],Input[[#This Row],[M&amp;O Plnt R of Ind]],Input[[#This Row],[M&amp;O Plnt Inv in P]])</f>
        <v>0</v>
      </c>
      <c r="VN76"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6" s="46">
        <f>SUM(Input[[#This Row],[Cap Out fund E&amp;G]],Input[[#This Row],[Cap Out fund Desg]],Input[[#This Row],[Cap Out fund R Exp]],Input[[#This Row],[Cap Out fund Loan]],Input[[#This Row],[Cap Out fund Annuity]],Input[[#This Row],[Cap Out fund Unexp]],Input[[#This Row],[Cap Out fund R of Ind]],Input[[#This Row],[Cap Out fund Inv in P]])</f>
        <v>1204024</v>
      </c>
      <c r="VP76" s="46">
        <f>SUM(Input[[#This Row],[Oth Exp E&amp;G]],Input[[#This Row],[Oth Exp Desg]],Input[[#This Row],[Oth Exp R Exp]],Input[[#This Row],[Oth Exp Loan]],Input[[#This Row],[Oth Exp Annuity]],Input[[#This Row],[Oth Exp Unexp]],Input[[#This Row],[Oth Exp R of Ind]],Input[[#This Row],[Oth Exp Inv in P]],Input[[#This Row],[Oth Exp Inv in P]])</f>
        <v>136019</v>
      </c>
    </row>
    <row r="77" spans="1:588" ht="30" customHeight="1" x14ac:dyDescent="0.3">
      <c r="A77" s="15" t="s">
        <v>99</v>
      </c>
      <c r="B77" s="36" t="s">
        <v>111</v>
      </c>
      <c r="C77" s="36" t="s">
        <v>119</v>
      </c>
      <c r="D77" s="36">
        <v>1105</v>
      </c>
      <c r="E77" s="36" t="s">
        <v>132</v>
      </c>
      <c r="F77" s="95" t="s">
        <v>106</v>
      </c>
      <c r="G77" s="46">
        <v>15137413</v>
      </c>
      <c r="H77" s="46">
        <v>0</v>
      </c>
      <c r="I77" s="46">
        <v>0</v>
      </c>
      <c r="J77" s="46">
        <v>0</v>
      </c>
      <c r="K77" s="46">
        <v>0</v>
      </c>
      <c r="L77" s="46">
        <v>0</v>
      </c>
      <c r="M77" s="46">
        <v>0</v>
      </c>
      <c r="N77" s="46">
        <v>0</v>
      </c>
      <c r="O77" s="46">
        <v>0</v>
      </c>
      <c r="P77" s="46">
        <v>4753865</v>
      </c>
      <c r="Q77" s="46">
        <v>0</v>
      </c>
      <c r="R77" s="46">
        <v>0</v>
      </c>
      <c r="S77" s="46">
        <v>511492</v>
      </c>
      <c r="T77" s="46">
        <v>0</v>
      </c>
      <c r="U77" s="46">
        <v>0</v>
      </c>
      <c r="V77" s="46">
        <v>0</v>
      </c>
      <c r="W77" s="46">
        <v>0</v>
      </c>
      <c r="X77" s="46">
        <v>0</v>
      </c>
      <c r="Y77" s="46">
        <v>0</v>
      </c>
      <c r="Z77" s="46">
        <v>0</v>
      </c>
      <c r="AA77" s="46">
        <v>0</v>
      </c>
      <c r="AB77" s="46">
        <v>0</v>
      </c>
      <c r="AC77" s="46">
        <v>0</v>
      </c>
      <c r="AD77" s="46">
        <v>0</v>
      </c>
      <c r="AE77" s="46">
        <v>0</v>
      </c>
      <c r="AF77" s="46">
        <v>0</v>
      </c>
      <c r="AG77" s="46">
        <v>0</v>
      </c>
      <c r="AH77" s="46">
        <v>0</v>
      </c>
      <c r="AI77" s="46">
        <v>0</v>
      </c>
      <c r="AJ77" s="46">
        <v>0</v>
      </c>
      <c r="AK77" s="46">
        <v>0</v>
      </c>
      <c r="AL77" s="46">
        <v>0</v>
      </c>
      <c r="AM77" s="46">
        <v>0</v>
      </c>
      <c r="AN77" s="46">
        <v>0</v>
      </c>
      <c r="AO77" s="46">
        <v>0</v>
      </c>
      <c r="AP77" s="46">
        <v>0</v>
      </c>
      <c r="AQ77" s="46">
        <v>0</v>
      </c>
      <c r="AR77" s="46">
        <v>0</v>
      </c>
      <c r="AS77" s="46">
        <v>0</v>
      </c>
      <c r="AT77" s="46">
        <v>0</v>
      </c>
      <c r="AU77" s="46">
        <v>0</v>
      </c>
      <c r="AV77" s="46">
        <v>0</v>
      </c>
      <c r="AW77" s="46">
        <v>0</v>
      </c>
      <c r="AX77" s="46">
        <v>0</v>
      </c>
      <c r="AY77" s="46">
        <v>0</v>
      </c>
      <c r="AZ77" s="46">
        <v>0</v>
      </c>
      <c r="BA77" s="46">
        <v>0</v>
      </c>
      <c r="BB77" s="46">
        <v>0</v>
      </c>
      <c r="BC77" s="46">
        <v>0</v>
      </c>
      <c r="BD77" s="46">
        <v>0</v>
      </c>
      <c r="BE77" s="46">
        <v>0</v>
      </c>
      <c r="BF77" s="46">
        <v>0</v>
      </c>
      <c r="BG77" s="46">
        <v>0</v>
      </c>
      <c r="BH77" s="46">
        <v>0</v>
      </c>
      <c r="BI77" s="46">
        <v>0</v>
      </c>
      <c r="BJ77" s="46">
        <v>0</v>
      </c>
      <c r="BK77" s="46">
        <v>0</v>
      </c>
      <c r="BL77" s="46">
        <v>0</v>
      </c>
      <c r="BM77" s="46">
        <v>0</v>
      </c>
      <c r="BN77" s="46">
        <v>0</v>
      </c>
      <c r="BO77" s="46">
        <v>0</v>
      </c>
      <c r="BP77" s="46">
        <v>0</v>
      </c>
      <c r="BQ77" s="46">
        <v>0</v>
      </c>
      <c r="BR77" s="46">
        <v>0</v>
      </c>
      <c r="BS77" s="46">
        <v>0</v>
      </c>
      <c r="BT77" s="46">
        <v>0</v>
      </c>
      <c r="BU77" s="46">
        <v>0</v>
      </c>
      <c r="BV77" s="46">
        <v>0</v>
      </c>
      <c r="BW77" s="46">
        <v>0</v>
      </c>
      <c r="BX77" s="46">
        <v>0</v>
      </c>
      <c r="BY77" s="46">
        <v>0</v>
      </c>
      <c r="BZ77" s="46">
        <v>0</v>
      </c>
      <c r="CA77" s="46">
        <v>18584394</v>
      </c>
      <c r="CB77" s="46">
        <v>0</v>
      </c>
      <c r="CC77" s="46">
        <v>0</v>
      </c>
      <c r="CD77" s="46">
        <v>0</v>
      </c>
      <c r="CE77" s="46">
        <v>0</v>
      </c>
      <c r="CF77" s="46">
        <v>0</v>
      </c>
      <c r="CG77" s="46">
        <v>0</v>
      </c>
      <c r="CH77" s="46">
        <v>0</v>
      </c>
      <c r="CI77" s="46">
        <v>0</v>
      </c>
      <c r="CJ77" s="46">
        <v>0</v>
      </c>
      <c r="CK77" s="46">
        <v>0</v>
      </c>
      <c r="CL77" s="46">
        <v>0</v>
      </c>
      <c r="CM77" s="46">
        <v>0</v>
      </c>
      <c r="CN77" s="46">
        <v>0</v>
      </c>
      <c r="CO77" s="46">
        <v>0</v>
      </c>
      <c r="CP77" s="46">
        <v>0</v>
      </c>
      <c r="CQ77" s="46">
        <v>0</v>
      </c>
      <c r="CR77" s="46">
        <v>0</v>
      </c>
      <c r="CS77" s="46">
        <v>0</v>
      </c>
      <c r="CT77" s="46">
        <v>0</v>
      </c>
      <c r="CU77" s="46">
        <v>0</v>
      </c>
      <c r="CV77" s="46">
        <v>0</v>
      </c>
      <c r="CW77" s="46">
        <v>0</v>
      </c>
      <c r="CX77" s="46">
        <v>0</v>
      </c>
      <c r="CY77" s="46">
        <v>0</v>
      </c>
      <c r="CZ77" s="46">
        <v>0</v>
      </c>
      <c r="DA77" s="46">
        <v>0</v>
      </c>
      <c r="DB77" s="46">
        <v>0</v>
      </c>
      <c r="DC77" s="46">
        <v>0</v>
      </c>
      <c r="DD77" s="46">
        <v>0</v>
      </c>
      <c r="DE77" s="46">
        <v>0</v>
      </c>
      <c r="DF77" s="46">
        <v>0</v>
      </c>
      <c r="DG77" s="46">
        <v>0</v>
      </c>
      <c r="DH77" s="46">
        <v>0</v>
      </c>
      <c r="DI77" s="46">
        <v>0</v>
      </c>
      <c r="DJ77" s="46">
        <v>0</v>
      </c>
      <c r="DK77" s="46">
        <v>0</v>
      </c>
      <c r="DL77" s="46">
        <v>0</v>
      </c>
      <c r="DM77" s="46">
        <v>0</v>
      </c>
      <c r="DN77" s="46">
        <v>0</v>
      </c>
      <c r="DO77" s="46">
        <v>0</v>
      </c>
      <c r="DP77" s="46">
        <v>0</v>
      </c>
      <c r="DQ77" s="46">
        <v>0</v>
      </c>
      <c r="DR77" s="46">
        <v>0</v>
      </c>
      <c r="DS77" s="46">
        <v>0</v>
      </c>
      <c r="DT77" s="46">
        <v>0</v>
      </c>
      <c r="DU77" s="46">
        <v>0</v>
      </c>
      <c r="DV77" s="46">
        <v>0</v>
      </c>
      <c r="DW77" s="46">
        <v>0</v>
      </c>
      <c r="DX77" s="46">
        <v>0</v>
      </c>
      <c r="DY77" s="46">
        <v>0</v>
      </c>
      <c r="DZ77" s="46">
        <v>0</v>
      </c>
      <c r="EA77" s="46">
        <v>0</v>
      </c>
      <c r="EB77" s="46">
        <v>0</v>
      </c>
      <c r="EC77" s="46">
        <v>0</v>
      </c>
      <c r="ED77" s="46">
        <v>0</v>
      </c>
      <c r="EE77" s="46">
        <v>0</v>
      </c>
      <c r="EF77" s="46">
        <v>0</v>
      </c>
      <c r="EG77" s="46">
        <v>0</v>
      </c>
      <c r="EH77" s="46">
        <v>0</v>
      </c>
      <c r="EI77" s="46">
        <v>0</v>
      </c>
      <c r="EJ77" s="46">
        <v>0</v>
      </c>
      <c r="EK77" s="46">
        <v>0</v>
      </c>
      <c r="EL77" s="46">
        <v>0</v>
      </c>
      <c r="EM77" s="46">
        <v>0</v>
      </c>
      <c r="EN77" s="46">
        <v>0</v>
      </c>
      <c r="EO77" s="46">
        <v>0</v>
      </c>
      <c r="EP77" s="46">
        <v>0</v>
      </c>
      <c r="EQ77" s="46">
        <v>0</v>
      </c>
      <c r="ER77" s="46">
        <v>0</v>
      </c>
      <c r="ES77" s="46">
        <v>0</v>
      </c>
      <c r="ET77" s="46">
        <v>0</v>
      </c>
      <c r="EU77" s="46">
        <v>0</v>
      </c>
      <c r="EV77" s="46">
        <v>0</v>
      </c>
      <c r="EW77" s="46">
        <v>0</v>
      </c>
      <c r="EX77" s="46">
        <v>0</v>
      </c>
      <c r="EY77" s="46">
        <v>0</v>
      </c>
      <c r="EZ77" s="46">
        <v>0</v>
      </c>
      <c r="FA77" s="46">
        <v>0</v>
      </c>
      <c r="FB77" s="46">
        <v>0</v>
      </c>
      <c r="FC77" s="46">
        <v>0</v>
      </c>
      <c r="FD77" s="46">
        <v>0</v>
      </c>
      <c r="FE77" s="46">
        <v>0</v>
      </c>
      <c r="FF77" s="46">
        <v>0</v>
      </c>
      <c r="FG77" s="46">
        <v>0</v>
      </c>
      <c r="FH77" s="46">
        <v>0</v>
      </c>
      <c r="FI77" s="46">
        <v>0</v>
      </c>
      <c r="FJ77" s="46">
        <v>0</v>
      </c>
      <c r="FK77" s="46">
        <v>0</v>
      </c>
      <c r="FL77" s="46">
        <v>0</v>
      </c>
      <c r="FM77" s="46">
        <v>9470295</v>
      </c>
      <c r="FN77" s="46">
        <v>6409</v>
      </c>
      <c r="FO77" s="46">
        <v>0</v>
      </c>
      <c r="FP77" s="46">
        <v>0</v>
      </c>
      <c r="FQ77" s="46">
        <v>0</v>
      </c>
      <c r="FR77" s="46">
        <v>0</v>
      </c>
      <c r="FS77" s="46">
        <v>0</v>
      </c>
      <c r="FT77" s="46">
        <v>0</v>
      </c>
      <c r="FU77" s="46">
        <v>0</v>
      </c>
      <c r="FV77" s="46">
        <v>0</v>
      </c>
      <c r="FW77" s="46">
        <v>0</v>
      </c>
      <c r="FX77" s="46">
        <v>0</v>
      </c>
      <c r="FY77" s="46">
        <v>0</v>
      </c>
      <c r="FZ77" s="46">
        <v>0</v>
      </c>
      <c r="GA77" s="46">
        <v>0</v>
      </c>
      <c r="GB77" s="46">
        <v>0</v>
      </c>
      <c r="GC77" s="46">
        <v>0</v>
      </c>
      <c r="GD77" s="46">
        <v>0</v>
      </c>
      <c r="GE77" s="46">
        <v>0</v>
      </c>
      <c r="GF77" s="46">
        <v>0</v>
      </c>
      <c r="GG77" s="46">
        <v>0</v>
      </c>
      <c r="GH77" s="46">
        <v>0</v>
      </c>
      <c r="GI77" s="46">
        <v>0</v>
      </c>
      <c r="GJ77" s="46">
        <v>0</v>
      </c>
      <c r="GK77" s="46">
        <v>0</v>
      </c>
      <c r="GL77" s="46">
        <v>0</v>
      </c>
      <c r="GM77" s="46">
        <v>0</v>
      </c>
      <c r="GN77" s="46">
        <v>0</v>
      </c>
      <c r="GO77" s="46">
        <v>0</v>
      </c>
      <c r="GP77" s="46">
        <v>0</v>
      </c>
      <c r="GQ77" s="46">
        <v>0</v>
      </c>
      <c r="GR77" s="46">
        <v>0</v>
      </c>
      <c r="GS77" s="46">
        <v>0</v>
      </c>
      <c r="GT77" s="46">
        <v>0</v>
      </c>
      <c r="GU77" s="46">
        <v>0</v>
      </c>
      <c r="GV77" s="46">
        <v>0</v>
      </c>
      <c r="GW77" s="46">
        <v>0</v>
      </c>
      <c r="GX77" s="46">
        <v>0</v>
      </c>
      <c r="GY77" s="46">
        <v>0</v>
      </c>
      <c r="GZ77" s="46">
        <v>0</v>
      </c>
      <c r="HA77" s="46">
        <v>0</v>
      </c>
      <c r="HB77" s="46">
        <v>0</v>
      </c>
      <c r="HC77" s="46">
        <v>0</v>
      </c>
      <c r="HD77" s="46">
        <v>0</v>
      </c>
      <c r="HE77" s="46">
        <v>0</v>
      </c>
      <c r="HF77" s="46">
        <v>0</v>
      </c>
      <c r="HG77" s="46">
        <v>0</v>
      </c>
      <c r="HH77" s="46">
        <v>0</v>
      </c>
      <c r="HI77" s="46">
        <v>0</v>
      </c>
      <c r="HJ77" s="46">
        <v>0</v>
      </c>
      <c r="HK77" s="46">
        <v>0</v>
      </c>
      <c r="HL77" s="46">
        <v>0</v>
      </c>
      <c r="HM77" s="46">
        <v>0</v>
      </c>
      <c r="HN77" s="46">
        <v>0</v>
      </c>
      <c r="HO77" s="46">
        <v>3260764</v>
      </c>
      <c r="HP77" s="46">
        <v>0</v>
      </c>
      <c r="HQ77" s="46">
        <v>0</v>
      </c>
      <c r="HR77" s="46">
        <v>37933656</v>
      </c>
      <c r="HS77" s="46">
        <v>0</v>
      </c>
      <c r="HT77" s="46">
        <v>0</v>
      </c>
      <c r="HU77" s="46">
        <v>0</v>
      </c>
      <c r="HV77" s="46">
        <v>0</v>
      </c>
      <c r="HW77" s="46">
        <v>0</v>
      </c>
      <c r="HX77" s="46">
        <v>0</v>
      </c>
      <c r="HY77" s="46">
        <v>0</v>
      </c>
      <c r="HZ77" s="46">
        <v>0</v>
      </c>
      <c r="IA77" s="46">
        <v>0</v>
      </c>
      <c r="IB77" s="46">
        <v>0</v>
      </c>
      <c r="IC77" s="46">
        <v>0</v>
      </c>
      <c r="ID77" s="46">
        <v>0</v>
      </c>
      <c r="IE77" s="46">
        <v>0</v>
      </c>
      <c r="IF77" s="46">
        <v>0</v>
      </c>
      <c r="IG77" s="46">
        <v>0</v>
      </c>
      <c r="IH77" s="46">
        <v>0</v>
      </c>
      <c r="II77" s="46">
        <v>0</v>
      </c>
      <c r="IJ77" s="46">
        <v>0</v>
      </c>
      <c r="IK77" s="46">
        <v>0</v>
      </c>
      <c r="IL77" s="46">
        <v>0</v>
      </c>
      <c r="IM77" s="46">
        <v>0</v>
      </c>
      <c r="IN77" s="46">
        <v>0</v>
      </c>
      <c r="IO77" s="46">
        <v>0</v>
      </c>
      <c r="IP77" s="46">
        <v>1190388</v>
      </c>
      <c r="IQ77" s="46">
        <v>6074458</v>
      </c>
      <c r="IR77" s="46">
        <v>0</v>
      </c>
      <c r="IS77" s="46">
        <v>82388</v>
      </c>
      <c r="IT77" s="46">
        <v>0</v>
      </c>
      <c r="IU77" s="46">
        <v>0</v>
      </c>
      <c r="IV77" s="46">
        <v>0</v>
      </c>
      <c r="IW77" s="46">
        <v>0</v>
      </c>
      <c r="IX77" s="46">
        <v>0</v>
      </c>
      <c r="IY77" s="46">
        <v>0</v>
      </c>
      <c r="IZ77" s="46">
        <v>0</v>
      </c>
      <c r="JA77" s="46">
        <v>0</v>
      </c>
      <c r="JB77" s="46">
        <v>0</v>
      </c>
      <c r="JC77" s="46">
        <v>0</v>
      </c>
      <c r="JD77" s="46">
        <v>0</v>
      </c>
      <c r="JE77" s="46">
        <v>0</v>
      </c>
      <c r="JF77" s="46">
        <v>0</v>
      </c>
      <c r="JG77" s="46">
        <v>0</v>
      </c>
      <c r="JH77" s="46">
        <v>19880542</v>
      </c>
      <c r="JI77" s="46">
        <v>820127</v>
      </c>
      <c r="JJ77" s="46">
        <v>0</v>
      </c>
      <c r="JK77" s="46">
        <v>275782</v>
      </c>
      <c r="JL77" s="46">
        <v>0</v>
      </c>
      <c r="JM77" s="46">
        <v>0</v>
      </c>
      <c r="JN77" s="46">
        <v>0</v>
      </c>
      <c r="JO77" s="46">
        <v>0</v>
      </c>
      <c r="JP77" s="46">
        <v>0</v>
      </c>
      <c r="JQ77" s="46">
        <v>15014515</v>
      </c>
      <c r="JR77" s="46">
        <v>681002</v>
      </c>
      <c r="JS77" s="46">
        <v>0</v>
      </c>
      <c r="JT77" s="46">
        <v>894</v>
      </c>
      <c r="JU77" s="46">
        <v>0</v>
      </c>
      <c r="JV77" s="46">
        <v>0</v>
      </c>
      <c r="JW77" s="46">
        <v>0</v>
      </c>
      <c r="JX77" s="46">
        <v>0</v>
      </c>
      <c r="JY77" s="46">
        <v>0</v>
      </c>
      <c r="JZ77" s="46">
        <v>0</v>
      </c>
      <c r="KA77" s="46">
        <v>0</v>
      </c>
      <c r="KB77" s="46">
        <v>0</v>
      </c>
      <c r="KC77" s="46">
        <v>0</v>
      </c>
      <c r="KD77" s="46">
        <v>0</v>
      </c>
      <c r="KE77" s="46">
        <v>0</v>
      </c>
      <c r="KF77" s="46">
        <v>0</v>
      </c>
      <c r="KG77" s="46">
        <v>0</v>
      </c>
      <c r="KH77" s="46">
        <v>0</v>
      </c>
      <c r="KI77" s="46">
        <v>284</v>
      </c>
      <c r="KJ77" s="46">
        <v>394700</v>
      </c>
      <c r="KK77" s="46">
        <v>0</v>
      </c>
      <c r="KL77" s="46">
        <v>0</v>
      </c>
      <c r="KM77" s="46">
        <v>0</v>
      </c>
      <c r="KN77" s="46">
        <v>0</v>
      </c>
      <c r="KO77" s="46">
        <v>0</v>
      </c>
      <c r="KP77" s="46">
        <v>0</v>
      </c>
      <c r="KQ77" s="46">
        <v>201041</v>
      </c>
      <c r="KR77" s="46">
        <v>102104390</v>
      </c>
      <c r="KS77" s="46">
        <v>3186431</v>
      </c>
      <c r="KT77" s="46">
        <v>0</v>
      </c>
      <c r="KU77" s="46">
        <v>31415731</v>
      </c>
      <c r="KV77" s="46">
        <v>0</v>
      </c>
      <c r="KW77" s="46">
        <v>0</v>
      </c>
      <c r="KX77" s="46">
        <v>0</v>
      </c>
      <c r="KY77" s="46">
        <v>0</v>
      </c>
      <c r="KZ77" s="46">
        <v>0</v>
      </c>
      <c r="LA77" s="46">
        <v>0</v>
      </c>
      <c r="LB77" s="46">
        <v>0</v>
      </c>
      <c r="LC77" s="46">
        <v>0</v>
      </c>
      <c r="LD77" s="46">
        <v>0</v>
      </c>
      <c r="LE77" s="46">
        <v>0</v>
      </c>
      <c r="LF77" s="46">
        <v>0</v>
      </c>
      <c r="LG77" s="46">
        <v>0</v>
      </c>
      <c r="LH77" s="46">
        <v>0</v>
      </c>
      <c r="LI77" s="46">
        <v>0</v>
      </c>
      <c r="LJ77" s="46">
        <v>0</v>
      </c>
      <c r="LK77" s="46">
        <v>0</v>
      </c>
      <c r="LL77" s="46">
        <v>0</v>
      </c>
      <c r="LM77" s="46">
        <v>0</v>
      </c>
      <c r="LN77" s="46">
        <v>0</v>
      </c>
      <c r="LO77" s="46">
        <v>0</v>
      </c>
      <c r="LP77" s="46">
        <v>0</v>
      </c>
      <c r="LQ77" s="46">
        <v>0</v>
      </c>
      <c r="LR77" s="46">
        <v>0</v>
      </c>
      <c r="LS77" s="46">
        <v>0</v>
      </c>
      <c r="LT77" s="46">
        <v>0</v>
      </c>
      <c r="LU77" s="46">
        <v>0</v>
      </c>
      <c r="LV77" s="46">
        <v>0</v>
      </c>
      <c r="LW77" s="46">
        <v>0</v>
      </c>
      <c r="LX77" s="46">
        <v>0</v>
      </c>
      <c r="LY77" s="46">
        <v>0</v>
      </c>
      <c r="LZ77" s="46">
        <v>0</v>
      </c>
      <c r="MA77" s="46">
        <v>0</v>
      </c>
      <c r="MB77" s="46">
        <v>0</v>
      </c>
      <c r="MC77" s="46">
        <v>0</v>
      </c>
      <c r="MD77" s="46">
        <v>0</v>
      </c>
      <c r="ME77" s="46">
        <v>0</v>
      </c>
      <c r="MF77" s="46">
        <v>0</v>
      </c>
      <c r="MG77" s="46">
        <v>0</v>
      </c>
      <c r="MH77" s="46">
        <v>0</v>
      </c>
      <c r="MI77" s="46">
        <v>0</v>
      </c>
      <c r="MJ77" s="46">
        <v>0</v>
      </c>
      <c r="MK77" s="46">
        <v>0</v>
      </c>
      <c r="ML77" s="46">
        <v>0</v>
      </c>
      <c r="MM77" s="46">
        <v>0</v>
      </c>
      <c r="MN77" s="46">
        <v>0</v>
      </c>
      <c r="MO77" s="46">
        <v>0</v>
      </c>
      <c r="MP77" s="46">
        <v>0</v>
      </c>
      <c r="MQ77" s="46">
        <v>0</v>
      </c>
      <c r="MR77" s="46">
        <v>0</v>
      </c>
      <c r="MS77" s="46">
        <v>0</v>
      </c>
      <c r="MT77" s="46">
        <v>0</v>
      </c>
      <c r="MU77" s="46">
        <v>0</v>
      </c>
      <c r="MV77" s="46">
        <v>0</v>
      </c>
      <c r="MW77" s="46">
        <v>0</v>
      </c>
      <c r="MX77" s="46">
        <v>0</v>
      </c>
      <c r="MY77" s="46">
        <v>0</v>
      </c>
      <c r="MZ77" s="46">
        <v>0</v>
      </c>
      <c r="NA77" s="46">
        <v>0</v>
      </c>
      <c r="NB77" s="46">
        <v>0</v>
      </c>
      <c r="NC77" s="46">
        <v>0</v>
      </c>
      <c r="ND77" s="46">
        <v>0</v>
      </c>
      <c r="NE77" s="46">
        <v>0</v>
      </c>
      <c r="NF77" s="46">
        <v>0</v>
      </c>
      <c r="NG77" s="46">
        <v>0</v>
      </c>
      <c r="NH77" s="46">
        <v>0</v>
      </c>
      <c r="NI77" s="46">
        <v>0</v>
      </c>
      <c r="NJ77" s="46">
        <v>0</v>
      </c>
      <c r="NK77" s="46">
        <v>0</v>
      </c>
      <c r="NL77" s="46">
        <v>0</v>
      </c>
      <c r="NM77" s="46">
        <v>0</v>
      </c>
      <c r="NN77" s="46">
        <v>0</v>
      </c>
      <c r="NO77" s="46">
        <v>0</v>
      </c>
      <c r="NP77" s="46">
        <v>0</v>
      </c>
      <c r="NQ77" s="46">
        <v>0</v>
      </c>
      <c r="NR77" s="46">
        <v>0</v>
      </c>
      <c r="NS77" s="46">
        <v>0</v>
      </c>
      <c r="NT77" s="46">
        <v>0</v>
      </c>
      <c r="NU77" s="46">
        <v>0</v>
      </c>
      <c r="NV77" s="46">
        <v>0</v>
      </c>
      <c r="NW77" s="46">
        <v>0</v>
      </c>
      <c r="NX77" s="46">
        <v>0</v>
      </c>
      <c r="NY77" s="46">
        <v>0</v>
      </c>
      <c r="NZ77" s="46">
        <v>0</v>
      </c>
      <c r="OA77" s="46">
        <v>0</v>
      </c>
      <c r="OB77" s="46">
        <v>0</v>
      </c>
      <c r="OC77" s="46">
        <v>0</v>
      </c>
      <c r="OD77" s="46">
        <v>2023397</v>
      </c>
      <c r="OE77" s="46">
        <v>3434827</v>
      </c>
      <c r="OF77" s="46">
        <v>0</v>
      </c>
      <c r="OG77" s="46">
        <v>1484952</v>
      </c>
      <c r="OH77" s="46">
        <v>0</v>
      </c>
      <c r="OI77" s="46">
        <v>0</v>
      </c>
      <c r="OJ77" s="46">
        <v>0</v>
      </c>
      <c r="OK77" s="46">
        <v>0</v>
      </c>
      <c r="OL77" s="46">
        <v>0</v>
      </c>
      <c r="OM77" s="46">
        <v>47690</v>
      </c>
      <c r="ON77" s="46">
        <v>223370</v>
      </c>
      <c r="OO77" s="46">
        <v>0</v>
      </c>
      <c r="OP77" s="46">
        <v>7163</v>
      </c>
      <c r="OQ77" s="46">
        <v>0</v>
      </c>
      <c r="OR77" s="46">
        <v>0</v>
      </c>
      <c r="OS77" s="46">
        <v>0</v>
      </c>
      <c r="OT77" s="46">
        <v>0</v>
      </c>
      <c r="OU77" s="46">
        <v>261078</v>
      </c>
      <c r="OV77" s="46">
        <v>0</v>
      </c>
      <c r="OW77" s="46">
        <v>0</v>
      </c>
      <c r="OX77" s="46">
        <v>0</v>
      </c>
      <c r="OY77" s="46">
        <v>0</v>
      </c>
      <c r="OZ77" s="46">
        <v>0</v>
      </c>
      <c r="PA77" s="46">
        <v>0</v>
      </c>
      <c r="PB77" s="46">
        <v>0</v>
      </c>
      <c r="PC77" s="46">
        <v>0</v>
      </c>
      <c r="PD77" s="46">
        <v>0</v>
      </c>
      <c r="PE77" s="46">
        <v>2343436</v>
      </c>
      <c r="PF77" s="46">
        <v>-1455549</v>
      </c>
      <c r="PG77" s="46">
        <v>0</v>
      </c>
      <c r="PH77" s="46">
        <v>-2110835</v>
      </c>
      <c r="PI77" s="46">
        <v>0</v>
      </c>
      <c r="PJ77" s="46">
        <v>1970</v>
      </c>
      <c r="PK77" s="46">
        <v>0</v>
      </c>
      <c r="PL77" s="46">
        <v>0</v>
      </c>
      <c r="PM77" s="46">
        <v>0</v>
      </c>
      <c r="PN77" s="46">
        <v>0</v>
      </c>
      <c r="PO77" s="46">
        <v>0</v>
      </c>
      <c r="PP77" s="46">
        <v>0</v>
      </c>
      <c r="PQ77" s="46">
        <v>0</v>
      </c>
      <c r="PR77" s="46">
        <v>0</v>
      </c>
      <c r="PS77" s="46">
        <v>0</v>
      </c>
      <c r="PT77" s="46">
        <v>0</v>
      </c>
      <c r="PU77" s="46">
        <v>0</v>
      </c>
      <c r="PV77" s="46">
        <v>0</v>
      </c>
      <c r="PW77" s="46">
        <v>0</v>
      </c>
      <c r="PX77" s="46">
        <v>-1211600</v>
      </c>
      <c r="PY77" s="46">
        <v>0</v>
      </c>
      <c r="PZ77" s="46">
        <v>0</v>
      </c>
      <c r="QA77" s="46">
        <v>0</v>
      </c>
      <c r="QB77" s="46">
        <v>0</v>
      </c>
      <c r="QC77" s="46">
        <v>0</v>
      </c>
      <c r="QD77" s="46">
        <v>0</v>
      </c>
      <c r="QE77" s="46">
        <v>0</v>
      </c>
      <c r="QF77" s="46">
        <v>40147</v>
      </c>
      <c r="QG77" s="46">
        <v>379543</v>
      </c>
      <c r="QH77" s="46">
        <v>0</v>
      </c>
      <c r="QI77" s="46">
        <v>31299</v>
      </c>
      <c r="QJ77" s="46">
        <v>0</v>
      </c>
      <c r="QK77" s="46">
        <v>-664</v>
      </c>
      <c r="QL77" s="46">
        <v>8590</v>
      </c>
      <c r="QM77" s="46">
        <v>0</v>
      </c>
      <c r="QN77" s="46">
        <v>0</v>
      </c>
      <c r="QO77" s="46">
        <v>0</v>
      </c>
      <c r="QP77" s="46">
        <v>0</v>
      </c>
      <c r="QQ77" s="46">
        <v>0</v>
      </c>
      <c r="QR77" s="46">
        <v>0</v>
      </c>
      <c r="QS77" s="46">
        <v>0</v>
      </c>
      <c r="QT77" s="46">
        <v>0</v>
      </c>
      <c r="QU77" s="46">
        <v>0</v>
      </c>
      <c r="QV77" s="46">
        <v>0</v>
      </c>
      <c r="QW77" s="46">
        <v>0</v>
      </c>
      <c r="QX77" s="46">
        <v>0</v>
      </c>
      <c r="QY77" s="46">
        <v>0</v>
      </c>
      <c r="QZ77" s="46">
        <v>0</v>
      </c>
      <c r="RA77" s="46">
        <v>0</v>
      </c>
      <c r="RB77" s="46">
        <v>0</v>
      </c>
      <c r="RC77" s="46">
        <v>0</v>
      </c>
      <c r="RD77" s="46">
        <v>0</v>
      </c>
      <c r="RE77" s="46">
        <v>0</v>
      </c>
      <c r="RF77" s="46">
        <v>0</v>
      </c>
      <c r="RG77" s="46">
        <v>0</v>
      </c>
      <c r="RH77" s="46">
        <v>0</v>
      </c>
      <c r="RI77" s="46">
        <v>0</v>
      </c>
      <c r="RJ77" s="46">
        <v>0</v>
      </c>
      <c r="RK77" s="46">
        <v>0</v>
      </c>
      <c r="RL77" s="46">
        <v>0</v>
      </c>
      <c r="RM77" s="46">
        <v>0</v>
      </c>
      <c r="RN77" s="46">
        <v>0</v>
      </c>
      <c r="RO77" s="46">
        <v>-7137960</v>
      </c>
      <c r="RP77" s="46">
        <v>0</v>
      </c>
      <c r="RQ77" s="46">
        <v>0</v>
      </c>
      <c r="RR77" s="46">
        <v>0</v>
      </c>
      <c r="RS77" s="46">
        <v>0</v>
      </c>
      <c r="RT77" s="46">
        <v>0</v>
      </c>
      <c r="RU77" s="46">
        <v>0</v>
      </c>
      <c r="RV77" s="46">
        <v>0</v>
      </c>
      <c r="RW77" s="46">
        <v>0</v>
      </c>
      <c r="RX77" s="46">
        <v>1483479</v>
      </c>
      <c r="RY77" s="46">
        <v>0</v>
      </c>
      <c r="RZ77" s="46">
        <v>0</v>
      </c>
      <c r="SA77" s="46">
        <v>0</v>
      </c>
      <c r="SB77" s="46">
        <v>0</v>
      </c>
      <c r="SC77" s="46">
        <v>0</v>
      </c>
      <c r="SD77" s="46">
        <v>0</v>
      </c>
      <c r="SE77" s="46">
        <v>0</v>
      </c>
      <c r="SF77" s="46">
        <v>0</v>
      </c>
      <c r="SG77" s="46">
        <v>0</v>
      </c>
      <c r="SH77" s="46">
        <v>0</v>
      </c>
      <c r="SI77" s="46">
        <v>0</v>
      </c>
      <c r="SJ77" s="46">
        <v>0</v>
      </c>
      <c r="SK77" s="46">
        <v>0</v>
      </c>
      <c r="SL77" s="46">
        <v>0</v>
      </c>
      <c r="SM77" s="46">
        <v>0</v>
      </c>
      <c r="SN77" s="46">
        <v>0</v>
      </c>
      <c r="SO77" s="46">
        <v>0</v>
      </c>
      <c r="SP77" s="46">
        <v>27000</v>
      </c>
      <c r="SQ77" s="46">
        <v>2023397</v>
      </c>
      <c r="SR77" s="46">
        <v>3434827</v>
      </c>
      <c r="SS77" s="46">
        <v>0</v>
      </c>
      <c r="ST77" s="46">
        <v>1484952</v>
      </c>
      <c r="SU77" s="46">
        <v>0</v>
      </c>
      <c r="SV77" s="46">
        <v>0</v>
      </c>
      <c r="SW77" s="46">
        <v>0</v>
      </c>
      <c r="SX77" s="46">
        <v>0</v>
      </c>
      <c r="SY77" s="46">
        <v>0</v>
      </c>
      <c r="SZ77" s="46">
        <v>6943176</v>
      </c>
      <c r="TA77" s="46">
        <v>0</v>
      </c>
      <c r="TB77" s="46">
        <v>0</v>
      </c>
      <c r="TC77" s="46">
        <v>0</v>
      </c>
      <c r="TD77" s="46">
        <v>0</v>
      </c>
      <c r="TE77" s="46">
        <v>0</v>
      </c>
      <c r="TF77" s="46">
        <v>0</v>
      </c>
      <c r="TG77" s="46">
        <v>0</v>
      </c>
      <c r="TH77" s="46">
        <v>0</v>
      </c>
      <c r="TI77" s="46">
        <v>0</v>
      </c>
      <c r="TJ77" s="46">
        <v>0</v>
      </c>
      <c r="TK77" s="46">
        <v>3182250</v>
      </c>
      <c r="TL77" s="46">
        <v>0</v>
      </c>
      <c r="TM77" s="46">
        <v>0</v>
      </c>
      <c r="TN77" s="46">
        <v>0</v>
      </c>
      <c r="TO77" s="46">
        <v>0</v>
      </c>
      <c r="TP77" s="46">
        <v>0</v>
      </c>
      <c r="TQ77" s="46">
        <v>0</v>
      </c>
      <c r="TR77" s="46">
        <v>0</v>
      </c>
      <c r="TS77" s="46">
        <v>0</v>
      </c>
      <c r="TT77" s="46">
        <v>0</v>
      </c>
      <c r="TU77" s="46">
        <v>0</v>
      </c>
      <c r="TV77" s="46">
        <v>0</v>
      </c>
      <c r="TW77" s="46">
        <v>0</v>
      </c>
      <c r="TX77" s="46">
        <v>0</v>
      </c>
      <c r="TY77" s="46">
        <v>0</v>
      </c>
      <c r="TZ77" s="46">
        <v>0</v>
      </c>
      <c r="UA77" s="46">
        <v>0</v>
      </c>
      <c r="UB77" s="46">
        <v>0</v>
      </c>
      <c r="UC77" s="46">
        <v>0</v>
      </c>
      <c r="UD77" s="46">
        <v>0</v>
      </c>
      <c r="UE77" s="46">
        <v>136706552</v>
      </c>
      <c r="UF77" s="46">
        <v>0</v>
      </c>
      <c r="UG77" s="46">
        <v>0</v>
      </c>
      <c r="UH77" s="46">
        <v>0</v>
      </c>
      <c r="UI77" s="46">
        <v>0</v>
      </c>
      <c r="UJ77" s="46">
        <v>0</v>
      </c>
      <c r="UK77" s="46">
        <v>0</v>
      </c>
      <c r="UL77" s="46">
        <v>0</v>
      </c>
      <c r="UM77" s="46">
        <v>0</v>
      </c>
      <c r="UN77" s="46">
        <v>0</v>
      </c>
      <c r="UO77"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6943176</v>
      </c>
      <c r="UP77" s="46">
        <f>SUM(Input[[#This Row],[Oth Exp E&amp;G]],Input[[#This Row],[Oth Exp Desg]],Input[[#This Row],[Oth Exp Aux]],Input[[#This Row],[Oth Exp R Exp]],Input[[#This Row],[Oth Exp Loan]],Input[[#This Row],[Oth Exp Annuity]],Input[[#This Row],[Oth Exp Unexp]],Input[[#This Row],[Oth Exp R of Ind]],Input[[#This Row],[Oth Exp Inv in P]])</f>
        <v>539301</v>
      </c>
      <c r="UQ77" s="46"/>
      <c r="UR77" s="46"/>
      <c r="US77" s="8" t="s">
        <v>742</v>
      </c>
      <c r="UT77" s="47">
        <v>9798459761</v>
      </c>
      <c r="UU77" s="8" t="s">
        <v>71</v>
      </c>
      <c r="UV77" s="8" t="s">
        <v>777</v>
      </c>
      <c r="UW77" s="47">
        <v>9795006622</v>
      </c>
      <c r="UX77" s="8" t="s">
        <v>778</v>
      </c>
      <c r="UY77" s="51" t="str" cm="1">
        <f t="array" ref="UY77">IFERROR(_xlfn.IFS(Input[[#This Row],[Type]]="HRI",SUMIFS('FTSE | FTFE'!$P$8:$P$77,'FTSE | FTFE'!$H$8:$H$77,A77),Input[[#This Row],[Type]]="UNIV",SUMIFS('FTSE | FTFE'!$P$104:$P$139,'FTSE | FTFE'!$H$104:$H$139,A77),OR(Input[[#This Row],[Type]]="TSTC",Input[[#This Row],[Type]]="LSC"),SUMIFS('FTSE | FTFE'!$O$88:$O$96,'FTSE | FTFE'!$H$88:$H$96,A77),Input[[#This Row],[Type]]="AHM",SUMIFS(Hidden!$H$42:$H$45,Hidden!$G$42:$G$45,A77)),"N/A")</f>
        <v>N/A</v>
      </c>
      <c r="UZ77" s="51" t="str" cm="1">
        <f t="array" ref="UZ77">IFERROR(_xlfn.IFS(Input[[#This Row],[Type]]="HRI",SUMIFS('FTSE | FTFE'!$Q$8:$Q$77,'FTSE | FTFE'!$H$8:$H$77,A77),Input[[#This Row],[Type]]="UNIV",SUMIFS('FTSE | FTFE'!$Q$104:$Q$139,'FTSE | FTFE'!$H$104:$H$139,A77),OR(Input[[#This Row],[Type]]="TSTC",Input[[#This Row],[Type]]="LSC"),SUMIFS('FTSE | FTFE'!$P$88:$P$96,'FTSE | FTFE'!$H$88:$H$96,A77)),"N/A")</f>
        <v>N/A</v>
      </c>
      <c r="VA77"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20402770</v>
      </c>
      <c r="VB77"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7" s="46">
        <f>SUM(Input[[#This Row],[Fed G&amp;C E&amp;G]],Input[[#This Row],[Fed G&amp;C Desg]],Input[[#This Row],[Fed G&amp;C R Exp]],Input[[#This Row],[Fed G&amp;C Loan]],Input[[#This Row],[Fed G&amp;C Annuity]],Input[[#This Row],[Fed G&amp;C Unexp]],Input[[#This Row],[Fed G&amp;C R of Ind]],Input[[#This Row],[Fed G&amp;C Inv in P]])</f>
        <v>41194420</v>
      </c>
      <c r="VD77"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44616121</v>
      </c>
      <c r="VE77"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18584394</v>
      </c>
      <c r="VF77"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9476704</v>
      </c>
      <c r="VG77" s="46">
        <f>SUM(Input[[#This Row],[Oth Inc E&amp;G]],Input[[#This Row],[Oth Exp Desg]],Input[[#This Row],[Oth Exp R Exp]],Input[[#This Row],[Oth Exp Loan]],Input[[#This Row],[Oth Exp Annuity]],Input[[#This Row],[Oth Exp Unexp]],Input[[#This Row],[Oth Exp R of Ind]],Input[[#This Row],[Oth Exp Inv in P]])</f>
        <v>491895</v>
      </c>
      <c r="VH77" s="46">
        <f>SUM(Input[[#This Row],[Instr E&amp;G]],Input[[#This Row],[Instr Desg]],Input[[#This Row],[Instr R Exp]],Input[[#This Row],[Instr Loan]],Input[[#This Row],[Instr Annuity]],Input[[#This Row],[Instr Unexp]],Input[[#This Row],[Instr R of Ind]],Input[[#This Row],[Instr Inv in P]])</f>
        <v>136706552</v>
      </c>
      <c r="VI77" s="46">
        <f>SUM(Input[[#This Row],[Res E&amp;G]],Input[[#This Row],[Res Desg]],Input[[#This Row],[Res R Exp]],Input[[#This Row],[Res Loan]],Input[[#This Row],[Res Annuity]],Input[[#This Row],[Res Unexp]],Input[[#This Row],[Res R of Ind]],Input[[#This Row],[Res Inv in P]])</f>
        <v>0</v>
      </c>
      <c r="VJ77" s="46">
        <f>SUM(Input[[#This Row],[Acad Sup E&amp;G]],Input[[#This Row],[Acad Sup Desg]],Input[[#This Row],[Acad Sup R Exp]],Input[[#This Row],[Acad Sup Loan]],Input[[#This Row],[Acad Sup Annuity]],Input[[#This Row],[Acad Sup Unexp]],Input[[#This Row],[Acad Sup R of Ind]],Input[[#This Row],[Acad Sup Inv in P]])</f>
        <v>0</v>
      </c>
      <c r="VK77" s="46">
        <f>SUM(Input[[#This Row],[Stu Svc E&amp;G]],Input[[#This Row],[Stu Svc Desg]],Input[[#This Row],[Stu Svc R Exp]],Input[[#This Row],[Stu Svc Loan]],Input[[#This Row],[Stu Svc Annuity]],Input[[#This Row],[Stu Svc Unexp]],Input[[#This Row],[Stu Svc R of Ind]],Input[[#This Row],[Stu Svc Inv in P]])</f>
        <v>0</v>
      </c>
      <c r="VL77" s="46">
        <f>SUM(Input[[#This Row],[Inst. Spt E&amp;G]],Input[[#This Row],[Inst. Spt Desg]],Input[[#This Row],[Inst. Spt R Exp]],Input[[#This Row],[Inst. Spt Loan]],Input[[#This Row],[Inst. Spt Annuity]],Input[[#This Row],[Inst. Spt Unexp]],Input[[#This Row],[Inst. Spt R of Ind]],Input[[#This Row],[Inst. Spt Inv in P]])</f>
        <v>0</v>
      </c>
      <c r="VM77" s="46">
        <f>SUM(Input[[#This Row],[M&amp;O Plnt E&amp;G]],Input[[#This Row],[M&amp;O Plnt Desg]],Input[[#This Row],[M&amp;O Plnt R Exp]],Input[[#This Row],[M&amp;O Plnt Loan]],Input[[#This Row],[M&amp;O Plnt Annuity]],Input[[#This Row],[M&amp;O Plnt Unexp]],Input[[#This Row],[M&amp;O Plnt R of Ind]],Input[[#This Row],[M&amp;O Plnt Inv in P]])</f>
        <v>0</v>
      </c>
      <c r="VN77"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7" s="46">
        <f>SUM(Input[[#This Row],[Cap Out fund E&amp;G]],Input[[#This Row],[Cap Out fund Desg]],Input[[#This Row],[Cap Out fund R Exp]],Input[[#This Row],[Cap Out fund Loan]],Input[[#This Row],[Cap Out fund Annuity]],Input[[#This Row],[Cap Out fund Unexp]],Input[[#This Row],[Cap Out fund R of Ind]],Input[[#This Row],[Cap Out fund Inv in P]])</f>
        <v>6943176</v>
      </c>
      <c r="VP77" s="46">
        <f>SUM(Input[[#This Row],[Oth Exp E&amp;G]],Input[[#This Row],[Oth Exp Desg]],Input[[#This Row],[Oth Exp R Exp]],Input[[#This Row],[Oth Exp Loan]],Input[[#This Row],[Oth Exp Annuity]],Input[[#This Row],[Oth Exp Unexp]],Input[[#This Row],[Oth Exp R of Ind]],Input[[#This Row],[Oth Exp Inv in P]],Input[[#This Row],[Oth Exp Inv in P]])</f>
        <v>800379</v>
      </c>
    </row>
    <row r="78" spans="1:588" ht="30" customHeight="1" x14ac:dyDescent="0.3">
      <c r="A78" s="15" t="s">
        <v>100</v>
      </c>
      <c r="B78" s="36" t="s">
        <v>111</v>
      </c>
      <c r="C78" s="36" t="s">
        <v>119</v>
      </c>
      <c r="D78" s="36">
        <v>1106</v>
      </c>
      <c r="E78" s="36" t="s">
        <v>132</v>
      </c>
      <c r="F78" s="95" t="s">
        <v>106</v>
      </c>
      <c r="G78" s="46">
        <v>590601203</v>
      </c>
      <c r="H78" s="46">
        <v>0</v>
      </c>
      <c r="I78" s="46">
        <v>0</v>
      </c>
      <c r="J78" s="46">
        <v>0</v>
      </c>
      <c r="K78" s="46">
        <v>0</v>
      </c>
      <c r="L78" s="46">
        <v>0</v>
      </c>
      <c r="M78" s="46">
        <v>0</v>
      </c>
      <c r="N78" s="46">
        <v>0</v>
      </c>
      <c r="O78" s="46">
        <v>0</v>
      </c>
      <c r="P78" s="46">
        <v>85665</v>
      </c>
      <c r="Q78" s="46">
        <v>0</v>
      </c>
      <c r="R78" s="46">
        <v>0</v>
      </c>
      <c r="S78" s="46">
        <v>0</v>
      </c>
      <c r="T78" s="46">
        <v>0</v>
      </c>
      <c r="U78" s="46">
        <v>0</v>
      </c>
      <c r="V78" s="46">
        <v>0</v>
      </c>
      <c r="W78" s="46">
        <v>0</v>
      </c>
      <c r="X78" s="46">
        <v>0</v>
      </c>
      <c r="Y78" s="46">
        <v>0</v>
      </c>
      <c r="Z78" s="46">
        <v>0</v>
      </c>
      <c r="AA78" s="46">
        <v>0</v>
      </c>
      <c r="AB78" s="46">
        <v>0</v>
      </c>
      <c r="AC78" s="46">
        <v>0</v>
      </c>
      <c r="AD78" s="46">
        <v>0</v>
      </c>
      <c r="AE78" s="46">
        <v>0</v>
      </c>
      <c r="AF78" s="46">
        <v>0</v>
      </c>
      <c r="AG78" s="46">
        <v>0</v>
      </c>
      <c r="AH78" s="46">
        <v>0</v>
      </c>
      <c r="AI78" s="46">
        <v>0</v>
      </c>
      <c r="AJ78" s="46">
        <v>0</v>
      </c>
      <c r="AK78" s="46">
        <v>0</v>
      </c>
      <c r="AL78" s="46">
        <v>0</v>
      </c>
      <c r="AM78" s="46">
        <v>0</v>
      </c>
      <c r="AN78" s="46">
        <v>0</v>
      </c>
      <c r="AO78" s="46">
        <v>0</v>
      </c>
      <c r="AP78" s="46">
        <v>0</v>
      </c>
      <c r="AQ78" s="46">
        <v>0</v>
      </c>
      <c r="AR78" s="46">
        <v>0</v>
      </c>
      <c r="AS78" s="46">
        <v>0</v>
      </c>
      <c r="AT78" s="46">
        <v>0</v>
      </c>
      <c r="AU78" s="46">
        <v>0</v>
      </c>
      <c r="AV78" s="46">
        <v>0</v>
      </c>
      <c r="AW78" s="46">
        <v>0</v>
      </c>
      <c r="AX78" s="46">
        <v>0</v>
      </c>
      <c r="AY78" s="46">
        <v>0</v>
      </c>
      <c r="AZ78" s="46">
        <v>0</v>
      </c>
      <c r="BA78" s="46">
        <v>0</v>
      </c>
      <c r="BB78" s="46">
        <v>0</v>
      </c>
      <c r="BC78" s="46">
        <v>0</v>
      </c>
      <c r="BD78" s="46">
        <v>0</v>
      </c>
      <c r="BE78" s="46">
        <v>0</v>
      </c>
      <c r="BF78" s="46">
        <v>0</v>
      </c>
      <c r="BG78" s="46">
        <v>0</v>
      </c>
      <c r="BH78" s="46">
        <v>0</v>
      </c>
      <c r="BI78" s="46">
        <v>0</v>
      </c>
      <c r="BJ78" s="46">
        <v>0</v>
      </c>
      <c r="BK78" s="46">
        <v>0</v>
      </c>
      <c r="BL78" s="46">
        <v>0</v>
      </c>
      <c r="BM78" s="46">
        <v>0</v>
      </c>
      <c r="BN78" s="46">
        <v>0</v>
      </c>
      <c r="BO78" s="46">
        <v>0</v>
      </c>
      <c r="BP78" s="46">
        <v>0</v>
      </c>
      <c r="BQ78" s="46">
        <v>0</v>
      </c>
      <c r="BR78" s="46">
        <v>0</v>
      </c>
      <c r="BS78" s="46">
        <v>0</v>
      </c>
      <c r="BT78" s="46">
        <v>0</v>
      </c>
      <c r="BU78" s="46">
        <v>0</v>
      </c>
      <c r="BV78" s="46">
        <v>0</v>
      </c>
      <c r="BW78" s="46">
        <v>0</v>
      </c>
      <c r="BX78" s="46">
        <v>0</v>
      </c>
      <c r="BY78" s="46">
        <v>0</v>
      </c>
      <c r="BZ78" s="46">
        <v>0</v>
      </c>
      <c r="CA78" s="46">
        <v>0</v>
      </c>
      <c r="CB78" s="46">
        <v>0</v>
      </c>
      <c r="CC78" s="46">
        <v>0</v>
      </c>
      <c r="CD78" s="46">
        <v>0</v>
      </c>
      <c r="CE78" s="46">
        <v>0</v>
      </c>
      <c r="CF78" s="46">
        <v>0</v>
      </c>
      <c r="CG78" s="46">
        <v>0</v>
      </c>
      <c r="CH78" s="46">
        <v>0</v>
      </c>
      <c r="CI78" s="46">
        <v>0</v>
      </c>
      <c r="CJ78" s="46">
        <v>0</v>
      </c>
      <c r="CK78" s="46">
        <v>0</v>
      </c>
      <c r="CL78" s="46">
        <v>0</v>
      </c>
      <c r="CM78" s="46">
        <v>0</v>
      </c>
      <c r="CN78" s="46">
        <v>0</v>
      </c>
      <c r="CO78" s="46">
        <v>0</v>
      </c>
      <c r="CP78" s="46">
        <v>0</v>
      </c>
      <c r="CQ78" s="46">
        <v>0</v>
      </c>
      <c r="CR78" s="46">
        <v>0</v>
      </c>
      <c r="CS78" s="46">
        <v>0</v>
      </c>
      <c r="CT78" s="46">
        <v>0</v>
      </c>
      <c r="CU78" s="46">
        <v>0</v>
      </c>
      <c r="CV78" s="46">
        <v>0</v>
      </c>
      <c r="CW78" s="46">
        <v>0</v>
      </c>
      <c r="CX78" s="46">
        <v>0</v>
      </c>
      <c r="CY78" s="46">
        <v>0</v>
      </c>
      <c r="CZ78" s="46">
        <v>0</v>
      </c>
      <c r="DA78" s="46">
        <v>0</v>
      </c>
      <c r="DB78" s="46">
        <v>0</v>
      </c>
      <c r="DC78" s="46">
        <v>0</v>
      </c>
      <c r="DD78" s="46">
        <v>0</v>
      </c>
      <c r="DE78" s="46">
        <v>0</v>
      </c>
      <c r="DF78" s="46">
        <v>0</v>
      </c>
      <c r="DG78" s="46">
        <v>0</v>
      </c>
      <c r="DH78" s="46">
        <v>0</v>
      </c>
      <c r="DI78" s="46">
        <v>0</v>
      </c>
      <c r="DJ78" s="46">
        <v>0</v>
      </c>
      <c r="DK78" s="46">
        <v>0</v>
      </c>
      <c r="DL78" s="46">
        <v>0</v>
      </c>
      <c r="DM78" s="46">
        <v>0</v>
      </c>
      <c r="DN78" s="46">
        <v>0</v>
      </c>
      <c r="DO78" s="46">
        <v>0</v>
      </c>
      <c r="DP78" s="46">
        <v>0</v>
      </c>
      <c r="DQ78" s="46">
        <v>0</v>
      </c>
      <c r="DR78" s="46">
        <v>0</v>
      </c>
      <c r="DS78" s="46">
        <v>0</v>
      </c>
      <c r="DT78" s="46">
        <v>0</v>
      </c>
      <c r="DU78" s="46">
        <v>0</v>
      </c>
      <c r="DV78" s="46">
        <v>0</v>
      </c>
      <c r="DW78" s="46">
        <v>0</v>
      </c>
      <c r="DX78" s="46">
        <v>0</v>
      </c>
      <c r="DY78" s="46">
        <v>0</v>
      </c>
      <c r="DZ78" s="46">
        <v>0</v>
      </c>
      <c r="EA78" s="46">
        <v>0</v>
      </c>
      <c r="EB78" s="46">
        <v>0</v>
      </c>
      <c r="EC78" s="46">
        <v>0</v>
      </c>
      <c r="ED78" s="46">
        <v>0</v>
      </c>
      <c r="EE78" s="46">
        <v>0</v>
      </c>
      <c r="EF78" s="46">
        <v>0</v>
      </c>
      <c r="EG78" s="46">
        <v>0</v>
      </c>
      <c r="EH78" s="46">
        <v>0</v>
      </c>
      <c r="EI78" s="46">
        <v>0</v>
      </c>
      <c r="EJ78" s="46">
        <v>0</v>
      </c>
      <c r="EK78" s="46">
        <v>0</v>
      </c>
      <c r="EL78" s="46">
        <v>0</v>
      </c>
      <c r="EM78" s="46">
        <v>0</v>
      </c>
      <c r="EN78" s="46">
        <v>0</v>
      </c>
      <c r="EO78" s="46">
        <v>0</v>
      </c>
      <c r="EP78" s="46">
        <v>0</v>
      </c>
      <c r="EQ78" s="46">
        <v>0</v>
      </c>
      <c r="ER78" s="46">
        <v>0</v>
      </c>
      <c r="ES78" s="46">
        <v>0</v>
      </c>
      <c r="ET78" s="46">
        <v>0</v>
      </c>
      <c r="EU78" s="46">
        <v>0</v>
      </c>
      <c r="EV78" s="46">
        <v>0</v>
      </c>
      <c r="EW78" s="46">
        <v>0</v>
      </c>
      <c r="EX78" s="46">
        <v>0</v>
      </c>
      <c r="EY78" s="46">
        <v>0</v>
      </c>
      <c r="EZ78" s="46">
        <v>0</v>
      </c>
      <c r="FA78" s="46">
        <v>0</v>
      </c>
      <c r="FB78" s="46">
        <v>0</v>
      </c>
      <c r="FC78" s="46">
        <v>0</v>
      </c>
      <c r="FD78" s="46">
        <v>0</v>
      </c>
      <c r="FE78" s="46">
        <v>0</v>
      </c>
      <c r="FF78" s="46">
        <v>0</v>
      </c>
      <c r="FG78" s="46">
        <v>0</v>
      </c>
      <c r="FH78" s="46">
        <v>0</v>
      </c>
      <c r="FI78" s="46">
        <v>0</v>
      </c>
      <c r="FJ78" s="46">
        <v>0</v>
      </c>
      <c r="FK78" s="46">
        <v>0</v>
      </c>
      <c r="FL78" s="46">
        <v>0</v>
      </c>
      <c r="FM78" s="46">
        <v>0</v>
      </c>
      <c r="FN78" s="46">
        <v>0</v>
      </c>
      <c r="FO78" s="46">
        <v>0</v>
      </c>
      <c r="FP78" s="46">
        <v>0</v>
      </c>
      <c r="FQ78" s="46">
        <v>0</v>
      </c>
      <c r="FR78" s="46">
        <v>0</v>
      </c>
      <c r="FS78" s="46">
        <v>0</v>
      </c>
      <c r="FT78" s="46">
        <v>0</v>
      </c>
      <c r="FU78" s="46">
        <v>0</v>
      </c>
      <c r="FV78" s="46">
        <v>0</v>
      </c>
      <c r="FW78" s="46">
        <v>0</v>
      </c>
      <c r="FX78" s="46">
        <v>0</v>
      </c>
      <c r="FY78" s="46">
        <v>0</v>
      </c>
      <c r="FZ78" s="46">
        <v>0</v>
      </c>
      <c r="GA78" s="46">
        <v>0</v>
      </c>
      <c r="GB78" s="46">
        <v>0</v>
      </c>
      <c r="GC78" s="46">
        <v>0</v>
      </c>
      <c r="GD78" s="46">
        <v>0</v>
      </c>
      <c r="GE78" s="46">
        <v>0</v>
      </c>
      <c r="GF78" s="46">
        <v>0</v>
      </c>
      <c r="GG78" s="46">
        <v>0</v>
      </c>
      <c r="GH78" s="46">
        <v>0</v>
      </c>
      <c r="GI78" s="46">
        <v>0</v>
      </c>
      <c r="GJ78" s="46">
        <v>0</v>
      </c>
      <c r="GK78" s="46">
        <v>0</v>
      </c>
      <c r="GL78" s="46">
        <v>0</v>
      </c>
      <c r="GM78" s="46">
        <v>0</v>
      </c>
      <c r="GN78" s="46">
        <v>0</v>
      </c>
      <c r="GO78" s="46">
        <v>0</v>
      </c>
      <c r="GP78" s="46">
        <v>0</v>
      </c>
      <c r="GQ78" s="46">
        <v>0</v>
      </c>
      <c r="GR78" s="46">
        <v>0</v>
      </c>
      <c r="GS78" s="46">
        <v>0</v>
      </c>
      <c r="GT78" s="46">
        <v>0</v>
      </c>
      <c r="GU78" s="46">
        <v>0</v>
      </c>
      <c r="GV78" s="46">
        <v>0</v>
      </c>
      <c r="GW78" s="46">
        <v>0</v>
      </c>
      <c r="GX78" s="46">
        <v>0</v>
      </c>
      <c r="GY78" s="46">
        <v>0</v>
      </c>
      <c r="GZ78" s="46">
        <v>0</v>
      </c>
      <c r="HA78" s="46">
        <v>0</v>
      </c>
      <c r="HB78" s="46">
        <v>0</v>
      </c>
      <c r="HC78" s="46">
        <v>0</v>
      </c>
      <c r="HD78" s="46">
        <v>0</v>
      </c>
      <c r="HE78" s="46">
        <v>0</v>
      </c>
      <c r="HF78" s="46">
        <v>0</v>
      </c>
      <c r="HG78" s="46">
        <v>0</v>
      </c>
      <c r="HH78" s="46">
        <v>0</v>
      </c>
      <c r="HI78" s="46">
        <v>0</v>
      </c>
      <c r="HJ78" s="46">
        <v>0</v>
      </c>
      <c r="HK78" s="46">
        <v>0</v>
      </c>
      <c r="HL78" s="46">
        <v>0</v>
      </c>
      <c r="HM78" s="46">
        <v>0</v>
      </c>
      <c r="HN78" s="46">
        <v>0</v>
      </c>
      <c r="HO78" s="46">
        <v>14969380</v>
      </c>
      <c r="HP78" s="46">
        <v>2077662</v>
      </c>
      <c r="HQ78" s="46">
        <v>0</v>
      </c>
      <c r="HR78" s="46">
        <v>15322401</v>
      </c>
      <c r="HS78" s="46">
        <v>0</v>
      </c>
      <c r="HT78" s="46">
        <v>0</v>
      </c>
      <c r="HU78" s="46">
        <v>0</v>
      </c>
      <c r="HV78" s="46">
        <v>0</v>
      </c>
      <c r="HW78" s="46">
        <v>0</v>
      </c>
      <c r="HX78" s="46">
        <v>0</v>
      </c>
      <c r="HY78" s="46">
        <v>0</v>
      </c>
      <c r="HZ78" s="46">
        <v>0</v>
      </c>
      <c r="IA78" s="46">
        <v>0</v>
      </c>
      <c r="IB78" s="46">
        <v>0</v>
      </c>
      <c r="IC78" s="46">
        <v>0</v>
      </c>
      <c r="ID78" s="46">
        <v>0</v>
      </c>
      <c r="IE78" s="46">
        <v>0</v>
      </c>
      <c r="IF78" s="46">
        <v>0</v>
      </c>
      <c r="IG78" s="46">
        <v>0</v>
      </c>
      <c r="IH78" s="46">
        <v>0</v>
      </c>
      <c r="II78" s="46">
        <v>0</v>
      </c>
      <c r="IJ78" s="46">
        <v>0</v>
      </c>
      <c r="IK78" s="46">
        <v>0</v>
      </c>
      <c r="IL78" s="46">
        <v>0</v>
      </c>
      <c r="IM78" s="46">
        <v>0</v>
      </c>
      <c r="IN78" s="46">
        <v>0</v>
      </c>
      <c r="IO78" s="46">
        <v>0</v>
      </c>
      <c r="IP78" s="46">
        <v>520174</v>
      </c>
      <c r="IQ78" s="46">
        <v>614921</v>
      </c>
      <c r="IR78" s="46">
        <v>0</v>
      </c>
      <c r="IS78" s="46">
        <v>86929</v>
      </c>
      <c r="IT78" s="46">
        <v>0</v>
      </c>
      <c r="IU78" s="46">
        <v>0</v>
      </c>
      <c r="IV78" s="46">
        <v>0</v>
      </c>
      <c r="IW78" s="46">
        <v>0</v>
      </c>
      <c r="IX78" s="46">
        <v>0</v>
      </c>
      <c r="IY78" s="46">
        <v>0</v>
      </c>
      <c r="IZ78" s="46">
        <v>0</v>
      </c>
      <c r="JA78" s="46">
        <v>0</v>
      </c>
      <c r="JB78" s="46">
        <v>0</v>
      </c>
      <c r="JC78" s="46">
        <v>0</v>
      </c>
      <c r="JD78" s="46">
        <v>0</v>
      </c>
      <c r="JE78" s="46">
        <v>0</v>
      </c>
      <c r="JF78" s="46">
        <v>0</v>
      </c>
      <c r="JG78" s="46">
        <v>0</v>
      </c>
      <c r="JH78" s="46">
        <v>0</v>
      </c>
      <c r="JI78" s="46">
        <v>106872</v>
      </c>
      <c r="JJ78" s="46">
        <v>0</v>
      </c>
      <c r="JK78" s="46">
        <v>721996</v>
      </c>
      <c r="JL78" s="46">
        <v>0</v>
      </c>
      <c r="JM78" s="46">
        <v>0</v>
      </c>
      <c r="JN78" s="46">
        <v>0</v>
      </c>
      <c r="JO78" s="46">
        <v>0</v>
      </c>
      <c r="JP78" s="46">
        <v>0</v>
      </c>
      <c r="JQ78" s="46">
        <v>128706</v>
      </c>
      <c r="JR78" s="46">
        <v>3406915</v>
      </c>
      <c r="JS78" s="46">
        <v>0</v>
      </c>
      <c r="JT78" s="46">
        <v>221861</v>
      </c>
      <c r="JU78" s="46">
        <v>0</v>
      </c>
      <c r="JV78" s="46">
        <v>0</v>
      </c>
      <c r="JW78" s="46">
        <v>0</v>
      </c>
      <c r="JX78" s="46">
        <v>0</v>
      </c>
      <c r="JY78" s="46">
        <v>0</v>
      </c>
      <c r="JZ78" s="46">
        <v>0</v>
      </c>
      <c r="KA78" s="46">
        <v>0</v>
      </c>
      <c r="KB78" s="46">
        <v>0</v>
      </c>
      <c r="KC78" s="46">
        <v>0</v>
      </c>
      <c r="KD78" s="46">
        <v>0</v>
      </c>
      <c r="KE78" s="46">
        <v>0</v>
      </c>
      <c r="KF78" s="46">
        <v>0</v>
      </c>
      <c r="KG78" s="46">
        <v>0</v>
      </c>
      <c r="KH78" s="46">
        <v>0</v>
      </c>
      <c r="KI78" s="46">
        <v>22940190</v>
      </c>
      <c r="KJ78" s="46">
        <v>133494</v>
      </c>
      <c r="KK78" s="46">
        <v>0</v>
      </c>
      <c r="KL78" s="46">
        <v>0</v>
      </c>
      <c r="KM78" s="46">
        <v>0</v>
      </c>
      <c r="KN78" s="46">
        <v>0</v>
      </c>
      <c r="KO78" s="46">
        <v>0</v>
      </c>
      <c r="KP78" s="46">
        <v>0</v>
      </c>
      <c r="KQ78" s="46">
        <v>-1167</v>
      </c>
      <c r="KR78" s="46">
        <v>0</v>
      </c>
      <c r="KS78" s="46">
        <v>0</v>
      </c>
      <c r="KT78" s="46">
        <v>0</v>
      </c>
      <c r="KU78" s="46">
        <v>0</v>
      </c>
      <c r="KV78" s="46">
        <v>0</v>
      </c>
      <c r="KW78" s="46">
        <v>0</v>
      </c>
      <c r="KX78" s="46">
        <v>0</v>
      </c>
      <c r="KY78" s="46">
        <v>0</v>
      </c>
      <c r="KZ78" s="46">
        <v>0</v>
      </c>
      <c r="LA78" s="46">
        <v>2688986</v>
      </c>
      <c r="LB78" s="46">
        <v>1005</v>
      </c>
      <c r="LC78" s="46">
        <v>0</v>
      </c>
      <c r="LD78" s="46">
        <v>559264</v>
      </c>
      <c r="LE78" s="46">
        <v>0</v>
      </c>
      <c r="LF78" s="46">
        <v>0</v>
      </c>
      <c r="LG78" s="46">
        <v>0</v>
      </c>
      <c r="LH78" s="46">
        <v>0</v>
      </c>
      <c r="LI78" s="46">
        <v>0</v>
      </c>
      <c r="LJ78" s="46">
        <v>126488350</v>
      </c>
      <c r="LK78" s="46">
        <v>4266586</v>
      </c>
      <c r="LL78" s="46">
        <v>0</v>
      </c>
      <c r="LM78" s="46">
        <v>15549681</v>
      </c>
      <c r="LN78" s="46">
        <v>0</v>
      </c>
      <c r="LO78" s="46">
        <v>0</v>
      </c>
      <c r="LP78" s="46">
        <v>223519</v>
      </c>
      <c r="LQ78" s="46">
        <v>0</v>
      </c>
      <c r="LR78" s="46">
        <v>0</v>
      </c>
      <c r="LS78" s="46">
        <v>0</v>
      </c>
      <c r="LT78" s="46">
        <v>0</v>
      </c>
      <c r="LU78" s="46">
        <v>0</v>
      </c>
      <c r="LV78" s="46">
        <v>0</v>
      </c>
      <c r="LW78" s="46">
        <v>0</v>
      </c>
      <c r="LX78" s="46">
        <v>0</v>
      </c>
      <c r="LY78" s="46">
        <v>0</v>
      </c>
      <c r="LZ78" s="46">
        <v>0</v>
      </c>
      <c r="MA78" s="46">
        <v>0</v>
      </c>
      <c r="MB78" s="46">
        <v>0</v>
      </c>
      <c r="MC78" s="46">
        <v>0</v>
      </c>
      <c r="MD78" s="46">
        <v>0</v>
      </c>
      <c r="ME78" s="46">
        <v>0</v>
      </c>
      <c r="MF78" s="46">
        <v>0</v>
      </c>
      <c r="MG78" s="46">
        <v>0</v>
      </c>
      <c r="MH78" s="46">
        <v>0</v>
      </c>
      <c r="MI78" s="46">
        <v>0</v>
      </c>
      <c r="MJ78" s="46">
        <v>0</v>
      </c>
      <c r="MK78" s="46">
        <v>0</v>
      </c>
      <c r="ML78" s="46">
        <v>0</v>
      </c>
      <c r="MM78" s="46">
        <v>0</v>
      </c>
      <c r="MN78" s="46">
        <v>0</v>
      </c>
      <c r="MO78" s="46">
        <v>0</v>
      </c>
      <c r="MP78" s="46">
        <v>0</v>
      </c>
      <c r="MQ78" s="46">
        <v>0</v>
      </c>
      <c r="MR78" s="46">
        <v>0</v>
      </c>
      <c r="MS78" s="46">
        <v>0</v>
      </c>
      <c r="MT78" s="46">
        <v>3430178</v>
      </c>
      <c r="MU78" s="46">
        <v>864425</v>
      </c>
      <c r="MV78" s="46">
        <v>0</v>
      </c>
      <c r="MW78" s="46">
        <v>0</v>
      </c>
      <c r="MX78" s="46">
        <v>0</v>
      </c>
      <c r="MY78" s="46">
        <v>0</v>
      </c>
      <c r="MZ78" s="46">
        <v>0</v>
      </c>
      <c r="NA78" s="46">
        <v>0</v>
      </c>
      <c r="NB78" s="46">
        <v>0</v>
      </c>
      <c r="NC78" s="46">
        <v>1806372</v>
      </c>
      <c r="ND78" s="46">
        <v>15802</v>
      </c>
      <c r="NE78" s="46">
        <v>0</v>
      </c>
      <c r="NF78" s="46">
        <v>2212</v>
      </c>
      <c r="NG78" s="46">
        <v>0</v>
      </c>
      <c r="NH78" s="46">
        <v>0</v>
      </c>
      <c r="NI78" s="46">
        <v>165748</v>
      </c>
      <c r="NJ78" s="46">
        <v>0</v>
      </c>
      <c r="NK78" s="46">
        <v>0</v>
      </c>
      <c r="NL78" s="46">
        <v>0</v>
      </c>
      <c r="NM78" s="46">
        <v>0</v>
      </c>
      <c r="NN78" s="46">
        <v>0</v>
      </c>
      <c r="NO78" s="46">
        <v>0</v>
      </c>
      <c r="NP78" s="46">
        <v>0</v>
      </c>
      <c r="NQ78" s="46">
        <v>0</v>
      </c>
      <c r="NR78" s="46">
        <v>0</v>
      </c>
      <c r="NS78" s="46">
        <v>0</v>
      </c>
      <c r="NT78" s="46">
        <v>0</v>
      </c>
      <c r="NU78" s="46">
        <v>0</v>
      </c>
      <c r="NV78" s="46">
        <v>0</v>
      </c>
      <c r="NW78" s="46">
        <v>0</v>
      </c>
      <c r="NX78" s="46">
        <v>0</v>
      </c>
      <c r="NY78" s="46">
        <v>0</v>
      </c>
      <c r="NZ78" s="46">
        <v>0</v>
      </c>
      <c r="OA78" s="46">
        <v>0</v>
      </c>
      <c r="OB78" s="46">
        <v>0</v>
      </c>
      <c r="OC78" s="46">
        <v>0</v>
      </c>
      <c r="OD78" s="46">
        <v>7338644</v>
      </c>
      <c r="OE78" s="46">
        <v>716156</v>
      </c>
      <c r="OF78" s="46">
        <v>0</v>
      </c>
      <c r="OG78" s="46">
        <v>91091</v>
      </c>
      <c r="OH78" s="46">
        <v>0</v>
      </c>
      <c r="OI78" s="46">
        <v>0</v>
      </c>
      <c r="OJ78" s="46">
        <v>0</v>
      </c>
      <c r="OK78" s="46">
        <v>0</v>
      </c>
      <c r="OL78" s="46">
        <v>0</v>
      </c>
      <c r="OM78" s="46">
        <v>49695</v>
      </c>
      <c r="ON78" s="46">
        <v>29101</v>
      </c>
      <c r="OO78" s="46">
        <v>0</v>
      </c>
      <c r="OP78" s="46">
        <v>3376</v>
      </c>
      <c r="OQ78" s="46">
        <v>0</v>
      </c>
      <c r="OR78" s="46">
        <v>0</v>
      </c>
      <c r="OS78" s="46">
        <v>0</v>
      </c>
      <c r="OT78" s="46">
        <v>0</v>
      </c>
      <c r="OU78" s="46">
        <v>76884</v>
      </c>
      <c r="OV78" s="46">
        <v>0</v>
      </c>
      <c r="OW78" s="46">
        <v>0</v>
      </c>
      <c r="OX78" s="46">
        <v>0</v>
      </c>
      <c r="OY78" s="46">
        <v>0</v>
      </c>
      <c r="OZ78" s="46">
        <v>0</v>
      </c>
      <c r="PA78" s="46">
        <v>0</v>
      </c>
      <c r="PB78" s="46">
        <v>4167918</v>
      </c>
      <c r="PC78" s="46">
        <v>0</v>
      </c>
      <c r="PD78" s="46">
        <v>0</v>
      </c>
      <c r="PE78" s="46">
        <v>82499053</v>
      </c>
      <c r="PF78" s="46">
        <v>55844</v>
      </c>
      <c r="PG78" s="46">
        <v>0</v>
      </c>
      <c r="PH78" s="46">
        <v>0</v>
      </c>
      <c r="PI78" s="46">
        <v>0</v>
      </c>
      <c r="PJ78" s="46">
        <v>0</v>
      </c>
      <c r="PK78" s="46">
        <v>10782396</v>
      </c>
      <c r="PL78" s="46">
        <v>0</v>
      </c>
      <c r="PM78" s="46">
        <v>0</v>
      </c>
      <c r="PN78" s="46">
        <v>0</v>
      </c>
      <c r="PO78" s="46">
        <v>0</v>
      </c>
      <c r="PP78" s="46">
        <v>0</v>
      </c>
      <c r="PQ78" s="46">
        <v>0</v>
      </c>
      <c r="PR78" s="46">
        <v>0</v>
      </c>
      <c r="PS78" s="46">
        <v>0</v>
      </c>
      <c r="PT78" s="46">
        <v>0</v>
      </c>
      <c r="PU78" s="46">
        <v>0</v>
      </c>
      <c r="PV78" s="46">
        <v>0</v>
      </c>
      <c r="PW78" s="46">
        <v>0</v>
      </c>
      <c r="PX78" s="46">
        <v>0</v>
      </c>
      <c r="PY78" s="46">
        <v>0</v>
      </c>
      <c r="PZ78" s="46">
        <v>0</v>
      </c>
      <c r="QA78" s="46">
        <v>0</v>
      </c>
      <c r="QB78" s="46">
        <v>0</v>
      </c>
      <c r="QC78" s="46">
        <v>0</v>
      </c>
      <c r="QD78" s="46">
        <v>0</v>
      </c>
      <c r="QE78" s="46">
        <v>0</v>
      </c>
      <c r="QF78" s="46">
        <v>-7712</v>
      </c>
      <c r="QG78" s="46">
        <v>616287</v>
      </c>
      <c r="QH78" s="46">
        <v>0</v>
      </c>
      <c r="QI78" s="46">
        <v>0</v>
      </c>
      <c r="QJ78" s="46">
        <v>0</v>
      </c>
      <c r="QK78" s="46">
        <v>0</v>
      </c>
      <c r="QL78" s="46">
        <v>0</v>
      </c>
      <c r="QM78" s="46">
        <v>0</v>
      </c>
      <c r="QN78" s="46">
        <v>0</v>
      </c>
      <c r="QO78" s="46">
        <v>0</v>
      </c>
      <c r="QP78" s="46">
        <v>0</v>
      </c>
      <c r="QQ78" s="46">
        <v>0</v>
      </c>
      <c r="QR78" s="46">
        <v>0</v>
      </c>
      <c r="QS78" s="46">
        <v>0</v>
      </c>
      <c r="QT78" s="46">
        <v>0</v>
      </c>
      <c r="QU78" s="46">
        <v>0</v>
      </c>
      <c r="QV78" s="46">
        <v>0</v>
      </c>
      <c r="QW78" s="46">
        <v>0</v>
      </c>
      <c r="QX78" s="46">
        <v>0</v>
      </c>
      <c r="QY78" s="46">
        <v>0</v>
      </c>
      <c r="QZ78" s="46">
        <v>0</v>
      </c>
      <c r="RA78" s="46">
        <v>0</v>
      </c>
      <c r="RB78" s="46">
        <v>0</v>
      </c>
      <c r="RC78" s="46">
        <v>0</v>
      </c>
      <c r="RD78" s="46">
        <v>0</v>
      </c>
      <c r="RE78" s="46">
        <v>0</v>
      </c>
      <c r="RF78" s="46">
        <v>0</v>
      </c>
      <c r="RG78" s="46">
        <v>0</v>
      </c>
      <c r="RH78" s="46">
        <v>0</v>
      </c>
      <c r="RI78" s="46">
        <v>0</v>
      </c>
      <c r="RJ78" s="46">
        <v>0</v>
      </c>
      <c r="RK78" s="46">
        <v>0</v>
      </c>
      <c r="RL78" s="46">
        <v>0</v>
      </c>
      <c r="RM78" s="46">
        <v>0</v>
      </c>
      <c r="RN78" s="46">
        <v>0</v>
      </c>
      <c r="RO78" s="46">
        <v>-4758153</v>
      </c>
      <c r="RP78" s="46">
        <v>0</v>
      </c>
      <c r="RQ78" s="46">
        <v>0</v>
      </c>
      <c r="RR78" s="46">
        <v>0</v>
      </c>
      <c r="RS78" s="46">
        <v>0</v>
      </c>
      <c r="RT78" s="46">
        <v>0</v>
      </c>
      <c r="RU78" s="46">
        <v>0</v>
      </c>
      <c r="RV78" s="46">
        <v>0</v>
      </c>
      <c r="RW78" s="46">
        <v>0</v>
      </c>
      <c r="RX78" s="46">
        <v>61274</v>
      </c>
      <c r="RY78" s="46">
        <v>0</v>
      </c>
      <c r="RZ78" s="46">
        <v>0</v>
      </c>
      <c r="SA78" s="46">
        <v>0</v>
      </c>
      <c r="SB78" s="46">
        <v>0</v>
      </c>
      <c r="SC78" s="46">
        <v>0</v>
      </c>
      <c r="SD78" s="46">
        <v>0</v>
      </c>
      <c r="SE78" s="46">
        <v>0</v>
      </c>
      <c r="SF78" s="46">
        <v>0</v>
      </c>
      <c r="SG78" s="46">
        <v>0</v>
      </c>
      <c r="SH78" s="46">
        <v>0</v>
      </c>
      <c r="SI78" s="46">
        <v>0</v>
      </c>
      <c r="SJ78" s="46">
        <v>0</v>
      </c>
      <c r="SK78" s="46">
        <v>0</v>
      </c>
      <c r="SL78" s="46">
        <v>0</v>
      </c>
      <c r="SM78" s="46">
        <v>0</v>
      </c>
      <c r="SN78" s="46">
        <v>0</v>
      </c>
      <c r="SO78" s="46">
        <v>0</v>
      </c>
      <c r="SP78" s="46">
        <v>612307</v>
      </c>
      <c r="SQ78" s="46">
        <v>7338644</v>
      </c>
      <c r="SR78" s="46">
        <v>716156</v>
      </c>
      <c r="SS78" s="46">
        <v>0</v>
      </c>
      <c r="ST78" s="46">
        <v>91091</v>
      </c>
      <c r="SU78" s="46">
        <v>0</v>
      </c>
      <c r="SV78" s="46">
        <v>0</v>
      </c>
      <c r="SW78" s="46">
        <v>-4167918</v>
      </c>
      <c r="SX78" s="46">
        <v>0</v>
      </c>
      <c r="SY78" s="46">
        <v>0</v>
      </c>
      <c r="SZ78" s="46">
        <v>0</v>
      </c>
      <c r="TA78" s="46">
        <v>6950</v>
      </c>
      <c r="TB78" s="46">
        <v>7478673</v>
      </c>
      <c r="TC78" s="46">
        <v>0</v>
      </c>
      <c r="TD78" s="46">
        <v>0</v>
      </c>
      <c r="TE78" s="46">
        <v>0</v>
      </c>
      <c r="TF78" s="46">
        <v>654541</v>
      </c>
      <c r="TG78" s="46">
        <v>5727</v>
      </c>
      <c r="TH78" s="46">
        <v>0</v>
      </c>
      <c r="TI78" s="46">
        <v>0</v>
      </c>
      <c r="TJ78" s="46">
        <v>0</v>
      </c>
      <c r="TK78" s="46">
        <v>0</v>
      </c>
      <c r="TL78" s="46">
        <v>0</v>
      </c>
      <c r="TM78" s="46">
        <v>0</v>
      </c>
      <c r="TN78" s="46">
        <v>0</v>
      </c>
      <c r="TO78" s="46">
        <v>0</v>
      </c>
      <c r="TP78" s="46">
        <v>0</v>
      </c>
      <c r="TQ78" s="46">
        <v>0</v>
      </c>
      <c r="TR78" s="46">
        <v>0</v>
      </c>
      <c r="TS78" s="46">
        <v>0</v>
      </c>
      <c r="TT78" s="46">
        <v>0</v>
      </c>
      <c r="TU78" s="46">
        <v>0</v>
      </c>
      <c r="TV78" s="46">
        <v>0</v>
      </c>
      <c r="TW78" s="46">
        <v>0</v>
      </c>
      <c r="TX78" s="46">
        <v>0</v>
      </c>
      <c r="TY78" s="46">
        <v>0</v>
      </c>
      <c r="TZ78" s="46">
        <v>0</v>
      </c>
      <c r="UA78" s="46">
        <v>0</v>
      </c>
      <c r="UB78" s="46">
        <v>0</v>
      </c>
      <c r="UC78" s="46">
        <v>0</v>
      </c>
      <c r="UD78" s="46">
        <v>0</v>
      </c>
      <c r="UE78" s="46">
        <v>0</v>
      </c>
      <c r="UF78" s="46">
        <v>3249255</v>
      </c>
      <c r="UG78" s="46">
        <v>146528136</v>
      </c>
      <c r="UH78" s="46">
        <v>0</v>
      </c>
      <c r="UI78" s="46">
        <v>0</v>
      </c>
      <c r="UJ78" s="46">
        <v>0</v>
      </c>
      <c r="UK78" s="46">
        <v>4294603</v>
      </c>
      <c r="UL78" s="46">
        <v>1990134</v>
      </c>
      <c r="UM78" s="46">
        <v>0</v>
      </c>
      <c r="UN78" s="46">
        <v>0</v>
      </c>
      <c r="UO78"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8145891</v>
      </c>
      <c r="UP78" s="46">
        <f>SUM(Input[[#This Row],[Oth Exp E&amp;G]],Input[[#This Row],[Oth Exp Desg]],Input[[#This Row],[Oth Exp Aux]],Input[[#This Row],[Oth Exp R Exp]],Input[[#This Row],[Oth Exp Loan]],Input[[#This Row],[Oth Exp Annuity]],Input[[#This Row],[Oth Exp Unexp]],Input[[#This Row],[Oth Exp R of Ind]],Input[[#This Row],[Oth Exp Inv in P]])</f>
        <v>159056</v>
      </c>
      <c r="UQ78" s="46"/>
      <c r="UR78" s="46"/>
      <c r="US78" s="8" t="s">
        <v>742</v>
      </c>
      <c r="UT78" s="47">
        <v>9798459761</v>
      </c>
      <c r="UU78" s="8" t="s">
        <v>71</v>
      </c>
      <c r="UV78" s="8" t="s">
        <v>779</v>
      </c>
      <c r="UW78" s="47">
        <v>9794587301</v>
      </c>
      <c r="UX78" s="8" t="s">
        <v>780</v>
      </c>
      <c r="UY78" s="51" t="str" cm="1">
        <f t="array" ref="UY78">IFERROR(_xlfn.IFS(Input[[#This Row],[Type]]="HRI",SUMIFS('FTSE | FTFE'!$P$8:$P$77,'FTSE | FTFE'!$H$8:$H$77,A78),Input[[#This Row],[Type]]="UNIV",SUMIFS('FTSE | FTFE'!$P$104:$P$139,'FTSE | FTFE'!$H$104:$H$139,A78),OR(Input[[#This Row],[Type]]="TSTC",Input[[#This Row],[Type]]="LSC"),SUMIFS('FTSE | FTFE'!$O$88:$O$96,'FTSE | FTFE'!$H$88:$H$96,A78),Input[[#This Row],[Type]]="AHM",SUMIFS(Hidden!$H$42:$H$45,Hidden!$G$42:$G$45,A78)),"N/A")</f>
        <v>N/A</v>
      </c>
      <c r="UZ78" s="51" t="str" cm="1">
        <f t="array" ref="UZ78">IFERROR(_xlfn.IFS(Input[[#This Row],[Type]]="HRI",SUMIFS('FTSE | FTFE'!$Q$8:$Q$77,'FTSE | FTFE'!$H$8:$H$77,A78),Input[[#This Row],[Type]]="UNIV",SUMIFS('FTSE | FTFE'!$Q$104:$Q$139,'FTSE | FTFE'!$H$104:$H$139,A78),OR(Input[[#This Row],[Type]]="TSTC",Input[[#This Row],[Type]]="LSC"),SUMIFS('FTSE | FTFE'!$P$88:$P$96,'FTSE | FTFE'!$H$88:$H$96,A78)),"N/A")</f>
        <v>N/A</v>
      </c>
      <c r="VA78"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590686868</v>
      </c>
      <c r="VB78"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8" s="46">
        <f>SUM(Input[[#This Row],[Fed G&amp;C E&amp;G]],Input[[#This Row],[Fed G&amp;C Desg]],Input[[#This Row],[Fed G&amp;C R Exp]],Input[[#This Row],[Fed G&amp;C Loan]],Input[[#This Row],[Fed G&amp;C Annuity]],Input[[#This Row],[Fed G&amp;C Unexp]],Input[[#This Row],[Fed G&amp;C R of Ind]],Input[[#This Row],[Fed G&amp;C Inv in P]])</f>
        <v>32369443</v>
      </c>
      <c r="VD78"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28880891</v>
      </c>
      <c r="VE78"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8"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8" s="46">
        <f>SUM(Input[[#This Row],[Oth Inc E&amp;G]],Input[[#This Row],[Oth Exp Desg]],Input[[#This Row],[Oth Exp R Exp]],Input[[#This Row],[Oth Exp Loan]],Input[[#This Row],[Oth Exp Annuity]],Input[[#This Row],[Oth Exp Unexp]],Input[[#This Row],[Oth Exp R of Ind]],Input[[#This Row],[Oth Exp Inv in P]])</f>
        <v>23049551</v>
      </c>
      <c r="VH78" s="46">
        <f>SUM(Input[[#This Row],[Instr E&amp;G]],Input[[#This Row],[Instr Desg]],Input[[#This Row],[Instr R Exp]],Input[[#This Row],[Instr Loan]],Input[[#This Row],[Instr Annuity]],Input[[#This Row],[Instr Unexp]],Input[[#This Row],[Instr R of Ind]],Input[[#This Row],[Instr Inv in P]])</f>
        <v>0</v>
      </c>
      <c r="VI78" s="46">
        <f>SUM(Input[[#This Row],[Res E&amp;G]],Input[[#This Row],[Res Desg]],Input[[#This Row],[Res R Exp]],Input[[#This Row],[Res Loan]],Input[[#This Row],[Res Annuity]],Input[[#This Row],[Res Unexp]],Input[[#This Row],[Res R of Ind]],Input[[#This Row],[Res Inv in P]])</f>
        <v>3249255</v>
      </c>
      <c r="VJ78" s="46">
        <f>SUM(Input[[#This Row],[Acad Sup E&amp;G]],Input[[#This Row],[Acad Sup Desg]],Input[[#This Row],[Acad Sup R Exp]],Input[[#This Row],[Acad Sup Loan]],Input[[#This Row],[Acad Sup Annuity]],Input[[#This Row],[Acad Sup Unexp]],Input[[#This Row],[Acad Sup R of Ind]],Input[[#This Row],[Acad Sup Inv in P]])</f>
        <v>0</v>
      </c>
      <c r="VK78" s="46">
        <f>SUM(Input[[#This Row],[Stu Svc E&amp;G]],Input[[#This Row],[Stu Svc Desg]],Input[[#This Row],[Stu Svc R Exp]],Input[[#This Row],[Stu Svc Loan]],Input[[#This Row],[Stu Svc Annuity]],Input[[#This Row],[Stu Svc Unexp]],Input[[#This Row],[Stu Svc R of Ind]],Input[[#This Row],[Stu Svc Inv in P]])</f>
        <v>0</v>
      </c>
      <c r="VL78" s="46">
        <f>SUM(Input[[#This Row],[Inst. Spt E&amp;G]],Input[[#This Row],[Inst. Spt Desg]],Input[[#This Row],[Inst. Spt R Exp]],Input[[#This Row],[Inst. Spt Loan]],Input[[#This Row],[Inst. Spt Annuity]],Input[[#This Row],[Inst. Spt Unexp]],Input[[#This Row],[Inst. Spt R of Ind]],Input[[#This Row],[Inst. Spt Inv in P]])</f>
        <v>4294603</v>
      </c>
      <c r="VM78" s="46">
        <f>SUM(Input[[#This Row],[M&amp;O Plnt E&amp;G]],Input[[#This Row],[M&amp;O Plnt Desg]],Input[[#This Row],[M&amp;O Plnt R Exp]],Input[[#This Row],[M&amp;O Plnt Loan]],Input[[#This Row],[M&amp;O Plnt Annuity]],Input[[#This Row],[M&amp;O Plnt Unexp]],Input[[#This Row],[M&amp;O Plnt R of Ind]],Input[[#This Row],[M&amp;O Plnt Inv in P]])</f>
        <v>1990134</v>
      </c>
      <c r="VN78"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8" s="46">
        <f>SUM(Input[[#This Row],[Cap Out fund E&amp;G]],Input[[#This Row],[Cap Out fund Desg]],Input[[#This Row],[Cap Out fund R Exp]],Input[[#This Row],[Cap Out fund Loan]],Input[[#This Row],[Cap Out fund Annuity]],Input[[#This Row],[Cap Out fund Unexp]],Input[[#This Row],[Cap Out fund R of Ind]],Input[[#This Row],[Cap Out fund Inv in P]])</f>
        <v>8145891</v>
      </c>
      <c r="VP78" s="46">
        <f>SUM(Input[[#This Row],[Oth Exp E&amp;G]],Input[[#This Row],[Oth Exp Desg]],Input[[#This Row],[Oth Exp R Exp]],Input[[#This Row],[Oth Exp Loan]],Input[[#This Row],[Oth Exp Annuity]],Input[[#This Row],[Oth Exp Unexp]],Input[[#This Row],[Oth Exp R of Ind]],Input[[#This Row],[Oth Exp Inv in P]],Input[[#This Row],[Oth Exp Inv in P]])</f>
        <v>235940</v>
      </c>
    </row>
    <row r="79" spans="1:588" ht="30" customHeight="1" x14ac:dyDescent="0.3">
      <c r="A79" s="15" t="s">
        <v>102</v>
      </c>
      <c r="B79" s="36" t="s">
        <v>111</v>
      </c>
      <c r="C79" s="36" t="s">
        <v>119</v>
      </c>
      <c r="D79" s="36">
        <v>1107</v>
      </c>
      <c r="E79" s="36" t="s">
        <v>132</v>
      </c>
      <c r="F79" s="95" t="s">
        <v>106</v>
      </c>
      <c r="G79" s="46">
        <v>12661200</v>
      </c>
      <c r="H79" s="46">
        <v>0</v>
      </c>
      <c r="I79" s="46">
        <v>0</v>
      </c>
      <c r="J79" s="46">
        <v>0</v>
      </c>
      <c r="K79" s="46">
        <v>0</v>
      </c>
      <c r="L79" s="46">
        <v>0</v>
      </c>
      <c r="M79" s="46">
        <v>0</v>
      </c>
      <c r="N79" s="46">
        <v>0</v>
      </c>
      <c r="O79" s="46">
        <v>0</v>
      </c>
      <c r="P79" s="46">
        <v>0</v>
      </c>
      <c r="Q79" s="46">
        <v>0</v>
      </c>
      <c r="R79" s="46">
        <v>0</v>
      </c>
      <c r="S79" s="46">
        <v>0</v>
      </c>
      <c r="T79" s="46">
        <v>0</v>
      </c>
      <c r="U79" s="46">
        <v>0</v>
      </c>
      <c r="V79" s="46">
        <v>0</v>
      </c>
      <c r="W79" s="46">
        <v>0</v>
      </c>
      <c r="X79" s="46">
        <v>0</v>
      </c>
      <c r="Y79" s="46">
        <v>0</v>
      </c>
      <c r="Z79" s="46">
        <v>0</v>
      </c>
      <c r="AA79" s="46">
        <v>0</v>
      </c>
      <c r="AB79" s="46">
        <v>0</v>
      </c>
      <c r="AC79" s="46">
        <v>0</v>
      </c>
      <c r="AD79" s="46">
        <v>0</v>
      </c>
      <c r="AE79" s="46">
        <v>0</v>
      </c>
      <c r="AF79" s="46">
        <v>0</v>
      </c>
      <c r="AG79" s="46">
        <v>0</v>
      </c>
      <c r="AH79" s="46">
        <v>0</v>
      </c>
      <c r="AI79" s="46">
        <v>0</v>
      </c>
      <c r="AJ79" s="46">
        <v>0</v>
      </c>
      <c r="AK79" s="46">
        <v>0</v>
      </c>
      <c r="AL79" s="46">
        <v>0</v>
      </c>
      <c r="AM79" s="46">
        <v>0</v>
      </c>
      <c r="AN79" s="46">
        <v>0</v>
      </c>
      <c r="AO79" s="46">
        <v>0</v>
      </c>
      <c r="AP79" s="46">
        <v>0</v>
      </c>
      <c r="AQ79" s="46">
        <v>0</v>
      </c>
      <c r="AR79" s="46">
        <v>0</v>
      </c>
      <c r="AS79" s="46">
        <v>0</v>
      </c>
      <c r="AT79" s="46">
        <v>0</v>
      </c>
      <c r="AU79" s="46">
        <v>0</v>
      </c>
      <c r="AV79" s="46">
        <v>0</v>
      </c>
      <c r="AW79" s="46">
        <v>0</v>
      </c>
      <c r="AX79" s="46">
        <v>0</v>
      </c>
      <c r="AY79" s="46">
        <v>0</v>
      </c>
      <c r="AZ79" s="46">
        <v>0</v>
      </c>
      <c r="BA79" s="46">
        <v>0</v>
      </c>
      <c r="BB79" s="46">
        <v>0</v>
      </c>
      <c r="BC79" s="46">
        <v>0</v>
      </c>
      <c r="BD79" s="46">
        <v>0</v>
      </c>
      <c r="BE79" s="46">
        <v>0</v>
      </c>
      <c r="BF79" s="46">
        <v>0</v>
      </c>
      <c r="BG79" s="46">
        <v>0</v>
      </c>
      <c r="BH79" s="46">
        <v>0</v>
      </c>
      <c r="BI79" s="46">
        <v>0</v>
      </c>
      <c r="BJ79" s="46">
        <v>0</v>
      </c>
      <c r="BK79" s="46">
        <v>0</v>
      </c>
      <c r="BL79" s="46">
        <v>0</v>
      </c>
      <c r="BM79" s="46">
        <v>0</v>
      </c>
      <c r="BN79" s="46">
        <v>0</v>
      </c>
      <c r="BO79" s="46">
        <v>0</v>
      </c>
      <c r="BP79" s="46">
        <v>0</v>
      </c>
      <c r="BQ79" s="46">
        <v>0</v>
      </c>
      <c r="BR79" s="46">
        <v>0</v>
      </c>
      <c r="BS79" s="46">
        <v>0</v>
      </c>
      <c r="BT79" s="46">
        <v>0</v>
      </c>
      <c r="BU79" s="46">
        <v>0</v>
      </c>
      <c r="BV79" s="46">
        <v>0</v>
      </c>
      <c r="BW79" s="46">
        <v>0</v>
      </c>
      <c r="BX79" s="46">
        <v>0</v>
      </c>
      <c r="BY79" s="46">
        <v>0</v>
      </c>
      <c r="BZ79" s="46">
        <v>0</v>
      </c>
      <c r="CA79" s="46">
        <v>0</v>
      </c>
      <c r="CB79" s="46">
        <v>0</v>
      </c>
      <c r="CC79" s="46">
        <v>0</v>
      </c>
      <c r="CD79" s="46">
        <v>0</v>
      </c>
      <c r="CE79" s="46">
        <v>0</v>
      </c>
      <c r="CF79" s="46">
        <v>0</v>
      </c>
      <c r="CG79" s="46">
        <v>0</v>
      </c>
      <c r="CH79" s="46">
        <v>0</v>
      </c>
      <c r="CI79" s="46">
        <v>0</v>
      </c>
      <c r="CJ79" s="46">
        <v>0</v>
      </c>
      <c r="CK79" s="46">
        <v>0</v>
      </c>
      <c r="CL79" s="46">
        <v>0</v>
      </c>
      <c r="CM79" s="46">
        <v>0</v>
      </c>
      <c r="CN79" s="46">
        <v>0</v>
      </c>
      <c r="CO79" s="46">
        <v>0</v>
      </c>
      <c r="CP79" s="46">
        <v>0</v>
      </c>
      <c r="CQ79" s="46">
        <v>0</v>
      </c>
      <c r="CR79" s="46">
        <v>0</v>
      </c>
      <c r="CS79" s="46">
        <v>0</v>
      </c>
      <c r="CT79" s="46">
        <v>0</v>
      </c>
      <c r="CU79" s="46">
        <v>0</v>
      </c>
      <c r="CV79" s="46">
        <v>0</v>
      </c>
      <c r="CW79" s="46">
        <v>0</v>
      </c>
      <c r="CX79" s="46">
        <v>0</v>
      </c>
      <c r="CY79" s="46">
        <v>0</v>
      </c>
      <c r="CZ79" s="46">
        <v>0</v>
      </c>
      <c r="DA79" s="46">
        <v>0</v>
      </c>
      <c r="DB79" s="46">
        <v>0</v>
      </c>
      <c r="DC79" s="46">
        <v>0</v>
      </c>
      <c r="DD79" s="46">
        <v>0</v>
      </c>
      <c r="DE79" s="46">
        <v>0</v>
      </c>
      <c r="DF79" s="46">
        <v>0</v>
      </c>
      <c r="DG79" s="46">
        <v>0</v>
      </c>
      <c r="DH79" s="46">
        <v>0</v>
      </c>
      <c r="DI79" s="46">
        <v>0</v>
      </c>
      <c r="DJ79" s="46">
        <v>0</v>
      </c>
      <c r="DK79" s="46">
        <v>0</v>
      </c>
      <c r="DL79" s="46">
        <v>0</v>
      </c>
      <c r="DM79" s="46">
        <v>0</v>
      </c>
      <c r="DN79" s="46">
        <v>0</v>
      </c>
      <c r="DO79" s="46">
        <v>0</v>
      </c>
      <c r="DP79" s="46">
        <v>0</v>
      </c>
      <c r="DQ79" s="46">
        <v>0</v>
      </c>
      <c r="DR79" s="46">
        <v>0</v>
      </c>
      <c r="DS79" s="46">
        <v>0</v>
      </c>
      <c r="DT79" s="46">
        <v>0</v>
      </c>
      <c r="DU79" s="46">
        <v>0</v>
      </c>
      <c r="DV79" s="46">
        <v>0</v>
      </c>
      <c r="DW79" s="46">
        <v>0</v>
      </c>
      <c r="DX79" s="46">
        <v>0</v>
      </c>
      <c r="DY79" s="46">
        <v>0</v>
      </c>
      <c r="DZ79" s="46">
        <v>0</v>
      </c>
      <c r="EA79" s="46">
        <v>0</v>
      </c>
      <c r="EB79" s="46">
        <v>0</v>
      </c>
      <c r="EC79" s="46">
        <v>0</v>
      </c>
      <c r="ED79" s="46">
        <v>0</v>
      </c>
      <c r="EE79" s="46">
        <v>0</v>
      </c>
      <c r="EF79" s="46">
        <v>0</v>
      </c>
      <c r="EG79" s="46">
        <v>0</v>
      </c>
      <c r="EH79" s="46">
        <v>0</v>
      </c>
      <c r="EI79" s="46">
        <v>0</v>
      </c>
      <c r="EJ79" s="46">
        <v>0</v>
      </c>
      <c r="EK79" s="46">
        <v>0</v>
      </c>
      <c r="EL79" s="46">
        <v>0</v>
      </c>
      <c r="EM79" s="46">
        <v>0</v>
      </c>
      <c r="EN79" s="46">
        <v>0</v>
      </c>
      <c r="EO79" s="46">
        <v>0</v>
      </c>
      <c r="EP79" s="46">
        <v>0</v>
      </c>
      <c r="EQ79" s="46">
        <v>0</v>
      </c>
      <c r="ER79" s="46">
        <v>0</v>
      </c>
      <c r="ES79" s="46">
        <v>0</v>
      </c>
      <c r="ET79" s="46">
        <v>0</v>
      </c>
      <c r="EU79" s="46">
        <v>0</v>
      </c>
      <c r="EV79" s="46">
        <v>0</v>
      </c>
      <c r="EW79" s="46">
        <v>0</v>
      </c>
      <c r="EX79" s="46">
        <v>0</v>
      </c>
      <c r="EY79" s="46">
        <v>0</v>
      </c>
      <c r="EZ79" s="46">
        <v>0</v>
      </c>
      <c r="FA79" s="46">
        <v>0</v>
      </c>
      <c r="FB79" s="46">
        <v>0</v>
      </c>
      <c r="FC79" s="46">
        <v>0</v>
      </c>
      <c r="FD79" s="46">
        <v>0</v>
      </c>
      <c r="FE79" s="46">
        <v>0</v>
      </c>
      <c r="FF79" s="46">
        <v>0</v>
      </c>
      <c r="FG79" s="46">
        <v>0</v>
      </c>
      <c r="FH79" s="46">
        <v>0</v>
      </c>
      <c r="FI79" s="46">
        <v>0</v>
      </c>
      <c r="FJ79" s="46">
        <v>0</v>
      </c>
      <c r="FK79" s="46">
        <v>0</v>
      </c>
      <c r="FL79" s="46">
        <v>0</v>
      </c>
      <c r="FM79" s="46">
        <v>0</v>
      </c>
      <c r="FN79" s="46">
        <v>0</v>
      </c>
      <c r="FO79" s="46">
        <v>0</v>
      </c>
      <c r="FP79" s="46">
        <v>0</v>
      </c>
      <c r="FQ79" s="46">
        <v>0</v>
      </c>
      <c r="FR79" s="46">
        <v>0</v>
      </c>
      <c r="FS79" s="46">
        <v>0</v>
      </c>
      <c r="FT79" s="46">
        <v>0</v>
      </c>
      <c r="FU79" s="46">
        <v>0</v>
      </c>
      <c r="FV79" s="46">
        <v>0</v>
      </c>
      <c r="FW79" s="46">
        <v>0</v>
      </c>
      <c r="FX79" s="46">
        <v>0</v>
      </c>
      <c r="FY79" s="46">
        <v>0</v>
      </c>
      <c r="FZ79" s="46">
        <v>0</v>
      </c>
      <c r="GA79" s="46">
        <v>0</v>
      </c>
      <c r="GB79" s="46">
        <v>0</v>
      </c>
      <c r="GC79" s="46">
        <v>0</v>
      </c>
      <c r="GD79" s="46">
        <v>0</v>
      </c>
      <c r="GE79" s="46">
        <v>0</v>
      </c>
      <c r="GF79" s="46">
        <v>0</v>
      </c>
      <c r="GG79" s="46">
        <v>0</v>
      </c>
      <c r="GH79" s="46">
        <v>0</v>
      </c>
      <c r="GI79" s="46">
        <v>0</v>
      </c>
      <c r="GJ79" s="46">
        <v>0</v>
      </c>
      <c r="GK79" s="46">
        <v>0</v>
      </c>
      <c r="GL79" s="46">
        <v>0</v>
      </c>
      <c r="GM79" s="46">
        <v>0</v>
      </c>
      <c r="GN79" s="46">
        <v>0</v>
      </c>
      <c r="GO79" s="46">
        <v>0</v>
      </c>
      <c r="GP79" s="46">
        <v>0</v>
      </c>
      <c r="GQ79" s="46">
        <v>0</v>
      </c>
      <c r="GR79" s="46">
        <v>0</v>
      </c>
      <c r="GS79" s="46">
        <v>0</v>
      </c>
      <c r="GT79" s="46">
        <v>0</v>
      </c>
      <c r="GU79" s="46">
        <v>0</v>
      </c>
      <c r="GV79" s="46">
        <v>0</v>
      </c>
      <c r="GW79" s="46">
        <v>0</v>
      </c>
      <c r="GX79" s="46">
        <v>0</v>
      </c>
      <c r="GY79" s="46">
        <v>0</v>
      </c>
      <c r="GZ79" s="46">
        <v>0</v>
      </c>
      <c r="HA79" s="46">
        <v>0</v>
      </c>
      <c r="HB79" s="46">
        <v>0</v>
      </c>
      <c r="HC79" s="46">
        <v>0</v>
      </c>
      <c r="HD79" s="46">
        <v>0</v>
      </c>
      <c r="HE79" s="46">
        <v>0</v>
      </c>
      <c r="HF79" s="46">
        <v>0</v>
      </c>
      <c r="HG79" s="46">
        <v>0</v>
      </c>
      <c r="HH79" s="46">
        <v>0</v>
      </c>
      <c r="HI79" s="46">
        <v>0</v>
      </c>
      <c r="HJ79" s="46">
        <v>0</v>
      </c>
      <c r="HK79" s="46">
        <v>0</v>
      </c>
      <c r="HL79" s="46">
        <v>0</v>
      </c>
      <c r="HM79" s="46">
        <v>0</v>
      </c>
      <c r="HN79" s="46">
        <v>0</v>
      </c>
      <c r="HO79" s="46">
        <v>0</v>
      </c>
      <c r="HP79" s="46">
        <v>668252</v>
      </c>
      <c r="HQ79" s="46">
        <v>0</v>
      </c>
      <c r="HR79" s="46">
        <v>2588943</v>
      </c>
      <c r="HS79" s="46">
        <v>0</v>
      </c>
      <c r="HT79" s="46">
        <v>0</v>
      </c>
      <c r="HU79" s="46">
        <v>0</v>
      </c>
      <c r="HV79" s="46">
        <v>0</v>
      </c>
      <c r="HW79" s="46">
        <v>0</v>
      </c>
      <c r="HX79" s="46">
        <v>0</v>
      </c>
      <c r="HY79" s="46">
        <v>0</v>
      </c>
      <c r="HZ79" s="46">
        <v>0</v>
      </c>
      <c r="IA79" s="46">
        <v>0</v>
      </c>
      <c r="IB79" s="46">
        <v>0</v>
      </c>
      <c r="IC79" s="46">
        <v>0</v>
      </c>
      <c r="ID79" s="46">
        <v>0</v>
      </c>
      <c r="IE79" s="46">
        <v>0</v>
      </c>
      <c r="IF79" s="46">
        <v>0</v>
      </c>
      <c r="IG79" s="46">
        <v>0</v>
      </c>
      <c r="IH79" s="46">
        <v>0</v>
      </c>
      <c r="II79" s="46">
        <v>0</v>
      </c>
      <c r="IJ79" s="46">
        <v>0</v>
      </c>
      <c r="IK79" s="46">
        <v>0</v>
      </c>
      <c r="IL79" s="46">
        <v>0</v>
      </c>
      <c r="IM79" s="46">
        <v>0</v>
      </c>
      <c r="IN79" s="46">
        <v>0</v>
      </c>
      <c r="IO79" s="46">
        <v>0</v>
      </c>
      <c r="IP79" s="46">
        <v>647733</v>
      </c>
      <c r="IQ79" s="46">
        <v>0</v>
      </c>
      <c r="IR79" s="46">
        <v>0</v>
      </c>
      <c r="IS79" s="46">
        <v>0</v>
      </c>
      <c r="IT79" s="46">
        <v>0</v>
      </c>
      <c r="IU79" s="46">
        <v>0</v>
      </c>
      <c r="IV79" s="46">
        <v>0</v>
      </c>
      <c r="IW79" s="46">
        <v>0</v>
      </c>
      <c r="IX79" s="46">
        <v>0</v>
      </c>
      <c r="IY79" s="46">
        <v>0</v>
      </c>
      <c r="IZ79" s="46">
        <v>0</v>
      </c>
      <c r="JA79" s="46">
        <v>0</v>
      </c>
      <c r="JB79" s="46">
        <v>0</v>
      </c>
      <c r="JC79" s="46">
        <v>0</v>
      </c>
      <c r="JD79" s="46">
        <v>0</v>
      </c>
      <c r="JE79" s="46">
        <v>0</v>
      </c>
      <c r="JF79" s="46">
        <v>0</v>
      </c>
      <c r="JG79" s="46">
        <v>0</v>
      </c>
      <c r="JH79" s="46">
        <v>0</v>
      </c>
      <c r="JI79" s="46">
        <v>245527</v>
      </c>
      <c r="JJ79" s="46">
        <v>0</v>
      </c>
      <c r="JK79" s="46">
        <v>8831</v>
      </c>
      <c r="JL79" s="46">
        <v>0</v>
      </c>
      <c r="JM79" s="46">
        <v>0</v>
      </c>
      <c r="JN79" s="46">
        <v>0</v>
      </c>
      <c r="JO79" s="46">
        <v>0</v>
      </c>
      <c r="JP79" s="46">
        <v>0</v>
      </c>
      <c r="JQ79" s="46">
        <v>18290960</v>
      </c>
      <c r="JR79" s="46">
        <v>61756</v>
      </c>
      <c r="JS79" s="46">
        <v>0</v>
      </c>
      <c r="JT79" s="46">
        <v>0</v>
      </c>
      <c r="JU79" s="46">
        <v>0</v>
      </c>
      <c r="JV79" s="46">
        <v>0</v>
      </c>
      <c r="JW79" s="46">
        <v>0</v>
      </c>
      <c r="JX79" s="46">
        <v>0</v>
      </c>
      <c r="JY79" s="46">
        <v>0</v>
      </c>
      <c r="JZ79" s="46">
        <v>0</v>
      </c>
      <c r="KA79" s="46">
        <v>0</v>
      </c>
      <c r="KB79" s="46">
        <v>0</v>
      </c>
      <c r="KC79" s="46">
        <v>0</v>
      </c>
      <c r="KD79" s="46">
        <v>0</v>
      </c>
      <c r="KE79" s="46">
        <v>0</v>
      </c>
      <c r="KF79" s="46">
        <v>0</v>
      </c>
      <c r="KG79" s="46">
        <v>0</v>
      </c>
      <c r="KH79" s="46">
        <v>0</v>
      </c>
      <c r="KI79" s="46">
        <v>0</v>
      </c>
      <c r="KJ79" s="46">
        <v>11536</v>
      </c>
      <c r="KK79" s="46">
        <v>0</v>
      </c>
      <c r="KL79" s="46">
        <v>0</v>
      </c>
      <c r="KM79" s="46">
        <v>0</v>
      </c>
      <c r="KN79" s="46">
        <v>0</v>
      </c>
      <c r="KO79" s="46">
        <v>0</v>
      </c>
      <c r="KP79" s="46">
        <v>0</v>
      </c>
      <c r="KQ79" s="46">
        <v>-1026</v>
      </c>
      <c r="KR79" s="46">
        <v>0</v>
      </c>
      <c r="KS79" s="46">
        <v>0</v>
      </c>
      <c r="KT79" s="46">
        <v>0</v>
      </c>
      <c r="KU79" s="46">
        <v>0</v>
      </c>
      <c r="KV79" s="46">
        <v>0</v>
      </c>
      <c r="KW79" s="46">
        <v>0</v>
      </c>
      <c r="KX79" s="46">
        <v>0</v>
      </c>
      <c r="KY79" s="46">
        <v>0</v>
      </c>
      <c r="KZ79" s="46">
        <v>0</v>
      </c>
      <c r="LA79" s="46">
        <v>0</v>
      </c>
      <c r="LB79" s="46">
        <v>0</v>
      </c>
      <c r="LC79" s="46">
        <v>0</v>
      </c>
      <c r="LD79" s="46">
        <v>1962207</v>
      </c>
      <c r="LE79" s="46">
        <v>0</v>
      </c>
      <c r="LF79" s="46">
        <v>0</v>
      </c>
      <c r="LG79" s="46">
        <v>0</v>
      </c>
      <c r="LH79" s="46">
        <v>0</v>
      </c>
      <c r="LI79" s="46">
        <v>0</v>
      </c>
      <c r="LJ79" s="46">
        <v>25212512</v>
      </c>
      <c r="LK79" s="46">
        <v>289316</v>
      </c>
      <c r="LL79" s="46">
        <v>0</v>
      </c>
      <c r="LM79" s="46">
        <v>0</v>
      </c>
      <c r="LN79" s="46">
        <v>0</v>
      </c>
      <c r="LO79" s="46">
        <v>0</v>
      </c>
      <c r="LP79" s="46">
        <v>0</v>
      </c>
      <c r="LQ79" s="46">
        <v>0</v>
      </c>
      <c r="LR79" s="46">
        <v>0</v>
      </c>
      <c r="LS79" s="46">
        <v>0</v>
      </c>
      <c r="LT79" s="46">
        <v>0</v>
      </c>
      <c r="LU79" s="46">
        <v>0</v>
      </c>
      <c r="LV79" s="46">
        <v>0</v>
      </c>
      <c r="LW79" s="46">
        <v>0</v>
      </c>
      <c r="LX79" s="46">
        <v>0</v>
      </c>
      <c r="LY79" s="46">
        <v>0</v>
      </c>
      <c r="LZ79" s="46">
        <v>0</v>
      </c>
      <c r="MA79" s="46">
        <v>0</v>
      </c>
      <c r="MB79" s="46">
        <v>0</v>
      </c>
      <c r="MC79" s="46">
        <v>0</v>
      </c>
      <c r="MD79" s="46">
        <v>0</v>
      </c>
      <c r="ME79" s="46">
        <v>0</v>
      </c>
      <c r="MF79" s="46">
        <v>0</v>
      </c>
      <c r="MG79" s="46">
        <v>0</v>
      </c>
      <c r="MH79" s="46">
        <v>0</v>
      </c>
      <c r="MI79" s="46">
        <v>0</v>
      </c>
      <c r="MJ79" s="46">
        <v>0</v>
      </c>
      <c r="MK79" s="46">
        <v>0</v>
      </c>
      <c r="ML79" s="46">
        <v>0</v>
      </c>
      <c r="MM79" s="46">
        <v>0</v>
      </c>
      <c r="MN79" s="46">
        <v>0</v>
      </c>
      <c r="MO79" s="46">
        <v>0</v>
      </c>
      <c r="MP79" s="46">
        <v>0</v>
      </c>
      <c r="MQ79" s="46">
        <v>0</v>
      </c>
      <c r="MR79" s="46">
        <v>0</v>
      </c>
      <c r="MS79" s="46">
        <v>0</v>
      </c>
      <c r="MT79" s="46">
        <v>1992095</v>
      </c>
      <c r="MU79" s="46">
        <v>154098</v>
      </c>
      <c r="MV79" s="46">
        <v>0</v>
      </c>
      <c r="MW79" s="46">
        <v>0</v>
      </c>
      <c r="MX79" s="46">
        <v>0</v>
      </c>
      <c r="MY79" s="46">
        <v>0</v>
      </c>
      <c r="MZ79" s="46">
        <v>0</v>
      </c>
      <c r="NA79" s="46">
        <v>0</v>
      </c>
      <c r="NB79" s="46">
        <v>0</v>
      </c>
      <c r="NC79" s="46">
        <v>0</v>
      </c>
      <c r="ND79" s="46">
        <v>0</v>
      </c>
      <c r="NE79" s="46">
        <v>0</v>
      </c>
      <c r="NF79" s="46">
        <v>0</v>
      </c>
      <c r="NG79" s="46">
        <v>0</v>
      </c>
      <c r="NH79" s="46">
        <v>0</v>
      </c>
      <c r="NI79" s="46">
        <v>0</v>
      </c>
      <c r="NJ79" s="46">
        <v>0</v>
      </c>
      <c r="NK79" s="46">
        <v>0</v>
      </c>
      <c r="NL79" s="46">
        <v>0</v>
      </c>
      <c r="NM79" s="46">
        <v>0</v>
      </c>
      <c r="NN79" s="46">
        <v>0</v>
      </c>
      <c r="NO79" s="46">
        <v>0</v>
      </c>
      <c r="NP79" s="46">
        <v>0</v>
      </c>
      <c r="NQ79" s="46">
        <v>0</v>
      </c>
      <c r="NR79" s="46">
        <v>0</v>
      </c>
      <c r="NS79" s="46">
        <v>0</v>
      </c>
      <c r="NT79" s="46">
        <v>0</v>
      </c>
      <c r="NU79" s="46">
        <v>0</v>
      </c>
      <c r="NV79" s="46">
        <v>0</v>
      </c>
      <c r="NW79" s="46">
        <v>0</v>
      </c>
      <c r="NX79" s="46">
        <v>0</v>
      </c>
      <c r="NY79" s="46">
        <v>0</v>
      </c>
      <c r="NZ79" s="46">
        <v>0</v>
      </c>
      <c r="OA79" s="46">
        <v>0</v>
      </c>
      <c r="OB79" s="46">
        <v>0</v>
      </c>
      <c r="OC79" s="46">
        <v>0</v>
      </c>
      <c r="OD79" s="46">
        <v>465358</v>
      </c>
      <c r="OE79" s="46">
        <v>0</v>
      </c>
      <c r="OF79" s="46">
        <v>0</v>
      </c>
      <c r="OG79" s="46">
        <v>628500</v>
      </c>
      <c r="OH79" s="46">
        <v>0</v>
      </c>
      <c r="OI79" s="46">
        <v>0</v>
      </c>
      <c r="OJ79" s="46">
        <v>0</v>
      </c>
      <c r="OK79" s="46">
        <v>0</v>
      </c>
      <c r="OL79" s="46">
        <v>0</v>
      </c>
      <c r="OM79" s="46">
        <v>0</v>
      </c>
      <c r="ON79" s="46">
        <v>0</v>
      </c>
      <c r="OO79" s="46">
        <v>0</v>
      </c>
      <c r="OP79" s="46">
        <v>0</v>
      </c>
      <c r="OQ79" s="46">
        <v>0</v>
      </c>
      <c r="OR79" s="46">
        <v>0</v>
      </c>
      <c r="OS79" s="46">
        <v>0</v>
      </c>
      <c r="OT79" s="46">
        <v>0</v>
      </c>
      <c r="OU79" s="46">
        <v>958156</v>
      </c>
      <c r="OV79" s="46">
        <v>0</v>
      </c>
      <c r="OW79" s="46">
        <v>0</v>
      </c>
      <c r="OX79" s="46">
        <v>0</v>
      </c>
      <c r="OY79" s="46">
        <v>0</v>
      </c>
      <c r="OZ79" s="46">
        <v>0</v>
      </c>
      <c r="PA79" s="46">
        <v>0</v>
      </c>
      <c r="PB79" s="46">
        <v>0</v>
      </c>
      <c r="PC79" s="46">
        <v>0</v>
      </c>
      <c r="PD79" s="46">
        <v>0</v>
      </c>
      <c r="PE79" s="46">
        <v>0</v>
      </c>
      <c r="PF79" s="46">
        <v>0</v>
      </c>
      <c r="PG79" s="46">
        <v>0</v>
      </c>
      <c r="PH79" s="46">
        <v>0</v>
      </c>
      <c r="PI79" s="46">
        <v>0</v>
      </c>
      <c r="PJ79" s="46">
        <v>0</v>
      </c>
      <c r="PK79" s="46">
        <v>0</v>
      </c>
      <c r="PL79" s="46">
        <v>0</v>
      </c>
      <c r="PM79" s="46">
        <v>0</v>
      </c>
      <c r="PN79" s="46">
        <v>0</v>
      </c>
      <c r="PO79" s="46">
        <v>0</v>
      </c>
      <c r="PP79" s="46">
        <v>0</v>
      </c>
      <c r="PQ79" s="46">
        <v>0</v>
      </c>
      <c r="PR79" s="46">
        <v>0</v>
      </c>
      <c r="PS79" s="46">
        <v>0</v>
      </c>
      <c r="PT79" s="46">
        <v>0</v>
      </c>
      <c r="PU79" s="46">
        <v>0</v>
      </c>
      <c r="PV79" s="46">
        <v>0</v>
      </c>
      <c r="PW79" s="46">
        <v>-3169150</v>
      </c>
      <c r="PX79" s="46">
        <v>0</v>
      </c>
      <c r="PY79" s="46">
        <v>0</v>
      </c>
      <c r="PZ79" s="46">
        <v>0</v>
      </c>
      <c r="QA79" s="46">
        <v>0</v>
      </c>
      <c r="QB79" s="46">
        <v>0</v>
      </c>
      <c r="QC79" s="46">
        <v>0</v>
      </c>
      <c r="QD79" s="46">
        <v>0</v>
      </c>
      <c r="QE79" s="46">
        <v>0</v>
      </c>
      <c r="QF79" s="46">
        <v>0</v>
      </c>
      <c r="QG79" s="46">
        <v>0</v>
      </c>
      <c r="QH79" s="46">
        <v>0</v>
      </c>
      <c r="QI79" s="46">
        <v>0</v>
      </c>
      <c r="QJ79" s="46">
        <v>0</v>
      </c>
      <c r="QK79" s="46">
        <v>0</v>
      </c>
      <c r="QL79" s="46">
        <v>0</v>
      </c>
      <c r="QM79" s="46">
        <v>0</v>
      </c>
      <c r="QN79" s="46">
        <v>0</v>
      </c>
      <c r="QO79" s="46">
        <v>0</v>
      </c>
      <c r="QP79" s="46">
        <v>0</v>
      </c>
      <c r="QQ79" s="46">
        <v>0</v>
      </c>
      <c r="QR79" s="46">
        <v>0</v>
      </c>
      <c r="QS79" s="46">
        <v>0</v>
      </c>
      <c r="QT79" s="46">
        <v>0</v>
      </c>
      <c r="QU79" s="46">
        <v>0</v>
      </c>
      <c r="QV79" s="46">
        <v>0</v>
      </c>
      <c r="QW79" s="46">
        <v>0</v>
      </c>
      <c r="QX79" s="46">
        <v>0</v>
      </c>
      <c r="QY79" s="46">
        <v>0</v>
      </c>
      <c r="QZ79" s="46">
        <v>0</v>
      </c>
      <c r="RA79" s="46">
        <v>0</v>
      </c>
      <c r="RB79" s="46">
        <v>0</v>
      </c>
      <c r="RC79" s="46">
        <v>0</v>
      </c>
      <c r="RD79" s="46">
        <v>0</v>
      </c>
      <c r="RE79" s="46">
        <v>0</v>
      </c>
      <c r="RF79" s="46">
        <v>0</v>
      </c>
      <c r="RG79" s="46">
        <v>0</v>
      </c>
      <c r="RH79" s="46">
        <v>0</v>
      </c>
      <c r="RI79" s="46">
        <v>0</v>
      </c>
      <c r="RJ79" s="46">
        <v>0</v>
      </c>
      <c r="RK79" s="46">
        <v>0</v>
      </c>
      <c r="RL79" s="46">
        <v>0</v>
      </c>
      <c r="RM79" s="46">
        <v>0</v>
      </c>
      <c r="RN79" s="46">
        <v>0</v>
      </c>
      <c r="RO79" s="46">
        <v>-4959623</v>
      </c>
      <c r="RP79" s="46">
        <v>0</v>
      </c>
      <c r="RQ79" s="46">
        <v>0</v>
      </c>
      <c r="RR79" s="46">
        <v>0</v>
      </c>
      <c r="RS79" s="46">
        <v>0</v>
      </c>
      <c r="RT79" s="46">
        <v>0</v>
      </c>
      <c r="RU79" s="46">
        <v>0</v>
      </c>
      <c r="RV79" s="46">
        <v>0</v>
      </c>
      <c r="RW79" s="46">
        <v>0</v>
      </c>
      <c r="RX79" s="46">
        <v>0</v>
      </c>
      <c r="RY79" s="46">
        <v>0</v>
      </c>
      <c r="RZ79" s="46">
        <v>0</v>
      </c>
      <c r="SA79" s="46">
        <v>0</v>
      </c>
      <c r="SB79" s="46">
        <v>0</v>
      </c>
      <c r="SC79" s="46">
        <v>0</v>
      </c>
      <c r="SD79" s="46">
        <v>0</v>
      </c>
      <c r="SE79" s="46">
        <v>0</v>
      </c>
      <c r="SF79" s="46">
        <v>0</v>
      </c>
      <c r="SG79" s="46">
        <v>0</v>
      </c>
      <c r="SH79" s="46">
        <v>0</v>
      </c>
      <c r="SI79" s="46">
        <v>0</v>
      </c>
      <c r="SJ79" s="46">
        <v>0</v>
      </c>
      <c r="SK79" s="46">
        <v>0</v>
      </c>
      <c r="SL79" s="46">
        <v>0</v>
      </c>
      <c r="SM79" s="46">
        <v>0</v>
      </c>
      <c r="SN79" s="46">
        <v>0</v>
      </c>
      <c r="SO79" s="46">
        <v>0</v>
      </c>
      <c r="SP79" s="46">
        <v>0</v>
      </c>
      <c r="SQ79" s="46">
        <v>465358</v>
      </c>
      <c r="SR79" s="46">
        <v>0</v>
      </c>
      <c r="SS79" s="46">
        <v>0</v>
      </c>
      <c r="ST79" s="46">
        <v>628500</v>
      </c>
      <c r="SU79" s="46">
        <v>0</v>
      </c>
      <c r="SV79" s="46">
        <v>0</v>
      </c>
      <c r="SW79" s="46">
        <v>0</v>
      </c>
      <c r="SX79" s="46">
        <v>0</v>
      </c>
      <c r="SY79" s="46">
        <v>0</v>
      </c>
      <c r="SZ79" s="46">
        <v>0</v>
      </c>
      <c r="TA79" s="46">
        <v>628500</v>
      </c>
      <c r="TB79" s="46">
        <v>465358</v>
      </c>
      <c r="TC79" s="46">
        <v>0</v>
      </c>
      <c r="TD79" s="46">
        <v>0</v>
      </c>
      <c r="TE79" s="46">
        <v>0</v>
      </c>
      <c r="TF79" s="46">
        <v>0</v>
      </c>
      <c r="TG79" s="46">
        <v>0</v>
      </c>
      <c r="TH79" s="46">
        <v>0</v>
      </c>
      <c r="TI79" s="46">
        <v>0</v>
      </c>
      <c r="TJ79" s="46">
        <v>0</v>
      </c>
      <c r="TK79" s="46">
        <v>0</v>
      </c>
      <c r="TL79" s="46">
        <v>0</v>
      </c>
      <c r="TM79" s="46">
        <v>0</v>
      </c>
      <c r="TN79" s="46">
        <v>0</v>
      </c>
      <c r="TO79" s="46">
        <v>0</v>
      </c>
      <c r="TP79" s="46">
        <v>0</v>
      </c>
      <c r="TQ79" s="46">
        <v>0</v>
      </c>
      <c r="TR79" s="46">
        <v>0</v>
      </c>
      <c r="TS79" s="46">
        <v>0</v>
      </c>
      <c r="TT79" s="46">
        <v>0</v>
      </c>
      <c r="TU79" s="46">
        <v>0</v>
      </c>
      <c r="TV79" s="46">
        <v>0</v>
      </c>
      <c r="TW79" s="46">
        <v>0</v>
      </c>
      <c r="TX79" s="46">
        <v>0</v>
      </c>
      <c r="TY79" s="46">
        <v>0</v>
      </c>
      <c r="TZ79" s="46">
        <v>0</v>
      </c>
      <c r="UA79" s="46">
        <v>0</v>
      </c>
      <c r="UB79" s="46">
        <v>0</v>
      </c>
      <c r="UC79" s="46">
        <v>0</v>
      </c>
      <c r="UD79" s="46">
        <v>0</v>
      </c>
      <c r="UE79" s="46">
        <v>0</v>
      </c>
      <c r="UF79" s="46">
        <v>1962207</v>
      </c>
      <c r="UG79" s="46">
        <v>25501828</v>
      </c>
      <c r="UH79" s="46">
        <v>0</v>
      </c>
      <c r="UI79" s="46">
        <v>0</v>
      </c>
      <c r="UJ79" s="46">
        <v>0</v>
      </c>
      <c r="UK79" s="46">
        <v>2146193</v>
      </c>
      <c r="UL79" s="46">
        <v>0</v>
      </c>
      <c r="UM79" s="46">
        <v>0</v>
      </c>
      <c r="UN79" s="46">
        <v>0</v>
      </c>
      <c r="UO79"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1093858</v>
      </c>
      <c r="UP79" s="46">
        <f>SUM(Input[[#This Row],[Oth Exp E&amp;G]],Input[[#This Row],[Oth Exp Desg]],Input[[#This Row],[Oth Exp Aux]],Input[[#This Row],[Oth Exp R Exp]],Input[[#This Row],[Oth Exp Loan]],Input[[#This Row],[Oth Exp Annuity]],Input[[#This Row],[Oth Exp Unexp]],Input[[#This Row],[Oth Exp R of Ind]],Input[[#This Row],[Oth Exp Inv in P]])</f>
        <v>958156</v>
      </c>
      <c r="UQ79" s="46"/>
      <c r="UR79" s="46"/>
      <c r="US79" s="8" t="s">
        <v>742</v>
      </c>
      <c r="UT79" s="47">
        <v>9798459761</v>
      </c>
      <c r="UU79" s="8" t="s">
        <v>71</v>
      </c>
      <c r="UV79" s="8" t="s">
        <v>802</v>
      </c>
      <c r="UW79" s="47">
        <v>9793215529</v>
      </c>
      <c r="UX79" s="8" t="s">
        <v>803</v>
      </c>
      <c r="UY79" s="51" t="str" cm="1">
        <f t="array" ref="UY79">IFERROR(_xlfn.IFS(Input[[#This Row],[Type]]="HRI",SUMIFS('FTSE | FTFE'!$P$8:$P$77,'FTSE | FTFE'!$H$8:$H$77,A79),Input[[#This Row],[Type]]="UNIV",SUMIFS('FTSE | FTFE'!$P$104:$P$139,'FTSE | FTFE'!$H$104:$H$139,A79),OR(Input[[#This Row],[Type]]="TSTC",Input[[#This Row],[Type]]="LSC"),SUMIFS('FTSE | FTFE'!$O$88:$O$96,'FTSE | FTFE'!$H$88:$H$96,A79),Input[[#This Row],[Type]]="AHM",SUMIFS(Hidden!$H$42:$H$45,Hidden!$G$42:$G$45,A79)),"N/A")</f>
        <v>N/A</v>
      </c>
      <c r="UZ79" s="51" t="str" cm="1">
        <f t="array" ref="UZ79">IFERROR(_xlfn.IFS(Input[[#This Row],[Type]]="HRI",SUMIFS('FTSE | FTFE'!$Q$8:$Q$77,'FTSE | FTFE'!$H$8:$H$77,A79),Input[[#This Row],[Type]]="UNIV",SUMIFS('FTSE | FTFE'!$Q$104:$Q$139,'FTSE | FTFE'!$H$104:$H$139,A79),OR(Input[[#This Row],[Type]]="TSTC",Input[[#This Row],[Type]]="LSC"),SUMIFS('FTSE | FTFE'!$P$88:$P$96,'FTSE | FTFE'!$H$88:$H$96,A79)),"N/A")</f>
        <v>N/A</v>
      </c>
      <c r="VA79"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12661200</v>
      </c>
      <c r="VB79"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79" s="46">
        <f>SUM(Input[[#This Row],[Fed G&amp;C E&amp;G]],Input[[#This Row],[Fed G&amp;C Desg]],Input[[#This Row],[Fed G&amp;C R Exp]],Input[[#This Row],[Fed G&amp;C Loan]],Input[[#This Row],[Fed G&amp;C Annuity]],Input[[#This Row],[Fed G&amp;C Unexp]],Input[[#This Row],[Fed G&amp;C R of Ind]],Input[[#This Row],[Fed G&amp;C Inv in P]])</f>
        <v>3257195</v>
      </c>
      <c r="VD79"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19265317</v>
      </c>
      <c r="VE79"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79"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79" s="46">
        <f>SUM(Input[[#This Row],[Oth Inc E&amp;G]],Input[[#This Row],[Oth Exp Desg]],Input[[#This Row],[Oth Exp R Exp]],Input[[#This Row],[Oth Exp Loan]],Input[[#This Row],[Oth Exp Annuity]],Input[[#This Row],[Oth Exp Unexp]],Input[[#This Row],[Oth Exp R of Ind]],Input[[#This Row],[Oth Exp Inv in P]])</f>
        <v>958156</v>
      </c>
      <c r="VH79" s="46">
        <f>SUM(Input[[#This Row],[Instr E&amp;G]],Input[[#This Row],[Instr Desg]],Input[[#This Row],[Instr R Exp]],Input[[#This Row],[Instr Loan]],Input[[#This Row],[Instr Annuity]],Input[[#This Row],[Instr Unexp]],Input[[#This Row],[Instr R of Ind]],Input[[#This Row],[Instr Inv in P]])</f>
        <v>0</v>
      </c>
      <c r="VI79" s="46">
        <f>SUM(Input[[#This Row],[Res E&amp;G]],Input[[#This Row],[Res Desg]],Input[[#This Row],[Res R Exp]],Input[[#This Row],[Res Loan]],Input[[#This Row],[Res Annuity]],Input[[#This Row],[Res Unexp]],Input[[#This Row],[Res R of Ind]],Input[[#This Row],[Res Inv in P]])</f>
        <v>1962207</v>
      </c>
      <c r="VJ79" s="46">
        <f>SUM(Input[[#This Row],[Acad Sup E&amp;G]],Input[[#This Row],[Acad Sup Desg]],Input[[#This Row],[Acad Sup R Exp]],Input[[#This Row],[Acad Sup Loan]],Input[[#This Row],[Acad Sup Annuity]],Input[[#This Row],[Acad Sup Unexp]],Input[[#This Row],[Acad Sup R of Ind]],Input[[#This Row],[Acad Sup Inv in P]])</f>
        <v>0</v>
      </c>
      <c r="VK79" s="46">
        <f>SUM(Input[[#This Row],[Stu Svc E&amp;G]],Input[[#This Row],[Stu Svc Desg]],Input[[#This Row],[Stu Svc R Exp]],Input[[#This Row],[Stu Svc Loan]],Input[[#This Row],[Stu Svc Annuity]],Input[[#This Row],[Stu Svc Unexp]],Input[[#This Row],[Stu Svc R of Ind]],Input[[#This Row],[Stu Svc Inv in P]])</f>
        <v>0</v>
      </c>
      <c r="VL79" s="46">
        <f>SUM(Input[[#This Row],[Inst. Spt E&amp;G]],Input[[#This Row],[Inst. Spt Desg]],Input[[#This Row],[Inst. Spt R Exp]],Input[[#This Row],[Inst. Spt Loan]],Input[[#This Row],[Inst. Spt Annuity]],Input[[#This Row],[Inst. Spt Unexp]],Input[[#This Row],[Inst. Spt R of Ind]],Input[[#This Row],[Inst. Spt Inv in P]])</f>
        <v>2146193</v>
      </c>
      <c r="VM79" s="46">
        <f>SUM(Input[[#This Row],[M&amp;O Plnt E&amp;G]],Input[[#This Row],[M&amp;O Plnt Desg]],Input[[#This Row],[M&amp;O Plnt R Exp]],Input[[#This Row],[M&amp;O Plnt Loan]],Input[[#This Row],[M&amp;O Plnt Annuity]],Input[[#This Row],[M&amp;O Plnt Unexp]],Input[[#This Row],[M&amp;O Plnt R of Ind]],Input[[#This Row],[M&amp;O Plnt Inv in P]])</f>
        <v>0</v>
      </c>
      <c r="VN79"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79" s="46">
        <f>SUM(Input[[#This Row],[Cap Out fund E&amp;G]],Input[[#This Row],[Cap Out fund Desg]],Input[[#This Row],[Cap Out fund R Exp]],Input[[#This Row],[Cap Out fund Loan]],Input[[#This Row],[Cap Out fund Annuity]],Input[[#This Row],[Cap Out fund Unexp]],Input[[#This Row],[Cap Out fund R of Ind]],Input[[#This Row],[Cap Out fund Inv in P]])</f>
        <v>1093858</v>
      </c>
      <c r="VP79" s="46">
        <f>SUM(Input[[#This Row],[Oth Exp E&amp;G]],Input[[#This Row],[Oth Exp Desg]],Input[[#This Row],[Oth Exp R Exp]],Input[[#This Row],[Oth Exp Loan]],Input[[#This Row],[Oth Exp Annuity]],Input[[#This Row],[Oth Exp Unexp]],Input[[#This Row],[Oth Exp R of Ind]],Input[[#This Row],[Oth Exp Inv in P]],Input[[#This Row],[Oth Exp Inv in P]])</f>
        <v>1916312</v>
      </c>
    </row>
    <row r="80" spans="1:588" ht="30" customHeight="1" x14ac:dyDescent="0.3">
      <c r="A80" s="15" t="s">
        <v>103</v>
      </c>
      <c r="B80" s="36" t="s">
        <v>111</v>
      </c>
      <c r="C80" s="36" t="s">
        <v>119</v>
      </c>
      <c r="D80" s="36">
        <v>1108</v>
      </c>
      <c r="E80" s="36" t="s">
        <v>132</v>
      </c>
      <c r="F80" s="95" t="s">
        <v>106</v>
      </c>
      <c r="G80" s="46">
        <v>172582668</v>
      </c>
      <c r="H80" s="46">
        <v>0</v>
      </c>
      <c r="I80" s="46">
        <v>0</v>
      </c>
      <c r="J80" s="46">
        <v>0</v>
      </c>
      <c r="K80" s="46">
        <v>0</v>
      </c>
      <c r="L80" s="46">
        <v>0</v>
      </c>
      <c r="M80" s="46">
        <v>0</v>
      </c>
      <c r="N80" s="46">
        <v>0</v>
      </c>
      <c r="O80" s="46">
        <v>0</v>
      </c>
      <c r="P80" s="46">
        <v>0</v>
      </c>
      <c r="Q80" s="46">
        <v>0</v>
      </c>
      <c r="R80" s="46">
        <v>0</v>
      </c>
      <c r="S80" s="46">
        <v>0</v>
      </c>
      <c r="T80" s="46">
        <v>0</v>
      </c>
      <c r="U80" s="46">
        <v>0</v>
      </c>
      <c r="V80" s="46">
        <v>0</v>
      </c>
      <c r="W80" s="46">
        <v>0</v>
      </c>
      <c r="X80" s="46">
        <v>0</v>
      </c>
      <c r="Y80" s="46">
        <v>0</v>
      </c>
      <c r="Z80" s="46">
        <v>0</v>
      </c>
      <c r="AA80" s="46">
        <v>0</v>
      </c>
      <c r="AB80" s="46">
        <v>0</v>
      </c>
      <c r="AC80" s="46">
        <v>0</v>
      </c>
      <c r="AD80" s="46">
        <v>0</v>
      </c>
      <c r="AE80" s="46">
        <v>0</v>
      </c>
      <c r="AF80" s="46">
        <v>0</v>
      </c>
      <c r="AG80" s="46">
        <v>0</v>
      </c>
      <c r="AH80" s="46">
        <v>0</v>
      </c>
      <c r="AI80" s="46">
        <v>0</v>
      </c>
      <c r="AJ80" s="46">
        <v>0</v>
      </c>
      <c r="AK80" s="46">
        <v>0</v>
      </c>
      <c r="AL80" s="46">
        <v>0</v>
      </c>
      <c r="AM80" s="46">
        <v>0</v>
      </c>
      <c r="AN80" s="46">
        <v>0</v>
      </c>
      <c r="AO80" s="46">
        <v>0</v>
      </c>
      <c r="AP80" s="46">
        <v>0</v>
      </c>
      <c r="AQ80" s="46">
        <v>0</v>
      </c>
      <c r="AR80" s="46">
        <v>0</v>
      </c>
      <c r="AS80" s="46">
        <v>0</v>
      </c>
      <c r="AT80" s="46">
        <v>0</v>
      </c>
      <c r="AU80" s="46">
        <v>0</v>
      </c>
      <c r="AV80" s="46">
        <v>0</v>
      </c>
      <c r="AW80" s="46">
        <v>0</v>
      </c>
      <c r="AX80" s="46">
        <v>0</v>
      </c>
      <c r="AY80" s="46">
        <v>0</v>
      </c>
      <c r="AZ80" s="46">
        <v>0</v>
      </c>
      <c r="BA80" s="46">
        <v>0</v>
      </c>
      <c r="BB80" s="46">
        <v>0</v>
      </c>
      <c r="BC80" s="46">
        <v>0</v>
      </c>
      <c r="BD80" s="46">
        <v>0</v>
      </c>
      <c r="BE80" s="46">
        <v>0</v>
      </c>
      <c r="BF80" s="46">
        <v>0</v>
      </c>
      <c r="BG80" s="46">
        <v>0</v>
      </c>
      <c r="BH80" s="46">
        <v>0</v>
      </c>
      <c r="BI80" s="46">
        <v>0</v>
      </c>
      <c r="BJ80" s="46">
        <v>0</v>
      </c>
      <c r="BK80" s="46">
        <v>0</v>
      </c>
      <c r="BL80" s="46">
        <v>0</v>
      </c>
      <c r="BM80" s="46">
        <v>0</v>
      </c>
      <c r="BN80" s="46">
        <v>0</v>
      </c>
      <c r="BO80" s="46">
        <v>0</v>
      </c>
      <c r="BP80" s="46">
        <v>0</v>
      </c>
      <c r="BQ80" s="46">
        <v>0</v>
      </c>
      <c r="BR80" s="46">
        <v>0</v>
      </c>
      <c r="BS80" s="46">
        <v>0</v>
      </c>
      <c r="BT80" s="46">
        <v>0</v>
      </c>
      <c r="BU80" s="46">
        <v>0</v>
      </c>
      <c r="BV80" s="46">
        <v>0</v>
      </c>
      <c r="BW80" s="46">
        <v>0</v>
      </c>
      <c r="BX80" s="46">
        <v>0</v>
      </c>
      <c r="BY80" s="46">
        <v>0</v>
      </c>
      <c r="BZ80" s="46">
        <v>0</v>
      </c>
      <c r="CA80" s="46">
        <v>0</v>
      </c>
      <c r="CB80" s="46">
        <v>0</v>
      </c>
      <c r="CC80" s="46">
        <v>0</v>
      </c>
      <c r="CD80" s="46">
        <v>0</v>
      </c>
      <c r="CE80" s="46">
        <v>0</v>
      </c>
      <c r="CF80" s="46">
        <v>0</v>
      </c>
      <c r="CG80" s="46">
        <v>0</v>
      </c>
      <c r="CH80" s="46">
        <v>0</v>
      </c>
      <c r="CI80" s="46">
        <v>0</v>
      </c>
      <c r="CJ80" s="46">
        <v>0</v>
      </c>
      <c r="CK80" s="46">
        <v>0</v>
      </c>
      <c r="CL80" s="46">
        <v>0</v>
      </c>
      <c r="CM80" s="46">
        <v>0</v>
      </c>
      <c r="CN80" s="46">
        <v>0</v>
      </c>
      <c r="CO80" s="46">
        <v>0</v>
      </c>
      <c r="CP80" s="46">
        <v>0</v>
      </c>
      <c r="CQ80" s="46">
        <v>0</v>
      </c>
      <c r="CR80" s="46">
        <v>0</v>
      </c>
      <c r="CS80" s="46">
        <v>0</v>
      </c>
      <c r="CT80" s="46">
        <v>0</v>
      </c>
      <c r="CU80" s="46">
        <v>0</v>
      </c>
      <c r="CV80" s="46">
        <v>0</v>
      </c>
      <c r="CW80" s="46">
        <v>0</v>
      </c>
      <c r="CX80" s="46">
        <v>0</v>
      </c>
      <c r="CY80" s="46">
        <v>0</v>
      </c>
      <c r="CZ80" s="46">
        <v>0</v>
      </c>
      <c r="DA80" s="46">
        <v>0</v>
      </c>
      <c r="DB80" s="46">
        <v>0</v>
      </c>
      <c r="DC80" s="46">
        <v>0</v>
      </c>
      <c r="DD80" s="46">
        <v>0</v>
      </c>
      <c r="DE80" s="46">
        <v>0</v>
      </c>
      <c r="DF80" s="46">
        <v>0</v>
      </c>
      <c r="DG80" s="46">
        <v>0</v>
      </c>
      <c r="DH80" s="46">
        <v>0</v>
      </c>
      <c r="DI80" s="46">
        <v>0</v>
      </c>
      <c r="DJ80" s="46">
        <v>0</v>
      </c>
      <c r="DK80" s="46">
        <v>0</v>
      </c>
      <c r="DL80" s="46">
        <v>0</v>
      </c>
      <c r="DM80" s="46">
        <v>0</v>
      </c>
      <c r="DN80" s="46">
        <v>0</v>
      </c>
      <c r="DO80" s="46">
        <v>0</v>
      </c>
      <c r="DP80" s="46">
        <v>0</v>
      </c>
      <c r="DQ80" s="46">
        <v>0</v>
      </c>
      <c r="DR80" s="46">
        <v>0</v>
      </c>
      <c r="DS80" s="46">
        <v>0</v>
      </c>
      <c r="DT80" s="46">
        <v>0</v>
      </c>
      <c r="DU80" s="46">
        <v>0</v>
      </c>
      <c r="DV80" s="46">
        <v>0</v>
      </c>
      <c r="DW80" s="46">
        <v>0</v>
      </c>
      <c r="DX80" s="46">
        <v>0</v>
      </c>
      <c r="DY80" s="46">
        <v>0</v>
      </c>
      <c r="DZ80" s="46">
        <v>0</v>
      </c>
      <c r="EA80" s="46">
        <v>0</v>
      </c>
      <c r="EB80" s="46">
        <v>0</v>
      </c>
      <c r="EC80" s="46">
        <v>0</v>
      </c>
      <c r="ED80" s="46">
        <v>0</v>
      </c>
      <c r="EE80" s="46">
        <v>0</v>
      </c>
      <c r="EF80" s="46">
        <v>0</v>
      </c>
      <c r="EG80" s="46">
        <v>0</v>
      </c>
      <c r="EH80" s="46">
        <v>0</v>
      </c>
      <c r="EI80" s="46">
        <v>0</v>
      </c>
      <c r="EJ80" s="46">
        <v>0</v>
      </c>
      <c r="EK80" s="46">
        <v>0</v>
      </c>
      <c r="EL80" s="46">
        <v>0</v>
      </c>
      <c r="EM80" s="46">
        <v>0</v>
      </c>
      <c r="EN80" s="46">
        <v>0</v>
      </c>
      <c r="EO80" s="46">
        <v>0</v>
      </c>
      <c r="EP80" s="46">
        <v>0</v>
      </c>
      <c r="EQ80" s="46">
        <v>0</v>
      </c>
      <c r="ER80" s="46">
        <v>0</v>
      </c>
      <c r="ES80" s="46">
        <v>0</v>
      </c>
      <c r="ET80" s="46">
        <v>0</v>
      </c>
      <c r="EU80" s="46">
        <v>0</v>
      </c>
      <c r="EV80" s="46">
        <v>0</v>
      </c>
      <c r="EW80" s="46">
        <v>0</v>
      </c>
      <c r="EX80" s="46">
        <v>0</v>
      </c>
      <c r="EY80" s="46">
        <v>0</v>
      </c>
      <c r="EZ80" s="46">
        <v>0</v>
      </c>
      <c r="FA80" s="46">
        <v>0</v>
      </c>
      <c r="FB80" s="46">
        <v>0</v>
      </c>
      <c r="FC80" s="46">
        <v>0</v>
      </c>
      <c r="FD80" s="46">
        <v>0</v>
      </c>
      <c r="FE80" s="46">
        <v>0</v>
      </c>
      <c r="FF80" s="46">
        <v>0</v>
      </c>
      <c r="FG80" s="46">
        <v>0</v>
      </c>
      <c r="FH80" s="46">
        <v>0</v>
      </c>
      <c r="FI80" s="46">
        <v>0</v>
      </c>
      <c r="FJ80" s="46">
        <v>0</v>
      </c>
      <c r="FK80" s="46">
        <v>0</v>
      </c>
      <c r="FL80" s="46">
        <v>0</v>
      </c>
      <c r="FM80" s="46">
        <v>0</v>
      </c>
      <c r="FN80" s="46">
        <v>0</v>
      </c>
      <c r="FO80" s="46">
        <v>0</v>
      </c>
      <c r="FP80" s="46">
        <v>0</v>
      </c>
      <c r="FQ80" s="46">
        <v>0</v>
      </c>
      <c r="FR80" s="46">
        <v>0</v>
      </c>
      <c r="FS80" s="46">
        <v>0</v>
      </c>
      <c r="FT80" s="46">
        <v>0</v>
      </c>
      <c r="FU80" s="46">
        <v>0</v>
      </c>
      <c r="FV80" s="46">
        <v>0</v>
      </c>
      <c r="FW80" s="46">
        <v>0</v>
      </c>
      <c r="FX80" s="46">
        <v>0</v>
      </c>
      <c r="FY80" s="46">
        <v>0</v>
      </c>
      <c r="FZ80" s="46">
        <v>0</v>
      </c>
      <c r="GA80" s="46">
        <v>0</v>
      </c>
      <c r="GB80" s="46">
        <v>0</v>
      </c>
      <c r="GC80" s="46">
        <v>0</v>
      </c>
      <c r="GD80" s="46">
        <v>0</v>
      </c>
      <c r="GE80" s="46">
        <v>0</v>
      </c>
      <c r="GF80" s="46">
        <v>0</v>
      </c>
      <c r="GG80" s="46">
        <v>0</v>
      </c>
      <c r="GH80" s="46">
        <v>0</v>
      </c>
      <c r="GI80" s="46">
        <v>0</v>
      </c>
      <c r="GJ80" s="46">
        <v>0</v>
      </c>
      <c r="GK80" s="46">
        <v>0</v>
      </c>
      <c r="GL80" s="46">
        <v>0</v>
      </c>
      <c r="GM80" s="46">
        <v>0</v>
      </c>
      <c r="GN80" s="46">
        <v>0</v>
      </c>
      <c r="GO80" s="46">
        <v>0</v>
      </c>
      <c r="GP80" s="46">
        <v>0</v>
      </c>
      <c r="GQ80" s="46">
        <v>0</v>
      </c>
      <c r="GR80" s="46">
        <v>0</v>
      </c>
      <c r="GS80" s="46">
        <v>0</v>
      </c>
      <c r="GT80" s="46">
        <v>0</v>
      </c>
      <c r="GU80" s="46">
        <v>0</v>
      </c>
      <c r="GV80" s="46">
        <v>0</v>
      </c>
      <c r="GW80" s="46">
        <v>0</v>
      </c>
      <c r="GX80" s="46">
        <v>0</v>
      </c>
      <c r="GY80" s="46">
        <v>0</v>
      </c>
      <c r="GZ80" s="46">
        <v>0</v>
      </c>
      <c r="HA80" s="46">
        <v>0</v>
      </c>
      <c r="HB80" s="46">
        <v>0</v>
      </c>
      <c r="HC80" s="46">
        <v>0</v>
      </c>
      <c r="HD80" s="46">
        <v>0</v>
      </c>
      <c r="HE80" s="46">
        <v>0</v>
      </c>
      <c r="HF80" s="46">
        <v>0</v>
      </c>
      <c r="HG80" s="46">
        <v>0</v>
      </c>
      <c r="HH80" s="46">
        <v>0</v>
      </c>
      <c r="HI80" s="46">
        <v>0</v>
      </c>
      <c r="HJ80" s="46">
        <v>0</v>
      </c>
      <c r="HK80" s="46">
        <v>0</v>
      </c>
      <c r="HL80" s="46">
        <v>0</v>
      </c>
      <c r="HM80" s="46">
        <v>0</v>
      </c>
      <c r="HN80" s="46">
        <v>0</v>
      </c>
      <c r="HO80" s="46">
        <v>0</v>
      </c>
      <c r="HP80" s="46">
        <v>28657999</v>
      </c>
      <c r="HQ80" s="46">
        <v>0</v>
      </c>
      <c r="HR80" s="46">
        <v>1187467063</v>
      </c>
      <c r="HS80" s="46">
        <v>0</v>
      </c>
      <c r="HT80" s="46">
        <v>0</v>
      </c>
      <c r="HU80" s="46">
        <v>0</v>
      </c>
      <c r="HV80" s="46">
        <v>0</v>
      </c>
      <c r="HW80" s="46">
        <v>0</v>
      </c>
      <c r="HX80" s="46">
        <v>0</v>
      </c>
      <c r="HY80" s="46">
        <v>0</v>
      </c>
      <c r="HZ80" s="46">
        <v>0</v>
      </c>
      <c r="IA80" s="46">
        <v>0</v>
      </c>
      <c r="IB80" s="46">
        <v>0</v>
      </c>
      <c r="IC80" s="46">
        <v>0</v>
      </c>
      <c r="ID80" s="46">
        <v>0</v>
      </c>
      <c r="IE80" s="46">
        <v>0</v>
      </c>
      <c r="IF80" s="46">
        <v>0</v>
      </c>
      <c r="IG80" s="46">
        <v>0</v>
      </c>
      <c r="IH80" s="46">
        <v>0</v>
      </c>
      <c r="II80" s="46">
        <v>0</v>
      </c>
      <c r="IJ80" s="46">
        <v>0</v>
      </c>
      <c r="IK80" s="46">
        <v>0</v>
      </c>
      <c r="IL80" s="46">
        <v>0</v>
      </c>
      <c r="IM80" s="46">
        <v>0</v>
      </c>
      <c r="IN80" s="46">
        <v>0</v>
      </c>
      <c r="IO80" s="46">
        <v>0</v>
      </c>
      <c r="IP80" s="46">
        <v>0</v>
      </c>
      <c r="IQ80" s="46">
        <v>3163726</v>
      </c>
      <c r="IR80" s="46">
        <v>0</v>
      </c>
      <c r="IS80" s="46">
        <v>0</v>
      </c>
      <c r="IT80" s="46">
        <v>0</v>
      </c>
      <c r="IU80" s="46">
        <v>0</v>
      </c>
      <c r="IV80" s="46">
        <v>0</v>
      </c>
      <c r="IW80" s="46">
        <v>0</v>
      </c>
      <c r="IX80" s="46">
        <v>0</v>
      </c>
      <c r="IY80" s="46">
        <v>301790840</v>
      </c>
      <c r="IZ80" s="46">
        <v>0</v>
      </c>
      <c r="JA80" s="46">
        <v>0</v>
      </c>
      <c r="JB80" s="46">
        <v>0</v>
      </c>
      <c r="JC80" s="46">
        <v>0</v>
      </c>
      <c r="JD80" s="46">
        <v>0</v>
      </c>
      <c r="JE80" s="46">
        <v>0</v>
      </c>
      <c r="JF80" s="46">
        <v>0</v>
      </c>
      <c r="JG80" s="46">
        <v>0</v>
      </c>
      <c r="JH80" s="46">
        <v>0</v>
      </c>
      <c r="JI80" s="46">
        <v>0</v>
      </c>
      <c r="JJ80" s="46">
        <v>0</v>
      </c>
      <c r="JK80" s="46">
        <v>0</v>
      </c>
      <c r="JL80" s="46">
        <v>0</v>
      </c>
      <c r="JM80" s="46">
        <v>0</v>
      </c>
      <c r="JN80" s="46">
        <v>0</v>
      </c>
      <c r="JO80" s="46">
        <v>0</v>
      </c>
      <c r="JP80" s="46">
        <v>0</v>
      </c>
      <c r="JQ80" s="46">
        <v>0</v>
      </c>
      <c r="JR80" s="46">
        <v>1906796</v>
      </c>
      <c r="JS80" s="46">
        <v>0</v>
      </c>
      <c r="JT80" s="46">
        <v>175</v>
      </c>
      <c r="JU80" s="46">
        <v>0</v>
      </c>
      <c r="JV80" s="46">
        <v>0</v>
      </c>
      <c r="JW80" s="46">
        <v>0</v>
      </c>
      <c r="JX80" s="46">
        <v>0</v>
      </c>
      <c r="JY80" s="46">
        <v>0</v>
      </c>
      <c r="JZ80" s="46">
        <v>0</v>
      </c>
      <c r="KA80" s="46">
        <v>0</v>
      </c>
      <c r="KB80" s="46">
        <v>0</v>
      </c>
      <c r="KC80" s="46">
        <v>0</v>
      </c>
      <c r="KD80" s="46">
        <v>0</v>
      </c>
      <c r="KE80" s="46">
        <v>0</v>
      </c>
      <c r="KF80" s="46">
        <v>0</v>
      </c>
      <c r="KG80" s="46">
        <v>0</v>
      </c>
      <c r="KH80" s="46">
        <v>0</v>
      </c>
      <c r="KI80" s="46">
        <v>11216240</v>
      </c>
      <c r="KJ80" s="46">
        <v>291968</v>
      </c>
      <c r="KK80" s="46">
        <v>0</v>
      </c>
      <c r="KL80" s="46">
        <v>0</v>
      </c>
      <c r="KM80" s="46">
        <v>0</v>
      </c>
      <c r="KN80" s="46">
        <v>0</v>
      </c>
      <c r="KO80" s="46">
        <v>0</v>
      </c>
      <c r="KP80" s="46">
        <v>0</v>
      </c>
      <c r="KQ80" s="46">
        <v>-26101</v>
      </c>
      <c r="KR80" s="46">
        <v>0</v>
      </c>
      <c r="KS80" s="46">
        <v>0</v>
      </c>
      <c r="KT80" s="46">
        <v>0</v>
      </c>
      <c r="KU80" s="46">
        <v>0</v>
      </c>
      <c r="KV80" s="46">
        <v>0</v>
      </c>
      <c r="KW80" s="46">
        <v>0</v>
      </c>
      <c r="KX80" s="46">
        <v>0</v>
      </c>
      <c r="KY80" s="46">
        <v>0</v>
      </c>
      <c r="KZ80" s="46">
        <v>0</v>
      </c>
      <c r="LA80" s="46">
        <v>0</v>
      </c>
      <c r="LB80" s="46">
        <v>0</v>
      </c>
      <c r="LC80" s="46">
        <v>0</v>
      </c>
      <c r="LD80" s="46">
        <v>0</v>
      </c>
      <c r="LE80" s="46">
        <v>0</v>
      </c>
      <c r="LF80" s="46">
        <v>0</v>
      </c>
      <c r="LG80" s="46">
        <v>0</v>
      </c>
      <c r="LH80" s="46">
        <v>0</v>
      </c>
      <c r="LI80" s="46">
        <v>0</v>
      </c>
      <c r="LJ80" s="46">
        <v>373093574</v>
      </c>
      <c r="LK80" s="46">
        <v>6061317</v>
      </c>
      <c r="LL80" s="46">
        <v>0</v>
      </c>
      <c r="LM80" s="46">
        <v>1020999980</v>
      </c>
      <c r="LN80" s="46">
        <v>0</v>
      </c>
      <c r="LO80" s="46">
        <v>0</v>
      </c>
      <c r="LP80" s="46">
        <v>42368</v>
      </c>
      <c r="LQ80" s="46">
        <v>0</v>
      </c>
      <c r="LR80" s="46">
        <v>0</v>
      </c>
      <c r="LS80" s="46">
        <v>0</v>
      </c>
      <c r="LT80" s="46">
        <v>0</v>
      </c>
      <c r="LU80" s="46">
        <v>0</v>
      </c>
      <c r="LV80" s="46">
        <v>0</v>
      </c>
      <c r="LW80" s="46">
        <v>0</v>
      </c>
      <c r="LX80" s="46">
        <v>0</v>
      </c>
      <c r="LY80" s="46">
        <v>0</v>
      </c>
      <c r="LZ80" s="46">
        <v>0</v>
      </c>
      <c r="MA80" s="46">
        <v>0</v>
      </c>
      <c r="MB80" s="46">
        <v>0</v>
      </c>
      <c r="MC80" s="46">
        <v>0</v>
      </c>
      <c r="MD80" s="46">
        <v>0</v>
      </c>
      <c r="ME80" s="46">
        <v>0</v>
      </c>
      <c r="MF80" s="46">
        <v>0</v>
      </c>
      <c r="MG80" s="46">
        <v>0</v>
      </c>
      <c r="MH80" s="46">
        <v>0</v>
      </c>
      <c r="MI80" s="46">
        <v>0</v>
      </c>
      <c r="MJ80" s="46">
        <v>0</v>
      </c>
      <c r="MK80" s="46">
        <v>0</v>
      </c>
      <c r="ML80" s="46">
        <v>0</v>
      </c>
      <c r="MM80" s="46">
        <v>0</v>
      </c>
      <c r="MN80" s="46">
        <v>0</v>
      </c>
      <c r="MO80" s="46">
        <v>0</v>
      </c>
      <c r="MP80" s="46">
        <v>0</v>
      </c>
      <c r="MQ80" s="46">
        <v>0</v>
      </c>
      <c r="MR80" s="46">
        <v>0</v>
      </c>
      <c r="MS80" s="46">
        <v>0</v>
      </c>
      <c r="MT80" s="46">
        <v>0</v>
      </c>
      <c r="MU80" s="46">
        <v>0</v>
      </c>
      <c r="MV80" s="46">
        <v>0</v>
      </c>
      <c r="MW80" s="46">
        <v>0</v>
      </c>
      <c r="MX80" s="46">
        <v>0</v>
      </c>
      <c r="MY80" s="46">
        <v>0</v>
      </c>
      <c r="MZ80" s="46">
        <v>0</v>
      </c>
      <c r="NA80" s="46">
        <v>0</v>
      </c>
      <c r="NB80" s="46">
        <v>0</v>
      </c>
      <c r="NC80" s="46">
        <v>0</v>
      </c>
      <c r="ND80" s="46">
        <v>0</v>
      </c>
      <c r="NE80" s="46">
        <v>0</v>
      </c>
      <c r="NF80" s="46">
        <v>0</v>
      </c>
      <c r="NG80" s="46">
        <v>0</v>
      </c>
      <c r="NH80" s="46">
        <v>0</v>
      </c>
      <c r="NI80" s="46">
        <v>0</v>
      </c>
      <c r="NJ80" s="46">
        <v>0</v>
      </c>
      <c r="NK80" s="46">
        <v>0</v>
      </c>
      <c r="NL80" s="46">
        <v>0</v>
      </c>
      <c r="NM80" s="46">
        <v>0</v>
      </c>
      <c r="NN80" s="46">
        <v>0</v>
      </c>
      <c r="NO80" s="46">
        <v>0</v>
      </c>
      <c r="NP80" s="46">
        <v>0</v>
      </c>
      <c r="NQ80" s="46">
        <v>0</v>
      </c>
      <c r="NR80" s="46">
        <v>0</v>
      </c>
      <c r="NS80" s="46">
        <v>0</v>
      </c>
      <c r="NT80" s="46">
        <v>0</v>
      </c>
      <c r="NU80" s="46">
        <v>0</v>
      </c>
      <c r="NV80" s="46">
        <v>0</v>
      </c>
      <c r="NW80" s="46">
        <v>0</v>
      </c>
      <c r="NX80" s="46">
        <v>0</v>
      </c>
      <c r="NY80" s="46">
        <v>0</v>
      </c>
      <c r="NZ80" s="46">
        <v>0</v>
      </c>
      <c r="OA80" s="46">
        <v>0</v>
      </c>
      <c r="OB80" s="46">
        <v>0</v>
      </c>
      <c r="OC80" s="46">
        <v>0</v>
      </c>
      <c r="OD80" s="46">
        <v>5168229</v>
      </c>
      <c r="OE80" s="46">
        <v>0</v>
      </c>
      <c r="OF80" s="46">
        <v>0</v>
      </c>
      <c r="OG80" s="46">
        <v>435335</v>
      </c>
      <c r="OH80" s="46">
        <v>0</v>
      </c>
      <c r="OI80" s="46">
        <v>0</v>
      </c>
      <c r="OJ80" s="46">
        <v>0</v>
      </c>
      <c r="OK80" s="46">
        <v>0</v>
      </c>
      <c r="OL80" s="46">
        <v>0</v>
      </c>
      <c r="OM80" s="46">
        <v>75596</v>
      </c>
      <c r="ON80" s="46">
        <v>0</v>
      </c>
      <c r="OO80" s="46">
        <v>0</v>
      </c>
      <c r="OP80" s="46">
        <v>10336</v>
      </c>
      <c r="OQ80" s="46">
        <v>0</v>
      </c>
      <c r="OR80" s="46">
        <v>0</v>
      </c>
      <c r="OS80" s="46">
        <v>0</v>
      </c>
      <c r="OT80" s="46">
        <v>0</v>
      </c>
      <c r="OU80" s="46">
        <v>0</v>
      </c>
      <c r="OV80" s="46">
        <v>0</v>
      </c>
      <c r="OW80" s="46">
        <v>0</v>
      </c>
      <c r="OX80" s="46">
        <v>0</v>
      </c>
      <c r="OY80" s="46">
        <v>0</v>
      </c>
      <c r="OZ80" s="46">
        <v>0</v>
      </c>
      <c r="PA80" s="46">
        <v>0</v>
      </c>
      <c r="PB80" s="46">
        <v>163082092</v>
      </c>
      <c r="PC80" s="46">
        <v>0</v>
      </c>
      <c r="PD80" s="46">
        <v>0</v>
      </c>
      <c r="PE80" s="46">
        <v>609362</v>
      </c>
      <c r="PF80" s="46">
        <v>-2951093</v>
      </c>
      <c r="PG80" s="46">
        <v>0</v>
      </c>
      <c r="PH80" s="46">
        <v>-166058455</v>
      </c>
      <c r="PI80" s="46">
        <v>0</v>
      </c>
      <c r="PJ80" s="46">
        <v>0</v>
      </c>
      <c r="PK80" s="46">
        <v>167519396</v>
      </c>
      <c r="PL80" s="46">
        <v>0</v>
      </c>
      <c r="PM80" s="46">
        <v>0</v>
      </c>
      <c r="PN80" s="46">
        <v>0</v>
      </c>
      <c r="PO80" s="46">
        <v>0</v>
      </c>
      <c r="PP80" s="46">
        <v>0</v>
      </c>
      <c r="PQ80" s="46">
        <v>0</v>
      </c>
      <c r="PR80" s="46">
        <v>0</v>
      </c>
      <c r="PS80" s="46">
        <v>0</v>
      </c>
      <c r="PT80" s="46">
        <v>0</v>
      </c>
      <c r="PU80" s="46">
        <v>0</v>
      </c>
      <c r="PV80" s="46">
        <v>0</v>
      </c>
      <c r="PW80" s="46">
        <v>0</v>
      </c>
      <c r="PX80" s="46">
        <v>0</v>
      </c>
      <c r="PY80" s="46">
        <v>0</v>
      </c>
      <c r="PZ80" s="46">
        <v>0</v>
      </c>
      <c r="QA80" s="46">
        <v>0</v>
      </c>
      <c r="QB80" s="46">
        <v>0</v>
      </c>
      <c r="QC80" s="46">
        <v>0</v>
      </c>
      <c r="QD80" s="46">
        <v>0</v>
      </c>
      <c r="QE80" s="46">
        <v>0</v>
      </c>
      <c r="QF80" s="46">
        <v>0</v>
      </c>
      <c r="QG80" s="46">
        <v>0</v>
      </c>
      <c r="QH80" s="46">
        <v>0</v>
      </c>
      <c r="QI80" s="46">
        <v>0</v>
      </c>
      <c r="QJ80" s="46">
        <v>0</v>
      </c>
      <c r="QK80" s="46">
        <v>0</v>
      </c>
      <c r="QL80" s="46">
        <v>0</v>
      </c>
      <c r="QM80" s="46">
        <v>0</v>
      </c>
      <c r="QN80" s="46">
        <v>0</v>
      </c>
      <c r="QO80" s="46">
        <v>0</v>
      </c>
      <c r="QP80" s="46">
        <v>0</v>
      </c>
      <c r="QQ80" s="46">
        <v>0</v>
      </c>
      <c r="QR80" s="46">
        <v>0</v>
      </c>
      <c r="QS80" s="46">
        <v>0</v>
      </c>
      <c r="QT80" s="46">
        <v>0</v>
      </c>
      <c r="QU80" s="46">
        <v>0</v>
      </c>
      <c r="QV80" s="46">
        <v>0</v>
      </c>
      <c r="QW80" s="46">
        <v>0</v>
      </c>
      <c r="QX80" s="46">
        <v>0</v>
      </c>
      <c r="QY80" s="46">
        <v>0</v>
      </c>
      <c r="QZ80" s="46">
        <v>0</v>
      </c>
      <c r="RA80" s="46">
        <v>0</v>
      </c>
      <c r="RB80" s="46">
        <v>0</v>
      </c>
      <c r="RC80" s="46">
        <v>0</v>
      </c>
      <c r="RD80" s="46">
        <v>0</v>
      </c>
      <c r="RE80" s="46">
        <v>0</v>
      </c>
      <c r="RF80" s="46">
        <v>0</v>
      </c>
      <c r="RG80" s="46">
        <v>0</v>
      </c>
      <c r="RH80" s="46">
        <v>0</v>
      </c>
      <c r="RI80" s="46">
        <v>0</v>
      </c>
      <c r="RJ80" s="46">
        <v>0</v>
      </c>
      <c r="RK80" s="46">
        <v>0</v>
      </c>
      <c r="RL80" s="46">
        <v>0</v>
      </c>
      <c r="RM80" s="46">
        <v>0</v>
      </c>
      <c r="RN80" s="46">
        <v>0</v>
      </c>
      <c r="RO80" s="46">
        <v>-9559817</v>
      </c>
      <c r="RP80" s="46">
        <v>0</v>
      </c>
      <c r="RQ80" s="46">
        <v>0</v>
      </c>
      <c r="RR80" s="46">
        <v>0</v>
      </c>
      <c r="RS80" s="46">
        <v>0</v>
      </c>
      <c r="RT80" s="46">
        <v>0</v>
      </c>
      <c r="RU80" s="46">
        <v>0</v>
      </c>
      <c r="RV80" s="46">
        <v>0</v>
      </c>
      <c r="RW80" s="46">
        <v>0</v>
      </c>
      <c r="RX80" s="46">
        <v>0</v>
      </c>
      <c r="RY80" s="46">
        <v>0</v>
      </c>
      <c r="RZ80" s="46">
        <v>0</v>
      </c>
      <c r="SA80" s="46">
        <v>0</v>
      </c>
      <c r="SB80" s="46">
        <v>0</v>
      </c>
      <c r="SC80" s="46">
        <v>0</v>
      </c>
      <c r="SD80" s="46">
        <v>0</v>
      </c>
      <c r="SE80" s="46">
        <v>0</v>
      </c>
      <c r="SF80" s="46">
        <v>0</v>
      </c>
      <c r="SG80" s="46">
        <v>0</v>
      </c>
      <c r="SH80" s="46">
        <v>0</v>
      </c>
      <c r="SI80" s="46">
        <v>0</v>
      </c>
      <c r="SJ80" s="46">
        <v>0</v>
      </c>
      <c r="SK80" s="46">
        <v>0</v>
      </c>
      <c r="SL80" s="46">
        <v>0</v>
      </c>
      <c r="SM80" s="46">
        <v>0</v>
      </c>
      <c r="SN80" s="46">
        <v>0</v>
      </c>
      <c r="SO80" s="46">
        <v>0</v>
      </c>
      <c r="SP80" s="46">
        <v>6240</v>
      </c>
      <c r="SQ80" s="46">
        <v>5168229</v>
      </c>
      <c r="SR80" s="46">
        <v>0</v>
      </c>
      <c r="SS80" s="46">
        <v>0</v>
      </c>
      <c r="ST80" s="46">
        <v>435335</v>
      </c>
      <c r="SU80" s="46">
        <v>0</v>
      </c>
      <c r="SV80" s="46">
        <v>0</v>
      </c>
      <c r="SW80" s="46">
        <v>-163082092</v>
      </c>
      <c r="SX80" s="46">
        <v>0</v>
      </c>
      <c r="SY80" s="46">
        <v>0</v>
      </c>
      <c r="SZ80" s="46">
        <v>0</v>
      </c>
      <c r="TA80" s="46">
        <v>0</v>
      </c>
      <c r="TB80" s="46">
        <v>5603564</v>
      </c>
      <c r="TC80" s="46">
        <v>0</v>
      </c>
      <c r="TD80" s="46">
        <v>0</v>
      </c>
      <c r="TE80" s="46">
        <v>0</v>
      </c>
      <c r="TF80" s="46">
        <v>0</v>
      </c>
      <c r="TG80" s="46">
        <v>0</v>
      </c>
      <c r="TH80" s="46">
        <v>0</v>
      </c>
      <c r="TI80" s="46">
        <v>0</v>
      </c>
      <c r="TJ80" s="46">
        <v>0</v>
      </c>
      <c r="TK80" s="46">
        <v>0</v>
      </c>
      <c r="TL80" s="46">
        <v>0</v>
      </c>
      <c r="TM80" s="46">
        <v>265566780</v>
      </c>
      <c r="TN80" s="46">
        <v>0</v>
      </c>
      <c r="TO80" s="46">
        <v>0</v>
      </c>
      <c r="TP80" s="46">
        <v>0</v>
      </c>
      <c r="TQ80" s="46">
        <v>0</v>
      </c>
      <c r="TR80" s="46">
        <v>0</v>
      </c>
      <c r="TS80" s="46">
        <v>0</v>
      </c>
      <c r="TT80" s="46">
        <v>0</v>
      </c>
      <c r="TU80" s="46">
        <v>0</v>
      </c>
      <c r="TV80" s="46">
        <v>10289037</v>
      </c>
      <c r="TW80" s="46">
        <v>0</v>
      </c>
      <c r="TX80" s="46">
        <v>0</v>
      </c>
      <c r="TY80" s="46">
        <v>0</v>
      </c>
      <c r="TZ80" s="46">
        <v>0</v>
      </c>
      <c r="UA80" s="46">
        <v>0</v>
      </c>
      <c r="UB80" s="46">
        <v>0</v>
      </c>
      <c r="UC80" s="46">
        <v>0</v>
      </c>
      <c r="UD80" s="46">
        <v>0</v>
      </c>
      <c r="UE80" s="46">
        <v>0</v>
      </c>
      <c r="UF80" s="46">
        <v>0</v>
      </c>
      <c r="UG80" s="46">
        <v>1400197239</v>
      </c>
      <c r="UH80" s="46">
        <v>0</v>
      </c>
      <c r="UI80" s="46">
        <v>0</v>
      </c>
      <c r="UJ80" s="46">
        <v>0</v>
      </c>
      <c r="UK80" s="46">
        <v>0</v>
      </c>
      <c r="UL80" s="46">
        <v>0</v>
      </c>
      <c r="UM80" s="46">
        <v>0</v>
      </c>
      <c r="UN80" s="46">
        <v>0</v>
      </c>
      <c r="UO80" s="46">
        <f>SUM(Input[[#This Row],[Cap Out fund E&amp;G]],Input[[#This Row],[Cap Out fund Desg]],Input[[#This Row],[Cap Out fund Aux]],Input[[#This Row],[Cap Out fund R Exp]],Input[[#This Row],[Cap Out fund Loan]],Input[[#This Row],[Cap Out fund Annuity]],Input[[#This Row],[Cap Out fund Unexp]],Input[[#This Row],[Cap Out fund R of Ind]],Input[[#This Row],[Cap Out fund Inv in P]])</f>
        <v>5603564</v>
      </c>
      <c r="UP80" s="46">
        <f>SUM(Input[[#This Row],[Oth Exp E&amp;G]],Input[[#This Row],[Oth Exp Desg]],Input[[#This Row],[Oth Exp Aux]],Input[[#This Row],[Oth Exp R Exp]],Input[[#This Row],[Oth Exp Loan]],Input[[#This Row],[Oth Exp Annuity]],Input[[#This Row],[Oth Exp Unexp]],Input[[#This Row],[Oth Exp R of Ind]],Input[[#This Row],[Oth Exp Inv in P]])</f>
        <v>85932</v>
      </c>
      <c r="UQ80" s="46"/>
      <c r="UR80" s="46"/>
      <c r="US80" s="8" t="s">
        <v>742</v>
      </c>
      <c r="UT80" s="47">
        <v>9798459761</v>
      </c>
      <c r="UU80" s="8" t="s">
        <v>71</v>
      </c>
      <c r="UV80" s="8" t="s">
        <v>804</v>
      </c>
      <c r="UW80" s="47">
        <v>9792202822</v>
      </c>
      <c r="UX80" s="8" t="s">
        <v>968</v>
      </c>
      <c r="UY80" s="51" t="str" cm="1">
        <f t="array" ref="UY80">IFERROR(_xlfn.IFS(Input[[#This Row],[Type]]="HRI",SUMIFS('FTSE | FTFE'!$P$8:$P$77,'FTSE | FTFE'!$H$8:$H$77,A80),Input[[#This Row],[Type]]="UNIV",SUMIFS('FTSE | FTFE'!$P$104:$P$139,'FTSE | FTFE'!$H$104:$H$139,A80),OR(Input[[#This Row],[Type]]="TSTC",Input[[#This Row],[Type]]="LSC"),SUMIFS('FTSE | FTFE'!$O$88:$O$96,'FTSE | FTFE'!$H$88:$H$96,A80),Input[[#This Row],[Type]]="AHM",SUMIFS(Hidden!$H$42:$H$45,Hidden!$G$42:$G$45,A80)),"N/A")</f>
        <v>N/A</v>
      </c>
      <c r="UZ80" s="51" t="str" cm="1">
        <f t="array" ref="UZ80">IFERROR(_xlfn.IFS(Input[[#This Row],[Type]]="HRI",SUMIFS('FTSE | FTFE'!$Q$8:$Q$77,'FTSE | FTFE'!$H$8:$H$77,A80),Input[[#This Row],[Type]]="UNIV",SUMIFS('FTSE | FTFE'!$Q$104:$Q$139,'FTSE | FTFE'!$H$104:$H$139,A80),OR(Input[[#This Row],[Type]]="TSTC",Input[[#This Row],[Type]]="LSC"),SUMIFS('FTSE | FTFE'!$P$88:$P$96,'FTSE | FTFE'!$H$88:$H$96,A80)),"N/A")</f>
        <v>N/A</v>
      </c>
      <c r="VA80" s="46">
        <f>SUM(Input[[#This Row],[St. Ap. E &amp; G]],Input[[#This Row],[St. Ap. Desg]],Input[[#This Row],[St. Ap. R Exp]],Input[[#This Row],[St. Ap. Loan]],Input[[#This Row],[St. Ap. Annuity]],Input[[#This Row],[St. Ap. Unexp]],Input[[#This Row],[St. Ap. R of Ind]],Input[[#This Row],[St. Ap. Inv in P]],
Input[[#This Row],[St. C&amp;G E&amp;G]],Input[[#This Row],[St. C&amp;G Desg]],Input[[#This Row],[St. C&amp;G R Exp]],Input[[#This Row],[St. C&amp;G Loan]],Input[[#This Row],[St. C&amp;G Annuity]],Input[[#This Row],[St. C&amp;G Unexp]],Input[[#This Row],[St. C&amp;G R of Ind]],Input[[#This Row],[St. C&amp;G Inv in P]])</f>
        <v>172582668</v>
      </c>
      <c r="VB80" s="46">
        <f>SUM(Input[[#This Row],[HEF E&amp;G]],Input[[#This Row],[HEF Desg]],Input[[#This Row],[HEF R Exp]],Input[[#This Row],[HEF Loan]],Input[[#This Row],[HEF Annuity]],Input[[#This Row],[HEF Unexp]],Input[[#This Row],[HEF R of Ind]],Input[[#This Row],[HEF Inv in P]],
Input[[#This Row],[Available E&amp;G]],Input[[#This Row],[Available Desg]],Input[[#This Row],[Available R Exp]],Input[[#This Row],[Available Loan]],Input[[#This Row],[Available Annuity]],Input[[#This Row],[Available Unexp]],Input[[#This Row],[Available R of Ind]],Input[[#This Row],[Available Inv in P]])</f>
        <v>0</v>
      </c>
      <c r="VC80" s="46">
        <f>SUM(Input[[#This Row],[Fed G&amp;C E&amp;G]],Input[[#This Row],[Fed G&amp;C Desg]],Input[[#This Row],[Fed G&amp;C R Exp]],Input[[#This Row],[Fed G&amp;C Loan]],Input[[#This Row],[Fed G&amp;C Annuity]],Input[[#This Row],[Fed G&amp;C Unexp]],Input[[#This Row],[Fed G&amp;C R of Ind]],Input[[#This Row],[Fed G&amp;C Inv in P]])</f>
        <v>1216125062</v>
      </c>
      <c r="VD80" s="46">
        <f>SUM(
Input[[#This Row],[End &amp; Int Inc E&amp;G]],Input[[#This Row],[End &amp; Int Inc Desg]],Input[[#This Row],[End &amp; Int Inc R Exp]],Input[[#This Row],[End &amp; Int Inc Loan]],Input[[#This Row],[End &amp; Int Inc Annuity]],Input[[#This Row],[End &amp; Int Inc Unexp]],Input[[#This Row],[End &amp; Int Inc R of Ind]],Input[[#This Row],[End &amp; Int Inc Inv in P]],
Input[[#This Row],[Loc Gov G E&amp;G]],Input[[#This Row],[Loc Gov G Desg]],Input[[#This Row],[Loc Gov G R Exp]],Input[[#This Row],[Loc Gov G Loan]],Input[[#This Row],[Loc Gov G Annuity]],Input[[#This Row],[Loc Gov G Unexp]],Input[[#This Row],[Loc Gov G R of Ind]],Input[[#This Row],[Loc Gov G Inv in P]],
Input[[#This Row],[Pvt G&amp;G E&amp;G]],Input[[#This Row],[Pvt G&amp;G Desg]],Input[[#This Row],[Pvt G&amp;G R Exp]],Input[[#This Row],[Pvt G&amp;G Loan]],Input[[#This Row],[Pvt G&amp;G Annuity]],Input[[#This Row],[Pvt G&amp;G Unexp]],Input[[#This Row],[Pvt G&amp;G R of Ind]],
Input[[#This Row],[Pvt G&amp;G Inv in P]],
Input[[#This Row],[S&amp;S E&amp;G]],Input[[#This Row],[S&amp;S Desg]],Input[[#This Row],[S&amp;S R Exp]],Input[[#This Row],[S&amp;S Loan]],Input[[#This Row],[S&amp;S Annuity]],Input[[#This Row],[S&amp;S Unexp]],Input[[#This Row],[S&amp;S R of Ind]],Input[[#This Row],[S&amp;S Inv in P]],
Input[[#This Row],[Oth Inc E&amp;G]],Input[[#This Row],[Oth Inc Desg]],Input[[#This Row],[Oth Inc R Exp]],Input[[#This Row],[Oth Inc Loan]],Input[[#This Row],[Oth Inc Annuity]],Input[[#This Row],[Oth Inc Unexp]],Input[[#This Row],[Oth Inc R of Ind]],Input[[#This Row],[Oth Inc Inv in P]])</f>
        <v>318343644</v>
      </c>
      <c r="VE80" s="46">
        <f>SUM(Input[[#This Row],[T. - Gross E&amp;G]],Input[[#This Row],[T. - Gross Desg]],
Input[[#This Row],[T. W. - Stat (R AFR) E&amp;G]],Input[[#This Row],[T. W. - Stat (R AFR) Desg]],
Input[[#This Row],[T. W. - Inst. (R AFR) E&amp;G]],Input[[#This Row],[T. W. - Inst. (R AFR) Desg]],
Input[[#This Row],[T. Exp. - Stat (R AFR) E&amp;G]],Input[[#This Row],[T. Exp. - Stat (R AFR) Desg]],
Input[[#This Row],[T. Exp. - Inst. (R AFR) E&amp;G]],Input[[#This Row],[T. Exp. - Inst. (R AFR) Desg]],
Input[[#This Row],[T. Schlr E&amp;G]],Input[[#This Row],[T. Schlr Desg]])</f>
        <v>0</v>
      </c>
      <c r="VF80" s="46">
        <f>SUM(Input[[#This Row],[Fees - Gross E&amp;G]],Input[[#This Row],[Fees - Gross Desg]],
Input[[#This Row],[F. W. - Stat (R AFR) E&amp;G]],Input[[#This Row],[F. W. - Stat (R AFR) Desg]],
Input[[#This Row],[F. W. - Inst. (R AFR) E&amp;G]],Input[[#This Row],[F. W. - Inst. (R AFR) Desg]],
Input[[#This Row],[F. Exp. - Stat (R AFR) E&amp;G]],Input[[#This Row],[F. Exp. - Stat (R AFR) Desg]],
Input[[#This Row],[F. Exp. - Inst. (R AFR) E&amp;G]],Input[[#This Row],[F. Exp. - Inst. (R AFR) Desg]],
Input[[#This Row],[Fee Schlr E&amp;G]],Input[[#This Row],[Fee Schlr Desg]])</f>
        <v>0</v>
      </c>
      <c r="VG80" s="46">
        <f>SUM(Input[[#This Row],[Oth Inc E&amp;G]],Input[[#This Row],[Oth Exp Desg]],Input[[#This Row],[Oth Exp R Exp]],Input[[#This Row],[Oth Exp Loan]],Input[[#This Row],[Oth Exp Annuity]],Input[[#This Row],[Oth Exp Unexp]],Input[[#This Row],[Oth Exp R of Ind]],Input[[#This Row],[Oth Exp Inv in P]])</f>
        <v>11226576</v>
      </c>
      <c r="VH80" s="46">
        <f>SUM(Input[[#This Row],[Instr E&amp;G]],Input[[#This Row],[Instr Desg]],Input[[#This Row],[Instr R Exp]],Input[[#This Row],[Instr Loan]],Input[[#This Row],[Instr Annuity]],Input[[#This Row],[Instr Unexp]],Input[[#This Row],[Instr R of Ind]],Input[[#This Row],[Instr Inv in P]])</f>
        <v>0</v>
      </c>
      <c r="VI80" s="46">
        <f>SUM(Input[[#This Row],[Res E&amp;G]],Input[[#This Row],[Res Desg]],Input[[#This Row],[Res R Exp]],Input[[#This Row],[Res Loan]],Input[[#This Row],[Res Annuity]],Input[[#This Row],[Res Unexp]],Input[[#This Row],[Res R of Ind]],Input[[#This Row],[Res Inv in P]])</f>
        <v>0</v>
      </c>
      <c r="VJ80" s="46">
        <f>SUM(Input[[#This Row],[Acad Sup E&amp;G]],Input[[#This Row],[Acad Sup Desg]],Input[[#This Row],[Acad Sup R Exp]],Input[[#This Row],[Acad Sup Loan]],Input[[#This Row],[Acad Sup Annuity]],Input[[#This Row],[Acad Sup Unexp]],Input[[#This Row],[Acad Sup R of Ind]],Input[[#This Row],[Acad Sup Inv in P]])</f>
        <v>0</v>
      </c>
      <c r="VK80" s="46">
        <f>SUM(Input[[#This Row],[Stu Svc E&amp;G]],Input[[#This Row],[Stu Svc Desg]],Input[[#This Row],[Stu Svc R Exp]],Input[[#This Row],[Stu Svc Loan]],Input[[#This Row],[Stu Svc Annuity]],Input[[#This Row],[Stu Svc Unexp]],Input[[#This Row],[Stu Svc R of Ind]],Input[[#This Row],[Stu Svc Inv in P]])</f>
        <v>0</v>
      </c>
      <c r="VL80" s="46">
        <f>SUM(Input[[#This Row],[Inst. Spt E&amp;G]],Input[[#This Row],[Inst. Spt Desg]],Input[[#This Row],[Inst. Spt R Exp]],Input[[#This Row],[Inst. Spt Loan]],Input[[#This Row],[Inst. Spt Annuity]],Input[[#This Row],[Inst. Spt Unexp]],Input[[#This Row],[Inst. Spt R of Ind]],Input[[#This Row],[Inst. Spt Inv in P]])</f>
        <v>0</v>
      </c>
      <c r="VM80" s="46">
        <f>SUM(Input[[#This Row],[M&amp;O Plnt E&amp;G]],Input[[#This Row],[M&amp;O Plnt Desg]],Input[[#This Row],[M&amp;O Plnt R Exp]],Input[[#This Row],[M&amp;O Plnt Loan]],Input[[#This Row],[M&amp;O Plnt Annuity]],Input[[#This Row],[M&amp;O Plnt Unexp]],Input[[#This Row],[M&amp;O Plnt R of Ind]],Input[[#This Row],[M&amp;O Plnt Inv in P]])</f>
        <v>0</v>
      </c>
      <c r="VN80" s="46">
        <f>SUM(Input[[#This Row],[Schl &amp; Fell E&amp;G]],Input[[#This Row],[Schl &amp; Fell Desg]],Input[[#This Row],[Schl &amp; Fell R Exp]],Input[[#This Row],[Schl &amp; Fell Loan]],Input[[#This Row],[Schl &amp; Fell Annuity]],Input[[#This Row],[Schl &amp; Fell Unexp]],Input[[#This Row],[Schl &amp; Fell R of Ind]],Input[[#This Row],[Schl &amp; Fell Inv in P]])</f>
        <v>0</v>
      </c>
      <c r="VO80" s="46">
        <f>SUM(Input[[#This Row],[Cap Out fund E&amp;G]],Input[[#This Row],[Cap Out fund Desg]],Input[[#This Row],[Cap Out fund R Exp]],Input[[#This Row],[Cap Out fund Loan]],Input[[#This Row],[Cap Out fund Annuity]],Input[[#This Row],[Cap Out fund Unexp]],Input[[#This Row],[Cap Out fund R of Ind]],Input[[#This Row],[Cap Out fund Inv in P]])</f>
        <v>5603564</v>
      </c>
      <c r="VP80" s="46">
        <f>SUM(Input[[#This Row],[Oth Exp E&amp;G]],Input[[#This Row],[Oth Exp Desg]],Input[[#This Row],[Oth Exp R Exp]],Input[[#This Row],[Oth Exp Loan]],Input[[#This Row],[Oth Exp Annuity]],Input[[#This Row],[Oth Exp Unexp]],Input[[#This Row],[Oth Exp R of Ind]],Input[[#This Row],[Oth Exp Inv in P]],Input[[#This Row],[Oth Exp Inv in P]])</f>
        <v>85932</v>
      </c>
    </row>
    <row r="81" ht="24" customHeight="1" x14ac:dyDescent="0.3"/>
    <row r="82" ht="24" customHeight="1" x14ac:dyDescent="0.3"/>
    <row r="83" ht="24" customHeight="1" x14ac:dyDescent="0.3"/>
    <row r="84" ht="24" customHeight="1" x14ac:dyDescent="0.3"/>
  </sheetData>
  <sheetProtection algorithmName="SHA-512" hashValue="t0vf4AhTp8uJ3Pd9cnySMKuZ5jLpTCBKmekUgXe5sgmtRewO+cRTDNOD9BwMQR2p0w2LLqiZdj5vBPuIIuajwQ==" saltValue="nnZkU819rM6G+R/ssy8sCg==" spinCount="100000" sheet="1" objects="1" scenarios="1" formatCells="0" formatColumns="0" formatRows="0"/>
  <phoneticPr fontId="1" type="noConversion"/>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96CC9-6A09-4182-B790-619887290734}">
  <sheetPr codeName="Sheet6"/>
  <dimension ref="A1:R83"/>
  <sheetViews>
    <sheetView zoomScale="70" zoomScaleNormal="70" workbookViewId="0">
      <selection activeCell="H7" sqref="H7"/>
    </sheetView>
  </sheetViews>
  <sheetFormatPr defaultColWidth="8.83203125" defaultRowHeight="15.6" x14ac:dyDescent="0.3"/>
  <cols>
    <col min="1" max="1" width="52.6640625" style="1" customWidth="1"/>
    <col min="2" max="2" width="47.4140625" style="1" customWidth="1"/>
    <col min="3" max="3" width="11.4140625" style="1" customWidth="1"/>
    <col min="4" max="6" width="8.83203125" style="1"/>
    <col min="7" max="7" width="45.1640625" style="1" customWidth="1"/>
    <col min="8" max="8" width="44.1640625" style="1" customWidth="1"/>
    <col min="9" max="9" width="11.58203125" style="1" customWidth="1"/>
    <col min="10" max="10" width="10.9140625" style="1" customWidth="1"/>
    <col min="11" max="11" width="8.9140625" style="1" customWidth="1"/>
    <col min="12" max="12" width="6.6640625" style="1" customWidth="1"/>
    <col min="13" max="16384" width="8.83203125" style="1"/>
  </cols>
  <sheetData>
    <row r="1" spans="1:18" ht="27" customHeight="1" x14ac:dyDescent="0.3">
      <c r="A1" s="4" t="s">
        <v>0</v>
      </c>
      <c r="B1" s="4" t="s">
        <v>107</v>
      </c>
      <c r="C1" s="4" t="s">
        <v>56</v>
      </c>
      <c r="H1" s="779" t="s">
        <v>1270</v>
      </c>
      <c r="I1" s="780"/>
      <c r="J1" s="780"/>
      <c r="K1" s="780"/>
      <c r="L1" s="780"/>
      <c r="M1" s="780"/>
      <c r="N1" s="780"/>
      <c r="O1" s="780"/>
      <c r="P1" s="780"/>
      <c r="Q1" s="780"/>
      <c r="R1" s="780"/>
    </row>
    <row r="2" spans="1:18" ht="27" customHeight="1" x14ac:dyDescent="0.3">
      <c r="A2" s="1" t="s">
        <v>24</v>
      </c>
      <c r="B2" s="1" t="s">
        <v>108</v>
      </c>
      <c r="C2" t="s">
        <v>110</v>
      </c>
      <c r="H2" s="126">
        <f>SUM('Fund Group Detail'!AR112:AT112)</f>
        <v>0</v>
      </c>
      <c r="I2" s="127" t="s">
        <v>106</v>
      </c>
      <c r="J2" s="128" t="str">
        <f>TEXT(H2,"$* #,##0;$* (#,##0)")</f>
        <v>$0</v>
      </c>
      <c r="K2" s="128"/>
      <c r="L2" s="128"/>
      <c r="M2" s="128"/>
      <c r="N2" s="128"/>
      <c r="O2" s="128"/>
      <c r="P2" s="128"/>
      <c r="Q2" s="128"/>
      <c r="R2" s="128"/>
    </row>
    <row r="3" spans="1:18" ht="27" customHeight="1" x14ac:dyDescent="0.3">
      <c r="A3" s="1" t="s">
        <v>12</v>
      </c>
      <c r="B3" s="1" t="s">
        <v>108</v>
      </c>
      <c r="C3" t="s">
        <v>110</v>
      </c>
      <c r="H3" s="126">
        <f>SUM('Fund Group Detail'!AR113:AT113)</f>
        <v>0</v>
      </c>
      <c r="I3" s="129" cm="1">
        <f t="array" ref="I3">_xlfn.IFS($H3=0,0,ABS($H3)&gt;=1000000000,ABS($H3)/1000000000,ABS($H3)&gt;=1000000,ABS($H3)/1000000,ABS($H3)&gt;=1000,ABS($H3)/1000)</f>
        <v>0</v>
      </c>
      <c r="J3" s="129" t="str">
        <f>TEXT($I3,"$* #,##0.0;$* (#,##0.0)")</f>
        <v>$0.0</v>
      </c>
      <c r="K3" s="130" t="str" cm="1">
        <f t="array" ref="K3">IFERROR(_xlfn.IFS(ABS($H3)&gt;=1000000000,"billion",ABS($H3)&gt;=1000000,"million",ABS($H3)&gt;=1000,"thousand"),"")</f>
        <v/>
      </c>
      <c r="L3" s="129" t="str">
        <f>IF($H3&lt;0,"("&amp;J3&amp;")",J3)</f>
        <v>$0.0</v>
      </c>
      <c r="M3" s="128"/>
      <c r="N3" s="128"/>
      <c r="O3" s="128"/>
      <c r="P3" s="128"/>
      <c r="Q3" s="128"/>
      <c r="R3" s="128"/>
    </row>
    <row r="4" spans="1:18" ht="27" customHeight="1" x14ac:dyDescent="0.3">
      <c r="A4" s="1" t="s">
        <v>38</v>
      </c>
      <c r="B4" s="1" t="s">
        <v>130</v>
      </c>
      <c r="C4" t="s">
        <v>113</v>
      </c>
      <c r="H4" s="126" cm="1">
        <f t="array" ref="H4">SUM('Fund Group Detail'!AR113:AT113,-'Fund Group Detail'!AR114:AT114)</f>
        <v>0</v>
      </c>
      <c r="I4" s="129" cm="1">
        <f t="array" ref="I4">_xlfn.IFS($H4=0,0,ABS($H4)&gt;=1000000000,ABS($H4)/1000000000,ABS($H4)&gt;=1000000,ABS($H4)/1000000,ABS($H4)&gt;=1000,ABS($H4)/1000)</f>
        <v>0</v>
      </c>
      <c r="J4" s="129" t="str">
        <f t="shared" ref="J4:J6" si="0">TEXT($I4,"$* #,##0.0;$* (#,##0.0)")</f>
        <v>$0.0</v>
      </c>
      <c r="K4" s="130" t="str" cm="1">
        <f t="array" ref="K4">IFERROR(_xlfn.IFS($H4&gt;=1000000000,"billion",$H4&gt;=1000000,"million",$H4&gt;=1000,"thousand"),"")</f>
        <v/>
      </c>
      <c r="L4" s="129" t="str">
        <f t="shared" ref="L4:L6" si="1">IF($H4&lt;0,"("&amp;J4&amp;")",J4)</f>
        <v>$0.0</v>
      </c>
      <c r="M4" s="128"/>
      <c r="N4" s="128"/>
      <c r="O4" s="128"/>
      <c r="P4" s="128"/>
      <c r="Q4" s="128"/>
      <c r="R4" s="128"/>
    </row>
    <row r="5" spans="1:18" ht="27" customHeight="1" x14ac:dyDescent="0.3">
      <c r="A5" s="1" t="s">
        <v>39</v>
      </c>
      <c r="B5" s="1" t="s">
        <v>130</v>
      </c>
      <c r="C5" t="s">
        <v>113</v>
      </c>
      <c r="H5" s="126">
        <f>SUM('Fund Group Detail'!AR114:AT114)</f>
        <v>0</v>
      </c>
      <c r="I5" s="129" cm="1">
        <f t="array" ref="I5">_xlfn.IFS($H5=0,0,ABS($H5)&gt;=1000000000,ABS($H5)/1000000000,ABS($H5)&gt;=1000000,ABS($H5)/1000000,ABS($H5)&gt;=1000,ABS($H5)/1000)</f>
        <v>0</v>
      </c>
      <c r="J5" s="129" t="str">
        <f t="shared" si="0"/>
        <v>$0.0</v>
      </c>
      <c r="K5" s="130" t="str" cm="1">
        <f t="array" ref="K5">IFERROR(_xlfn.IFS($H5&gt;=1000000000,"billion",$H5&gt;=1000000,"million",$H5&gt;=1000,"thousand"),"")</f>
        <v/>
      </c>
      <c r="L5" s="129" t="str">
        <f t="shared" si="1"/>
        <v>$0.0</v>
      </c>
      <c r="M5" s="128"/>
      <c r="N5" s="128"/>
      <c r="O5" s="128"/>
      <c r="P5" s="128"/>
      <c r="Q5" s="128"/>
      <c r="R5" s="128"/>
    </row>
    <row r="6" spans="1:18" ht="27" customHeight="1" x14ac:dyDescent="0.3">
      <c r="A6" s="1" t="s">
        <v>42</v>
      </c>
      <c r="B6" s="1" t="s">
        <v>130</v>
      </c>
      <c r="C6" t="s">
        <v>113</v>
      </c>
      <c r="H6" s="126">
        <f>SUM('Fund Group Detail'!AR115:AT115)</f>
        <v>0</v>
      </c>
      <c r="I6" s="129" cm="1">
        <f t="array" ref="I6">_xlfn.IFS($H6=0,0,ABS($H6)&gt;=1000000000,ABS($H6)/1000000000,ABS($H6)&gt;=1000000,ABS($H6)/1000000,ABS($H6)&gt;=1000,ABS($H6)/1000)</f>
        <v>0</v>
      </c>
      <c r="J6" s="129" t="str">
        <f t="shared" si="0"/>
        <v>$0.0</v>
      </c>
      <c r="K6" s="130" t="str" cm="1">
        <f t="array" ref="K6">IFERROR(_xlfn.IFS($H6&gt;=1000000000,"billion",$H6&gt;=1000000,"million",$H6&gt;=1000,"thousand"),"")</f>
        <v/>
      </c>
      <c r="L6" s="129" t="str">
        <f t="shared" si="1"/>
        <v>$0.0</v>
      </c>
      <c r="M6" s="128"/>
      <c r="N6" s="128"/>
      <c r="O6" s="128"/>
      <c r="P6" s="128"/>
      <c r="Q6" s="128"/>
      <c r="R6" s="128"/>
    </row>
    <row r="7" spans="1:18" ht="27" customHeight="1" x14ac:dyDescent="0.3">
      <c r="A7" s="1" t="s">
        <v>20</v>
      </c>
      <c r="B7" s="1" t="s">
        <v>108</v>
      </c>
      <c r="C7" t="s">
        <v>110</v>
      </c>
      <c r="H7" s="131" t="s">
        <v>1271</v>
      </c>
      <c r="I7" s="128"/>
      <c r="J7" s="128"/>
      <c r="K7" s="128"/>
      <c r="L7" s="128"/>
      <c r="M7" s="128"/>
      <c r="N7" s="128"/>
      <c r="O7" s="128"/>
      <c r="P7" s="128"/>
      <c r="Q7" s="128"/>
      <c r="R7" s="128"/>
    </row>
    <row r="8" spans="1:18" ht="27" customHeight="1" x14ac:dyDescent="0.3">
      <c r="A8" s="1" t="s">
        <v>26</v>
      </c>
      <c r="B8" s="1" t="s">
        <v>108</v>
      </c>
      <c r="C8" t="s">
        <v>110</v>
      </c>
      <c r="H8" s="131" t="s">
        <v>1272</v>
      </c>
      <c r="I8" s="128"/>
      <c r="J8" s="128"/>
      <c r="K8" s="128"/>
      <c r="L8" s="128"/>
      <c r="M8" s="128"/>
      <c r="N8" s="128"/>
      <c r="O8" s="128"/>
      <c r="P8" s="128"/>
      <c r="Q8" s="128"/>
      <c r="R8" s="128"/>
    </row>
    <row r="9" spans="1:18" ht="27" customHeight="1" x14ac:dyDescent="0.3">
      <c r="A9" s="1" t="s">
        <v>6</v>
      </c>
      <c r="B9" s="1" t="s">
        <v>108</v>
      </c>
      <c r="C9" t="s">
        <v>110</v>
      </c>
      <c r="H9" s="131" t="s">
        <v>1273</v>
      </c>
      <c r="I9" s="128"/>
      <c r="J9" s="128"/>
      <c r="K9" s="128"/>
      <c r="L9" s="128"/>
      <c r="M9" s="128"/>
      <c r="N9" s="128"/>
      <c r="O9" s="128"/>
      <c r="P9" s="128"/>
      <c r="Q9" s="128"/>
      <c r="R9" s="128"/>
    </row>
    <row r="10" spans="1:18" ht="27" customHeight="1" x14ac:dyDescent="0.3">
      <c r="A10" s="1" t="s">
        <v>21</v>
      </c>
      <c r="B10" s="1" t="s">
        <v>108</v>
      </c>
      <c r="C10" t="s">
        <v>110</v>
      </c>
      <c r="H10" s="131" t="s">
        <v>1274</v>
      </c>
      <c r="I10" s="128"/>
      <c r="J10" s="128"/>
      <c r="K10" s="128"/>
      <c r="L10" s="128"/>
      <c r="M10" s="128"/>
      <c r="N10" s="128"/>
      <c r="O10" s="128"/>
      <c r="P10" s="128"/>
      <c r="Q10" s="128"/>
      <c r="R10" s="128"/>
    </row>
    <row r="11" spans="1:18" ht="27" customHeight="1" x14ac:dyDescent="0.3">
      <c r="A11" s="1" t="s">
        <v>78</v>
      </c>
      <c r="B11" s="1" t="s">
        <v>131</v>
      </c>
      <c r="C11" t="s">
        <v>115</v>
      </c>
      <c r="H11" s="131" t="s">
        <v>1275</v>
      </c>
      <c r="I11" s="128"/>
      <c r="J11" s="128"/>
      <c r="K11" s="128"/>
      <c r="L11" s="128"/>
      <c r="M11" s="128"/>
      <c r="N11" s="128"/>
      <c r="O11" s="128"/>
      <c r="P11" s="128"/>
      <c r="Q11" s="128"/>
      <c r="R11" s="128"/>
    </row>
    <row r="12" spans="1:18" ht="27" customHeight="1" x14ac:dyDescent="0.3">
      <c r="A12" s="1" t="s">
        <v>45</v>
      </c>
      <c r="B12" s="1" t="s">
        <v>116</v>
      </c>
      <c r="C12" t="s">
        <v>117</v>
      </c>
      <c r="H12" s="131" t="s">
        <v>1276</v>
      </c>
      <c r="I12" s="128"/>
      <c r="J12" s="128"/>
      <c r="K12" s="128"/>
      <c r="L12" s="128"/>
      <c r="M12" s="128"/>
      <c r="N12" s="128"/>
      <c r="O12" s="128"/>
      <c r="P12" s="128"/>
      <c r="Q12" s="128"/>
      <c r="R12" s="128"/>
    </row>
    <row r="13" spans="1:18" ht="27" customHeight="1" x14ac:dyDescent="0.3">
      <c r="A13" s="1" t="s">
        <v>27</v>
      </c>
      <c r="B13" s="1" t="s">
        <v>108</v>
      </c>
      <c r="C13" t="s">
        <v>110</v>
      </c>
      <c r="H13" s="131" t="s">
        <v>1277</v>
      </c>
      <c r="I13" s="128"/>
      <c r="J13" s="128"/>
      <c r="K13" s="128"/>
      <c r="L13" s="128"/>
      <c r="M13" s="128"/>
      <c r="N13" s="128"/>
      <c r="O13" s="128"/>
      <c r="P13" s="128"/>
      <c r="Q13" s="128"/>
      <c r="R13" s="128"/>
    </row>
    <row r="14" spans="1:18" ht="27" customHeight="1" x14ac:dyDescent="0.3">
      <c r="A14" s="1" t="s">
        <v>22</v>
      </c>
      <c r="B14" s="1" t="s">
        <v>108</v>
      </c>
      <c r="C14" t="s">
        <v>110</v>
      </c>
    </row>
    <row r="15" spans="1:18" ht="27" customHeight="1" x14ac:dyDescent="0.3">
      <c r="A15" s="1" t="s">
        <v>7</v>
      </c>
      <c r="B15" s="1" t="s">
        <v>108</v>
      </c>
      <c r="C15" t="s">
        <v>110</v>
      </c>
      <c r="G15" s="782" t="s">
        <v>135</v>
      </c>
      <c r="H15" s="782"/>
      <c r="I15" s="782"/>
    </row>
    <row r="16" spans="1:18" ht="27" customHeight="1" x14ac:dyDescent="0.3">
      <c r="A16" s="1" t="s">
        <v>98</v>
      </c>
      <c r="B16" s="1" t="s">
        <v>154</v>
      </c>
      <c r="C16" t="s">
        <v>119</v>
      </c>
      <c r="G16" s="3" t="s">
        <v>112</v>
      </c>
      <c r="H16" s="3" t="s">
        <v>136</v>
      </c>
      <c r="I16" s="3" t="s">
        <v>113</v>
      </c>
    </row>
    <row r="17" spans="1:9" ht="27" customHeight="1" x14ac:dyDescent="0.3">
      <c r="A17" s="1" t="s">
        <v>53</v>
      </c>
      <c r="B17" s="1" t="s">
        <v>154</v>
      </c>
      <c r="C17" t="s">
        <v>119</v>
      </c>
      <c r="G17" s="2" t="s">
        <v>137</v>
      </c>
      <c r="H17" s="2" t="s">
        <v>138</v>
      </c>
      <c r="I17" s="2" t="s">
        <v>111</v>
      </c>
    </row>
    <row r="18" spans="1:9" ht="27" customHeight="1" x14ac:dyDescent="0.3">
      <c r="A18" s="1" t="s">
        <v>54</v>
      </c>
      <c r="B18" s="1" t="s">
        <v>154</v>
      </c>
      <c r="C18" t="s">
        <v>119</v>
      </c>
      <c r="G18" s="3" t="s">
        <v>139</v>
      </c>
      <c r="H18" s="3" t="s">
        <v>138</v>
      </c>
      <c r="I18" s="3" t="s">
        <v>114</v>
      </c>
    </row>
    <row r="19" spans="1:9" ht="27" customHeight="1" x14ac:dyDescent="0.3">
      <c r="A19" s="1" t="s">
        <v>99</v>
      </c>
      <c r="B19" s="1" t="s">
        <v>154</v>
      </c>
      <c r="C19" t="s">
        <v>119</v>
      </c>
      <c r="G19" s="2" t="s">
        <v>140</v>
      </c>
      <c r="H19" s="2" t="s">
        <v>141</v>
      </c>
      <c r="I19" s="2" t="s">
        <v>121</v>
      </c>
    </row>
    <row r="20" spans="1:9" ht="27" customHeight="1" x14ac:dyDescent="0.3">
      <c r="A20" s="1" t="s">
        <v>100</v>
      </c>
      <c r="B20" s="1" t="s">
        <v>154</v>
      </c>
      <c r="C20" t="s">
        <v>119</v>
      </c>
      <c r="G20" s="3" t="s">
        <v>142</v>
      </c>
      <c r="H20" s="3" t="s">
        <v>138</v>
      </c>
      <c r="I20" s="3" t="s">
        <v>109</v>
      </c>
    </row>
    <row r="21" spans="1:9" ht="27" customHeight="1" x14ac:dyDescent="0.3">
      <c r="A21" s="1" t="s">
        <v>10</v>
      </c>
      <c r="B21" s="1" t="s">
        <v>108</v>
      </c>
      <c r="C21" t="s">
        <v>110</v>
      </c>
      <c r="G21" s="2" t="s">
        <v>143</v>
      </c>
      <c r="H21" s="2" t="s">
        <v>138</v>
      </c>
      <c r="I21" s="2" t="s">
        <v>122</v>
      </c>
    </row>
    <row r="22" spans="1:9" ht="27" customHeight="1" x14ac:dyDescent="0.3">
      <c r="A22" s="1" t="s">
        <v>104</v>
      </c>
      <c r="B22" s="1" t="s">
        <v>154</v>
      </c>
      <c r="C22" t="s">
        <v>119</v>
      </c>
      <c r="G22" s="3" t="s">
        <v>62</v>
      </c>
      <c r="H22" s="3" t="s">
        <v>138</v>
      </c>
      <c r="I22" s="3" t="s">
        <v>123</v>
      </c>
    </row>
    <row r="23" spans="1:9" ht="27" customHeight="1" x14ac:dyDescent="0.3">
      <c r="A23" s="1" t="s">
        <v>101</v>
      </c>
      <c r="B23" s="1" t="s">
        <v>154</v>
      </c>
      <c r="C23" t="s">
        <v>119</v>
      </c>
      <c r="G23" s="2" t="s">
        <v>144</v>
      </c>
      <c r="H23" s="2" t="s">
        <v>138</v>
      </c>
      <c r="I23" s="2" t="s">
        <v>118</v>
      </c>
    </row>
    <row r="24" spans="1:9" ht="27" customHeight="1" x14ac:dyDescent="0.3">
      <c r="A24" s="1" t="s">
        <v>4</v>
      </c>
      <c r="B24" s="1" t="s">
        <v>108</v>
      </c>
      <c r="C24" t="s">
        <v>110</v>
      </c>
    </row>
    <row r="25" spans="1:9" ht="27" customHeight="1" x14ac:dyDescent="0.3">
      <c r="A25" s="1" t="s">
        <v>14</v>
      </c>
      <c r="B25" s="1" t="s">
        <v>108</v>
      </c>
      <c r="C25" t="s">
        <v>110</v>
      </c>
      <c r="G25" s="782" t="s">
        <v>145</v>
      </c>
      <c r="H25" s="782"/>
      <c r="I25" s="782"/>
    </row>
    <row r="26" spans="1:9" ht="27" customHeight="1" x14ac:dyDescent="0.3">
      <c r="A26" s="1" t="s">
        <v>8</v>
      </c>
      <c r="B26" s="1" t="s">
        <v>108</v>
      </c>
      <c r="C26" t="s">
        <v>110</v>
      </c>
      <c r="G26" s="3" t="s">
        <v>146</v>
      </c>
      <c r="H26" s="3" t="s">
        <v>147</v>
      </c>
      <c r="I26" s="3" t="s">
        <v>110</v>
      </c>
    </row>
    <row r="27" spans="1:9" ht="27" customHeight="1" x14ac:dyDescent="0.3">
      <c r="A27" s="1" t="s">
        <v>9</v>
      </c>
      <c r="B27" s="1" t="s">
        <v>108</v>
      </c>
      <c r="C27" t="s">
        <v>110</v>
      </c>
      <c r="G27" s="2" t="s">
        <v>148</v>
      </c>
      <c r="H27" s="2" t="s">
        <v>149</v>
      </c>
      <c r="I27" s="2" t="s">
        <v>117</v>
      </c>
    </row>
    <row r="28" spans="1:9" ht="27" customHeight="1" x14ac:dyDescent="0.3">
      <c r="A28" s="1" t="s">
        <v>15</v>
      </c>
      <c r="B28" s="1" t="s">
        <v>108</v>
      </c>
      <c r="C28" t="s">
        <v>110</v>
      </c>
      <c r="G28" s="3" t="s">
        <v>150</v>
      </c>
      <c r="H28" s="3" t="s">
        <v>151</v>
      </c>
      <c r="I28" s="3" t="s">
        <v>113</v>
      </c>
    </row>
    <row r="29" spans="1:9" ht="27" customHeight="1" x14ac:dyDescent="0.3">
      <c r="A29" s="1" t="s">
        <v>13</v>
      </c>
      <c r="B29" s="1" t="s">
        <v>108</v>
      </c>
      <c r="C29" t="s">
        <v>110</v>
      </c>
      <c r="G29" s="2" t="s">
        <v>152</v>
      </c>
      <c r="H29" s="2" t="s">
        <v>153</v>
      </c>
      <c r="I29" s="2" t="s">
        <v>121</v>
      </c>
    </row>
    <row r="30" spans="1:9" ht="27" customHeight="1" x14ac:dyDescent="0.3">
      <c r="A30" s="1" t="s">
        <v>5</v>
      </c>
      <c r="B30" s="1" t="s">
        <v>108</v>
      </c>
      <c r="C30" t="s">
        <v>110</v>
      </c>
      <c r="G30" s="3" t="s">
        <v>154</v>
      </c>
      <c r="H30" s="3" t="s">
        <v>155</v>
      </c>
      <c r="I30" s="3" t="s">
        <v>119</v>
      </c>
    </row>
    <row r="31" spans="1:9" ht="27" customHeight="1" x14ac:dyDescent="0.3">
      <c r="A31" s="1" t="s">
        <v>167</v>
      </c>
      <c r="B31" s="1" t="s">
        <v>174</v>
      </c>
      <c r="C31" t="s">
        <v>120</v>
      </c>
    </row>
    <row r="32" spans="1:9" ht="27" customHeight="1" x14ac:dyDescent="0.3">
      <c r="A32" s="1" t="s">
        <v>60</v>
      </c>
      <c r="B32" s="1" t="s">
        <v>116</v>
      </c>
      <c r="C32" t="s">
        <v>117</v>
      </c>
    </row>
    <row r="33" spans="1:8" ht="27" customHeight="1" x14ac:dyDescent="0.3">
      <c r="A33" s="1" t="s">
        <v>102</v>
      </c>
      <c r="B33" s="1" t="s">
        <v>154</v>
      </c>
      <c r="C33" t="s">
        <v>119</v>
      </c>
      <c r="G33" s="782" t="s">
        <v>156</v>
      </c>
      <c r="H33" s="782"/>
    </row>
    <row r="34" spans="1:8" ht="27" customHeight="1" x14ac:dyDescent="0.3">
      <c r="A34" s="1" t="s">
        <v>103</v>
      </c>
      <c r="B34" s="1" t="s">
        <v>154</v>
      </c>
      <c r="C34" t="s">
        <v>119</v>
      </c>
      <c r="G34" s="3" t="s">
        <v>157</v>
      </c>
      <c r="H34" s="3" t="s">
        <v>128</v>
      </c>
    </row>
    <row r="35" spans="1:8" ht="27" customHeight="1" x14ac:dyDescent="0.3">
      <c r="A35" s="1" t="s">
        <v>63</v>
      </c>
      <c r="B35" s="1" t="s">
        <v>108</v>
      </c>
      <c r="C35" t="s">
        <v>110</v>
      </c>
      <c r="G35" s="2" t="s">
        <v>158</v>
      </c>
      <c r="H35" s="2" t="s">
        <v>129</v>
      </c>
    </row>
    <row r="36" spans="1:8" ht="27" customHeight="1" x14ac:dyDescent="0.3">
      <c r="A36" s="1" t="s">
        <v>50</v>
      </c>
      <c r="B36" s="1" t="s">
        <v>130</v>
      </c>
      <c r="C36" t="s">
        <v>121</v>
      </c>
      <c r="G36" s="3" t="s">
        <v>159</v>
      </c>
      <c r="H36" s="3" t="s">
        <v>126</v>
      </c>
    </row>
    <row r="37" spans="1:8" ht="27" customHeight="1" x14ac:dyDescent="0.3">
      <c r="A37" s="1" t="s">
        <v>43</v>
      </c>
      <c r="B37" s="1" t="s">
        <v>130</v>
      </c>
      <c r="C37" t="s">
        <v>121</v>
      </c>
      <c r="G37" s="2" t="s">
        <v>160</v>
      </c>
      <c r="H37" s="2" t="s">
        <v>125</v>
      </c>
    </row>
    <row r="38" spans="1:8" ht="27" customHeight="1" x14ac:dyDescent="0.3">
      <c r="A38" s="1" t="s">
        <v>47</v>
      </c>
      <c r="B38" s="1" t="s">
        <v>130</v>
      </c>
      <c r="C38" t="s">
        <v>121</v>
      </c>
      <c r="G38" s="3" t="s">
        <v>161</v>
      </c>
      <c r="H38" s="3" t="s">
        <v>127</v>
      </c>
    </row>
    <row r="39" spans="1:8" ht="27" customHeight="1" x14ac:dyDescent="0.3">
      <c r="A39" s="1" t="s">
        <v>49</v>
      </c>
      <c r="B39" s="1" t="s">
        <v>130</v>
      </c>
      <c r="C39" t="s">
        <v>121</v>
      </c>
      <c r="G39" s="2" t="s">
        <v>159</v>
      </c>
      <c r="H39" s="2" t="s">
        <v>126</v>
      </c>
    </row>
    <row r="40" spans="1:8" ht="27" customHeight="1" x14ac:dyDescent="0.3">
      <c r="A40" s="1" t="s">
        <v>48</v>
      </c>
      <c r="B40" s="1" t="s">
        <v>130</v>
      </c>
      <c r="C40" t="s">
        <v>121</v>
      </c>
    </row>
    <row r="41" spans="1:8" ht="27" customHeight="1" x14ac:dyDescent="0.3">
      <c r="A41" s="1" t="s">
        <v>46</v>
      </c>
      <c r="B41" s="1" t="s">
        <v>130</v>
      </c>
      <c r="C41" t="s">
        <v>121</v>
      </c>
      <c r="H41" s="1" t="s">
        <v>1118</v>
      </c>
    </row>
    <row r="42" spans="1:8" ht="27" customHeight="1" x14ac:dyDescent="0.3">
      <c r="A42" s="1" t="s">
        <v>173</v>
      </c>
      <c r="B42" s="1" t="s">
        <v>174</v>
      </c>
      <c r="C42" t="s">
        <v>120</v>
      </c>
      <c r="G42" s="52" t="s">
        <v>78</v>
      </c>
      <c r="H42" s="53">
        <f>SUMIFS('FTSE | FTFE'!$P$8:$P$77,'FTSE | FTFE'!$H$8:$H$77,"Sam Houston State University (M)")
+SUMIFS('FTSE | FTFE'!$P$104:$P$139,'FTSE | FTFE'!$H$104:$H$139,"Sam Houston State University (A+H)")</f>
        <v>17719</v>
      </c>
    </row>
    <row r="43" spans="1:8" ht="27" customHeight="1" x14ac:dyDescent="0.3">
      <c r="A43" s="1" t="s">
        <v>61</v>
      </c>
      <c r="B43" s="1" t="s">
        <v>108</v>
      </c>
      <c r="C43" t="s">
        <v>110</v>
      </c>
      <c r="G43" s="2" t="s">
        <v>92</v>
      </c>
      <c r="H43" s="54">
        <f>SUMIFS('FTSE | FTFE'!$P$8:$P$77,'FTSE | FTFE'!$H$8:$H$77,"The University of Texas at Austin (M)")
+SUMIFS('FTSE | FTFE'!$P$104:$P$139,'FTSE | FTFE'!$H$104:$H$139,"The University of Texas at Austin (A+H)")</f>
        <v>51116</v>
      </c>
    </row>
    <row r="44" spans="1:8" ht="27" customHeight="1" x14ac:dyDescent="0.3">
      <c r="A44" s="1" t="s">
        <v>172</v>
      </c>
      <c r="B44" s="1" t="s">
        <v>174</v>
      </c>
      <c r="C44" t="s">
        <v>120</v>
      </c>
      <c r="G44" s="3" t="s">
        <v>166</v>
      </c>
      <c r="H44" s="55">
        <f>SUMIFS('FTSE | FTFE'!$P$8:$P$77,'FTSE | FTFE'!$H$8:$H$77,"The University of Texas Rio Grande Valley (M)")
+SUMIFS('FTSE | FTFE'!$P$104:$P$139,'FTSE | FTFE'!$H$104:$H$139,"The University of Texas Rio Grande Valley (A+H)")</f>
        <v>29456</v>
      </c>
    </row>
    <row r="45" spans="1:8" ht="27" customHeight="1" x14ac:dyDescent="0.3">
      <c r="A45" s="1" t="s">
        <v>23</v>
      </c>
      <c r="B45" s="1" t="s">
        <v>108</v>
      </c>
      <c r="C45" t="s">
        <v>110</v>
      </c>
      <c r="G45" s="2" t="s">
        <v>73</v>
      </c>
      <c r="H45" s="54">
        <f>SUMIFS('FTSE | FTFE'!$P$8:$P$77,'FTSE | FTFE'!$H$8:$H$77,"The University of Texas Rio Grande Valley (M)")
+SUMIFS('FTSE | FTFE'!$P$104:$P$139,'FTSE | FTFE'!$H$104:$H$139,"University of Houston (A+H)")</f>
        <v>40901</v>
      </c>
    </row>
    <row r="46" spans="1:8" ht="27" customHeight="1" x14ac:dyDescent="0.3">
      <c r="A46" s="1" t="s">
        <v>36</v>
      </c>
      <c r="B46" s="1" t="s">
        <v>116</v>
      </c>
      <c r="C46" t="s">
        <v>117</v>
      </c>
    </row>
    <row r="47" spans="1:8" ht="27" customHeight="1" x14ac:dyDescent="0.3">
      <c r="A47" s="1" t="s">
        <v>37</v>
      </c>
      <c r="B47" s="1" t="s">
        <v>116</v>
      </c>
      <c r="C47" t="s">
        <v>117</v>
      </c>
    </row>
    <row r="48" spans="1:8" ht="27" customHeight="1" x14ac:dyDescent="0.3">
      <c r="A48" s="1" t="s">
        <v>170</v>
      </c>
      <c r="B48" s="1" t="s">
        <v>174</v>
      </c>
      <c r="C48" t="s">
        <v>120</v>
      </c>
    </row>
    <row r="49" spans="1:9" ht="27" customHeight="1" x14ac:dyDescent="0.3">
      <c r="A49" s="1" t="s">
        <v>64</v>
      </c>
      <c r="B49" s="1" t="s">
        <v>108</v>
      </c>
      <c r="C49" t="s">
        <v>110</v>
      </c>
      <c r="G49" s="781" t="s">
        <v>162</v>
      </c>
      <c r="H49" s="781"/>
      <c r="I49" s="781"/>
    </row>
    <row r="50" spans="1:9" ht="27" customHeight="1" x14ac:dyDescent="0.3">
      <c r="A50" s="1" t="s">
        <v>29</v>
      </c>
      <c r="B50" s="1" t="s">
        <v>108</v>
      </c>
      <c r="C50" t="s">
        <v>110</v>
      </c>
      <c r="G50" s="781"/>
      <c r="H50" s="781"/>
      <c r="I50" s="781"/>
    </row>
    <row r="51" spans="1:9" ht="27" customHeight="1" x14ac:dyDescent="0.3">
      <c r="A51" s="1" t="s">
        <v>40</v>
      </c>
      <c r="B51" s="1" t="s">
        <v>108</v>
      </c>
      <c r="C51" t="s">
        <v>110</v>
      </c>
      <c r="G51" s="781"/>
      <c r="H51" s="781"/>
      <c r="I51" s="781"/>
    </row>
    <row r="52" spans="1:9" ht="27" customHeight="1" x14ac:dyDescent="0.3">
      <c r="A52" s="1" t="s">
        <v>92</v>
      </c>
      <c r="B52" s="1" t="s">
        <v>131</v>
      </c>
      <c r="C52" t="s">
        <v>115</v>
      </c>
      <c r="G52" s="781"/>
      <c r="H52" s="781"/>
      <c r="I52" s="781"/>
    </row>
    <row r="53" spans="1:9" ht="27" customHeight="1" x14ac:dyDescent="0.3">
      <c r="A53" s="1" t="s">
        <v>41</v>
      </c>
      <c r="B53" s="1" t="s">
        <v>116</v>
      </c>
      <c r="C53" t="s">
        <v>117</v>
      </c>
      <c r="G53" s="781" t="s">
        <v>163</v>
      </c>
      <c r="H53" s="781"/>
      <c r="I53" s="781"/>
    </row>
    <row r="54" spans="1:9" ht="27" customHeight="1" x14ac:dyDescent="0.3">
      <c r="A54" s="1" t="s">
        <v>52</v>
      </c>
      <c r="B54" s="1" t="s">
        <v>108</v>
      </c>
      <c r="C54" t="s">
        <v>110</v>
      </c>
      <c r="G54" s="781"/>
      <c r="H54" s="781"/>
      <c r="I54" s="781"/>
    </row>
    <row r="55" spans="1:9" ht="27" customHeight="1" x14ac:dyDescent="0.3">
      <c r="A55" s="1" t="s">
        <v>55</v>
      </c>
      <c r="B55" s="1" t="s">
        <v>108</v>
      </c>
      <c r="C55" t="s">
        <v>110</v>
      </c>
      <c r="G55" s="781"/>
      <c r="H55" s="781"/>
      <c r="I55" s="781"/>
    </row>
    <row r="56" spans="1:9" ht="27" customHeight="1" x14ac:dyDescent="0.3">
      <c r="A56" s="1" t="s">
        <v>2</v>
      </c>
      <c r="B56" s="1" t="s">
        <v>108</v>
      </c>
      <c r="C56" t="s">
        <v>110</v>
      </c>
      <c r="G56" s="781"/>
      <c r="H56" s="781"/>
      <c r="I56" s="781"/>
    </row>
    <row r="57" spans="1:9" ht="27" customHeight="1" x14ac:dyDescent="0.3">
      <c r="A57" s="1" t="s">
        <v>3</v>
      </c>
      <c r="B57" s="1" t="s">
        <v>108</v>
      </c>
      <c r="C57" t="s">
        <v>110</v>
      </c>
    </row>
    <row r="58" spans="1:9" ht="27" customHeight="1" x14ac:dyDescent="0.3">
      <c r="A58" s="1" t="s">
        <v>31</v>
      </c>
      <c r="B58" s="1" t="s">
        <v>116</v>
      </c>
      <c r="C58" t="s">
        <v>117</v>
      </c>
    </row>
    <row r="59" spans="1:9" ht="27" customHeight="1" x14ac:dyDescent="0.3">
      <c r="A59" s="1" t="s">
        <v>32</v>
      </c>
      <c r="B59" s="1" t="s">
        <v>116</v>
      </c>
      <c r="C59" t="s">
        <v>117</v>
      </c>
    </row>
    <row r="60" spans="1:9" ht="27" customHeight="1" x14ac:dyDescent="0.3">
      <c r="A60" s="1" t="s">
        <v>34</v>
      </c>
      <c r="B60" s="1" t="s">
        <v>116</v>
      </c>
      <c r="C60" t="s">
        <v>117</v>
      </c>
    </row>
    <row r="61" spans="1:9" ht="27" customHeight="1" x14ac:dyDescent="0.3">
      <c r="A61" s="1" t="s">
        <v>33</v>
      </c>
      <c r="B61" s="1" t="s">
        <v>116</v>
      </c>
      <c r="C61" t="s">
        <v>117</v>
      </c>
    </row>
    <row r="62" spans="1:9" ht="27" customHeight="1" x14ac:dyDescent="0.3">
      <c r="A62" s="1" t="s">
        <v>30</v>
      </c>
      <c r="B62" s="1" t="s">
        <v>116</v>
      </c>
      <c r="C62" t="s">
        <v>117</v>
      </c>
    </row>
    <row r="63" spans="1:9" ht="27" customHeight="1" x14ac:dyDescent="0.3">
      <c r="A63" s="1" t="s">
        <v>1</v>
      </c>
      <c r="B63" s="1" t="s">
        <v>108</v>
      </c>
      <c r="C63" t="s">
        <v>110</v>
      </c>
    </row>
    <row r="64" spans="1:9" ht="27" customHeight="1" x14ac:dyDescent="0.3">
      <c r="A64" s="1" t="s">
        <v>164</v>
      </c>
      <c r="B64" s="1" t="s">
        <v>108</v>
      </c>
      <c r="C64" t="s">
        <v>110</v>
      </c>
    </row>
    <row r="65" spans="1:3" ht="27" customHeight="1" x14ac:dyDescent="0.3">
      <c r="A65" s="1" t="s">
        <v>166</v>
      </c>
      <c r="B65" s="1" t="s">
        <v>131</v>
      </c>
      <c r="C65" t="s">
        <v>115</v>
      </c>
    </row>
    <row r="66" spans="1:3" ht="27" customHeight="1" x14ac:dyDescent="0.3">
      <c r="A66" s="1" t="s">
        <v>165</v>
      </c>
      <c r="B66" s="1" t="s">
        <v>116</v>
      </c>
      <c r="C66" t="s">
        <v>117</v>
      </c>
    </row>
    <row r="67" spans="1:3" ht="27" customHeight="1" x14ac:dyDescent="0.3">
      <c r="A67" s="1" t="s">
        <v>28</v>
      </c>
      <c r="B67" s="1" t="s">
        <v>116</v>
      </c>
      <c r="C67" t="s">
        <v>117</v>
      </c>
    </row>
    <row r="68" spans="1:3" ht="27" customHeight="1" x14ac:dyDescent="0.3">
      <c r="A68" s="1" t="s">
        <v>168</v>
      </c>
      <c r="B68" s="1" t="s">
        <v>174</v>
      </c>
      <c r="C68" t="s">
        <v>120</v>
      </c>
    </row>
    <row r="69" spans="1:3" ht="27" customHeight="1" x14ac:dyDescent="0.3">
      <c r="A69" s="1" t="s">
        <v>17</v>
      </c>
      <c r="B69" s="1" t="s">
        <v>108</v>
      </c>
      <c r="C69" t="s">
        <v>110</v>
      </c>
    </row>
    <row r="70" spans="1:3" ht="27" customHeight="1" x14ac:dyDescent="0.3">
      <c r="A70" s="1" t="s">
        <v>18</v>
      </c>
      <c r="B70" s="1" t="s">
        <v>108</v>
      </c>
      <c r="C70" t="s">
        <v>110</v>
      </c>
    </row>
    <row r="71" spans="1:3" ht="27" customHeight="1" x14ac:dyDescent="0.3">
      <c r="A71" s="1" t="s">
        <v>19</v>
      </c>
      <c r="B71" s="1" t="s">
        <v>108</v>
      </c>
      <c r="C71" t="s">
        <v>110</v>
      </c>
    </row>
    <row r="72" spans="1:3" ht="27" customHeight="1" x14ac:dyDescent="0.3">
      <c r="A72" s="1" t="s">
        <v>16</v>
      </c>
      <c r="B72" s="1" t="s">
        <v>108</v>
      </c>
      <c r="C72" t="s">
        <v>110</v>
      </c>
    </row>
    <row r="73" spans="1:3" ht="27" customHeight="1" x14ac:dyDescent="0.3">
      <c r="A73" s="1" t="s">
        <v>73</v>
      </c>
      <c r="B73" s="1" t="s">
        <v>131</v>
      </c>
      <c r="C73" t="s">
        <v>115</v>
      </c>
    </row>
    <row r="74" spans="1:3" ht="27" customHeight="1" x14ac:dyDescent="0.3">
      <c r="A74" s="1" t="s">
        <v>44</v>
      </c>
      <c r="B74" s="1" t="s">
        <v>116</v>
      </c>
      <c r="C74" t="s">
        <v>117</v>
      </c>
    </row>
    <row r="75" spans="1:3" ht="27" customHeight="1" x14ac:dyDescent="0.3">
      <c r="A75" s="1" t="s">
        <v>169</v>
      </c>
      <c r="B75" s="1" t="s">
        <v>174</v>
      </c>
      <c r="C75" t="s">
        <v>120</v>
      </c>
    </row>
    <row r="76" spans="1:3" ht="27" customHeight="1" x14ac:dyDescent="0.3">
      <c r="A76" s="1" t="s">
        <v>62</v>
      </c>
      <c r="B76" s="1" t="s">
        <v>108</v>
      </c>
      <c r="C76" t="s">
        <v>110</v>
      </c>
    </row>
    <row r="77" spans="1:3" ht="27" customHeight="1" x14ac:dyDescent="0.3">
      <c r="A77" s="1" t="s">
        <v>25</v>
      </c>
      <c r="B77" s="1" t="s">
        <v>108</v>
      </c>
      <c r="C77" t="s">
        <v>110</v>
      </c>
    </row>
    <row r="78" spans="1:3" ht="27" customHeight="1" x14ac:dyDescent="0.3">
      <c r="A78" s="1" t="s">
        <v>35</v>
      </c>
      <c r="B78" s="1" t="s">
        <v>116</v>
      </c>
      <c r="C78" t="s">
        <v>117</v>
      </c>
    </row>
    <row r="79" spans="1:3" ht="27" customHeight="1" x14ac:dyDescent="0.3">
      <c r="A79" s="1" t="s">
        <v>171</v>
      </c>
      <c r="B79" s="1" t="s">
        <v>174</v>
      </c>
      <c r="C79" t="s">
        <v>120</v>
      </c>
    </row>
    <row r="80" spans="1:3" ht="27" customHeight="1" x14ac:dyDescent="0.3">
      <c r="A80" s="1" t="s">
        <v>11</v>
      </c>
      <c r="B80" s="1" t="s">
        <v>108</v>
      </c>
      <c r="C80" t="s">
        <v>110</v>
      </c>
    </row>
    <row r="81" ht="27" customHeight="1" x14ac:dyDescent="0.3"/>
    <row r="82" ht="27" customHeight="1" x14ac:dyDescent="0.3"/>
    <row r="83" ht="27" customHeight="1" x14ac:dyDescent="0.3"/>
  </sheetData>
  <sheetProtection algorithmName="SHA-512" hashValue="9HbLxifP7qTe+tvB6NM3q/EbnHAQeiRHVXyBHyzfZw4u64UO8WB06LunhY9e+QyDRbWldJ7a9TqEgBzUmLW/qw==" saltValue="RHLDsaSrfgHxuBWhx608kw==" spinCount="100000" sheet="1" objects="1" scenarios="1" formatCells="0" formatColumns="0" formatRows="0"/>
  <mergeCells count="6">
    <mergeCell ref="H1:R1"/>
    <mergeCell ref="G49:I52"/>
    <mergeCell ref="G53:I56"/>
    <mergeCell ref="G33:H33"/>
    <mergeCell ref="G15:I15"/>
    <mergeCell ref="G25:I25"/>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51CDF-CDF4-4F8C-8500-8EE48962986A}">
  <sheetPr codeName="Sheet2">
    <tabColor theme="6"/>
  </sheetPr>
  <dimension ref="A1:AW72"/>
  <sheetViews>
    <sheetView zoomScale="80" zoomScaleNormal="80" workbookViewId="0"/>
  </sheetViews>
  <sheetFormatPr defaultRowHeight="15.6" x14ac:dyDescent="0.3"/>
  <cols>
    <col min="1" max="7" width="6.6640625" style="36" customWidth="1"/>
    <col min="8" max="49" width="6.58203125" style="36" customWidth="1"/>
  </cols>
  <sheetData>
    <row r="1" spans="1:49" ht="30" customHeight="1" x14ac:dyDescent="0.3">
      <c r="A1" s="24"/>
      <c r="B1" s="24"/>
      <c r="C1" s="24"/>
      <c r="D1" s="24"/>
      <c r="E1" s="24"/>
      <c r="F1" s="24"/>
      <c r="G1" s="24"/>
      <c r="H1" s="152" t="s">
        <v>1120</v>
      </c>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24"/>
      <c r="AV1" s="24"/>
      <c r="AW1" s="24"/>
    </row>
    <row r="2" spans="1:49" ht="30" customHeight="1" x14ac:dyDescent="0.3">
      <c r="A2" s="24"/>
      <c r="B2" s="24"/>
      <c r="C2" s="24"/>
      <c r="D2" s="24"/>
      <c r="E2" s="24"/>
      <c r="F2" s="24"/>
      <c r="G2" s="24"/>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24"/>
      <c r="AV2" s="24"/>
      <c r="AW2" s="24"/>
    </row>
    <row r="3" spans="1:49" ht="30" customHeight="1" x14ac:dyDescent="0.3">
      <c r="A3" s="24"/>
      <c r="B3" s="24"/>
      <c r="C3" s="24"/>
      <c r="D3" s="24"/>
      <c r="E3" s="24"/>
      <c r="F3" s="24"/>
      <c r="G3" s="24"/>
      <c r="H3" s="159" t="s">
        <v>1019</v>
      </c>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24"/>
      <c r="AV3" s="24"/>
      <c r="AW3" s="24"/>
    </row>
    <row r="4" spans="1:49" ht="30" customHeight="1" x14ac:dyDescent="0.3">
      <c r="A4" s="24"/>
      <c r="B4" s="24"/>
      <c r="C4" s="24"/>
      <c r="D4" s="24"/>
      <c r="E4" s="24"/>
      <c r="F4" s="24"/>
      <c r="G4" s="24"/>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c r="AI4" s="160"/>
      <c r="AJ4" s="160"/>
      <c r="AK4" s="160"/>
      <c r="AL4" s="160"/>
      <c r="AM4" s="160"/>
      <c r="AN4" s="160"/>
      <c r="AO4" s="160"/>
      <c r="AP4" s="160"/>
      <c r="AQ4" s="160"/>
      <c r="AR4" s="160"/>
      <c r="AS4" s="160"/>
      <c r="AT4" s="160"/>
      <c r="AU4" s="24"/>
      <c r="AV4" s="24"/>
      <c r="AW4" s="24"/>
    </row>
    <row r="5" spans="1:49" ht="30" customHeight="1" x14ac:dyDescent="0.3">
      <c r="A5" s="24"/>
      <c r="B5" s="24"/>
      <c r="C5" s="24"/>
      <c r="D5" s="24"/>
      <c r="E5" s="24"/>
      <c r="F5" s="24"/>
      <c r="G5" s="24"/>
      <c r="H5" s="163" t="s">
        <v>0</v>
      </c>
      <c r="I5" s="161"/>
      <c r="J5" s="161"/>
      <c r="K5" s="161"/>
      <c r="L5" s="161"/>
      <c r="M5" s="161"/>
      <c r="N5" s="161"/>
      <c r="O5" s="161"/>
      <c r="P5" s="161"/>
      <c r="Q5" s="161" t="s">
        <v>955</v>
      </c>
      <c r="R5" s="161"/>
      <c r="S5" s="161"/>
      <c r="T5" s="161"/>
      <c r="U5" s="161"/>
      <c r="V5" s="161" t="s">
        <v>956</v>
      </c>
      <c r="W5" s="161"/>
      <c r="X5" s="161"/>
      <c r="Y5" s="161"/>
      <c r="Z5" s="161" t="s">
        <v>957</v>
      </c>
      <c r="AA5" s="161"/>
      <c r="AB5" s="161"/>
      <c r="AC5" s="161"/>
      <c r="AD5" s="161"/>
      <c r="AE5" s="161"/>
      <c r="AF5" s="161" t="s">
        <v>958</v>
      </c>
      <c r="AG5" s="161"/>
      <c r="AH5" s="161"/>
      <c r="AI5" s="161"/>
      <c r="AJ5" s="161"/>
      <c r="AK5" s="161" t="s">
        <v>959</v>
      </c>
      <c r="AL5" s="161"/>
      <c r="AM5" s="161"/>
      <c r="AN5" s="161"/>
      <c r="AO5" s="161" t="s">
        <v>960</v>
      </c>
      <c r="AP5" s="161"/>
      <c r="AQ5" s="161"/>
      <c r="AR5" s="161"/>
      <c r="AS5" s="161"/>
      <c r="AT5" s="162"/>
      <c r="AU5" s="24"/>
      <c r="AV5" s="24"/>
      <c r="AW5" s="24"/>
    </row>
    <row r="6" spans="1:49" ht="30" customHeight="1" x14ac:dyDescent="0.3">
      <c r="A6" s="24"/>
      <c r="B6" s="24"/>
      <c r="C6" s="24"/>
      <c r="D6" s="24"/>
      <c r="E6" s="24"/>
      <c r="F6" s="24"/>
      <c r="G6" s="24"/>
      <c r="H6" s="168" t="s">
        <v>24</v>
      </c>
      <c r="I6" s="157"/>
      <c r="J6" s="157"/>
      <c r="K6" s="157"/>
      <c r="L6" s="157"/>
      <c r="M6" s="157"/>
      <c r="N6" s="157"/>
      <c r="O6" s="157"/>
      <c r="P6" s="157"/>
      <c r="Q6" s="157" t="str">
        <f>_xlfn.XLOOKUP(H6,Input[Institution Name],Input[Contact Name],"",0,1)</f>
        <v>Gina Councilman</v>
      </c>
      <c r="R6" s="157"/>
      <c r="S6" s="157"/>
      <c r="T6" s="157"/>
      <c r="U6" s="157"/>
      <c r="V6" s="165">
        <f>_xlfn.XLOOKUP(H6,Input[Institution Name],Input[Contact Phone],"",0,1)</f>
        <v>3259422014</v>
      </c>
      <c r="W6" s="165"/>
      <c r="X6" s="165"/>
      <c r="Y6" s="165"/>
      <c r="Z6" s="157" t="str">
        <f>_xlfn.XLOOKUP(H6,Input[Institution Name],Input[Contact Email],"",0,1)</f>
        <v>gina.councilman@angelo.edu</v>
      </c>
      <c r="AA6" s="157"/>
      <c r="AB6" s="157"/>
      <c r="AC6" s="157"/>
      <c r="AD6" s="157"/>
      <c r="AE6" s="157"/>
      <c r="AF6" s="157" t="str">
        <f>_xlfn.XLOOKUP(H6,Input[Institution Name],Input[Contact Name (alt)],"",0,1)</f>
        <v>Jackie Baxter</v>
      </c>
      <c r="AG6" s="157"/>
      <c r="AH6" s="157"/>
      <c r="AI6" s="157"/>
      <c r="AJ6" s="157"/>
      <c r="AK6" s="165">
        <f>_xlfn.XLOOKUP(H6,Input[Institution Name],Input[Contact Phone (alt)],"",0,1)</f>
        <v>3259422014</v>
      </c>
      <c r="AL6" s="165"/>
      <c r="AM6" s="165"/>
      <c r="AN6" s="165"/>
      <c r="AO6" s="157" t="str">
        <f>_xlfn.XLOOKUP(H6,Input[Institution Name],Input[Contact Email (alt)],"",0,1)</f>
        <v xml:space="preserve"> jackie.baxter@angelo.edu</v>
      </c>
      <c r="AP6" s="157"/>
      <c r="AQ6" s="157"/>
      <c r="AR6" s="157"/>
      <c r="AS6" s="157"/>
      <c r="AT6" s="164"/>
      <c r="AU6" s="24"/>
      <c r="AV6" s="24"/>
      <c r="AW6" s="24"/>
    </row>
    <row r="7" spans="1:49" ht="30" customHeight="1" x14ac:dyDescent="0.3">
      <c r="A7" s="24"/>
      <c r="B7" s="24"/>
      <c r="C7" s="24"/>
      <c r="D7" s="24"/>
      <c r="E7" s="24"/>
      <c r="F7" s="24"/>
      <c r="G7" s="24"/>
      <c r="H7" s="167" t="s">
        <v>12</v>
      </c>
      <c r="I7" s="158"/>
      <c r="J7" s="158"/>
      <c r="K7" s="158"/>
      <c r="L7" s="158"/>
      <c r="M7" s="158"/>
      <c r="N7" s="158"/>
      <c r="O7" s="158"/>
      <c r="P7" s="158"/>
      <c r="Q7" s="158" t="str">
        <f>_xlfn.XLOOKUP(H7,Input[Institution Name],Input[Contact Name],"",0,1)</f>
        <v>Nancy Hranicky</v>
      </c>
      <c r="R7" s="158"/>
      <c r="S7" s="158"/>
      <c r="T7" s="158"/>
      <c r="U7" s="158"/>
      <c r="V7" s="169">
        <f>_xlfn.XLOOKUP(H7,Input[Institution Name],Input[Contact Phone],"",0,1)</f>
        <v>9798459761</v>
      </c>
      <c r="W7" s="169"/>
      <c r="X7" s="169"/>
      <c r="Y7" s="169"/>
      <c r="Z7" s="158" t="str">
        <f>_xlfn.XLOOKUP(H7,Input[Institution Name],Input[Contact Email],"",0,1)</f>
        <v>nhranicky@tamus.edu</v>
      </c>
      <c r="AA7" s="158"/>
      <c r="AB7" s="158"/>
      <c r="AC7" s="158"/>
      <c r="AD7" s="158"/>
      <c r="AE7" s="158"/>
      <c r="AF7" s="158" t="str">
        <f>_xlfn.XLOOKUP(H7,Input[Institution Name],Input[Contact Name (alt)],"",0,1)</f>
        <v>Tammy Cooper</v>
      </c>
      <c r="AG7" s="158"/>
      <c r="AH7" s="158"/>
      <c r="AI7" s="158"/>
      <c r="AJ7" s="158"/>
      <c r="AK7" s="169">
        <f>_xlfn.XLOOKUP(H7,Input[Institution Name],Input[Contact Phone (alt)],"",0,1)</f>
        <v>9034686019</v>
      </c>
      <c r="AL7" s="169"/>
      <c r="AM7" s="169"/>
      <c r="AN7" s="169"/>
      <c r="AO7" s="158" t="str">
        <f>_xlfn.XLOOKUP(H7,Input[Institution Name],Input[Contact Email (alt)],"",0,1)</f>
        <v xml:space="preserve"> tammy.cooper@etamu.edu</v>
      </c>
      <c r="AP7" s="158"/>
      <c r="AQ7" s="158"/>
      <c r="AR7" s="158"/>
      <c r="AS7" s="158"/>
      <c r="AT7" s="166"/>
      <c r="AU7" s="24"/>
      <c r="AV7" s="24"/>
      <c r="AW7" s="24"/>
    </row>
    <row r="8" spans="1:49" ht="30" customHeight="1" x14ac:dyDescent="0.3">
      <c r="A8" s="24"/>
      <c r="B8" s="24"/>
      <c r="C8" s="24"/>
      <c r="D8" s="24"/>
      <c r="E8" s="24"/>
      <c r="F8" s="24"/>
      <c r="G8" s="24"/>
      <c r="H8" s="168" t="s">
        <v>38</v>
      </c>
      <c r="I8" s="157"/>
      <c r="J8" s="157"/>
      <c r="K8" s="157"/>
      <c r="L8" s="157"/>
      <c r="M8" s="157"/>
      <c r="N8" s="157"/>
      <c r="O8" s="157"/>
      <c r="P8" s="157"/>
      <c r="Q8" s="157" t="str">
        <f>_xlfn.XLOOKUP(H8,Input[Institution Name],Input[Contact Name],"",0,1)</f>
        <v>Alicia Placette</v>
      </c>
      <c r="R8" s="157"/>
      <c r="S8" s="157"/>
      <c r="T8" s="157"/>
      <c r="U8" s="157"/>
      <c r="V8" s="165">
        <f>_xlfn.XLOOKUP(H8,Input[Institution Name],Input[Contact Phone],"",0,1)</f>
        <v>4092475134</v>
      </c>
      <c r="W8" s="165"/>
      <c r="X8" s="165"/>
      <c r="Y8" s="165"/>
      <c r="Z8" s="157" t="str">
        <f>_xlfn.XLOOKUP(H8,Input[Institution Name],Input[Contact Email],"",0,1)</f>
        <v>aaplacette@lit.edu</v>
      </c>
      <c r="AA8" s="157"/>
      <c r="AB8" s="157"/>
      <c r="AC8" s="157"/>
      <c r="AD8" s="157"/>
      <c r="AE8" s="157"/>
      <c r="AF8" s="157" t="str">
        <f>_xlfn.XLOOKUP(H8,Input[Institution Name],Input[Contact Name (alt)],"",0,1)</f>
        <v>Amanda Retherford</v>
      </c>
      <c r="AG8" s="157"/>
      <c r="AH8" s="157"/>
      <c r="AI8" s="157"/>
      <c r="AJ8" s="157"/>
      <c r="AK8" s="165">
        <f>_xlfn.XLOOKUP(H8,Input[Institution Name],Input[Contact Phone (alt)],"",0,1)</f>
        <v>4098392065</v>
      </c>
      <c r="AL8" s="165"/>
      <c r="AM8" s="165"/>
      <c r="AN8" s="165"/>
      <c r="AO8" s="157" t="str">
        <f>_xlfn.XLOOKUP(H8,Input[Institution Name],Input[Contact Email (alt)],"",0,1)</f>
        <v xml:space="preserve"> amretherford@lit.edu</v>
      </c>
      <c r="AP8" s="157"/>
      <c r="AQ8" s="157"/>
      <c r="AR8" s="157"/>
      <c r="AS8" s="157"/>
      <c r="AT8" s="164"/>
      <c r="AU8" s="24"/>
      <c r="AV8" s="24"/>
      <c r="AW8" s="24"/>
    </row>
    <row r="9" spans="1:49" ht="30" customHeight="1" x14ac:dyDescent="0.3">
      <c r="A9" s="24"/>
      <c r="B9" s="24"/>
      <c r="C9" s="24"/>
      <c r="D9" s="24"/>
      <c r="E9" s="24"/>
      <c r="F9" s="24"/>
      <c r="G9" s="24"/>
      <c r="H9" s="167" t="s">
        <v>39</v>
      </c>
      <c r="I9" s="158"/>
      <c r="J9" s="158"/>
      <c r="K9" s="158"/>
      <c r="L9" s="158"/>
      <c r="M9" s="158"/>
      <c r="N9" s="158"/>
      <c r="O9" s="158"/>
      <c r="P9" s="158"/>
      <c r="Q9" s="158" t="str">
        <f>_xlfn.XLOOKUP(H9,Input[Institution Name],Input[Contact Name],"",0,1)</f>
        <v>Jamie Oltz</v>
      </c>
      <c r="R9" s="158"/>
      <c r="S9" s="158"/>
      <c r="T9" s="158"/>
      <c r="U9" s="158"/>
      <c r="V9" s="169">
        <f>_xlfn.XLOOKUP(H9,Input[Institution Name],Input[Contact Phone],"",0,1)</f>
        <v>4098823365</v>
      </c>
      <c r="W9" s="169"/>
      <c r="X9" s="169"/>
      <c r="Y9" s="169"/>
      <c r="Z9" s="158" t="str">
        <f>_xlfn.XLOOKUP(H9,Input[Institution Name],Input[Contact Email],"",0,1)</f>
        <v>jamie.oltz@lsco.edu</v>
      </c>
      <c r="AA9" s="158"/>
      <c r="AB9" s="158"/>
      <c r="AC9" s="158"/>
      <c r="AD9" s="158"/>
      <c r="AE9" s="158"/>
      <c r="AF9" s="158" t="str">
        <f>_xlfn.XLOOKUP(H9,Input[Institution Name],Input[Contact Name (alt)],"",0,1)</f>
        <v>Carissa Saenz</v>
      </c>
      <c r="AG9" s="158"/>
      <c r="AH9" s="158"/>
      <c r="AI9" s="158"/>
      <c r="AJ9" s="158"/>
      <c r="AK9" s="169">
        <f>_xlfn.XLOOKUP(H9,Input[Institution Name],Input[Contact Phone (alt)],"",0,1)</f>
        <v>4098823915</v>
      </c>
      <c r="AL9" s="169"/>
      <c r="AM9" s="169"/>
      <c r="AN9" s="169"/>
      <c r="AO9" s="158" t="str">
        <f>_xlfn.XLOOKUP(H9,Input[Institution Name],Input[Contact Email (alt)],"",0,1)</f>
        <v xml:space="preserve"> carissa.saenz@lsco.edu</v>
      </c>
      <c r="AP9" s="158"/>
      <c r="AQ9" s="158"/>
      <c r="AR9" s="158"/>
      <c r="AS9" s="158"/>
      <c r="AT9" s="166"/>
      <c r="AU9" s="24"/>
      <c r="AV9" s="24"/>
      <c r="AW9" s="24"/>
    </row>
    <row r="10" spans="1:49" ht="30" customHeight="1" x14ac:dyDescent="0.3">
      <c r="A10" s="24"/>
      <c r="B10" s="24"/>
      <c r="C10" s="24"/>
      <c r="D10" s="24"/>
      <c r="E10" s="24"/>
      <c r="F10" s="24"/>
      <c r="G10" s="24"/>
      <c r="H10" s="168" t="s">
        <v>42</v>
      </c>
      <c r="I10" s="157"/>
      <c r="J10" s="157"/>
      <c r="K10" s="157"/>
      <c r="L10" s="157"/>
      <c r="M10" s="157"/>
      <c r="N10" s="157"/>
      <c r="O10" s="157"/>
      <c r="P10" s="157"/>
      <c r="Q10" s="157" t="str">
        <f>_xlfn.XLOOKUP(H10,Input[Institution Name],Input[Contact Name],"",0,1)</f>
        <v>Newsome Steffany</v>
      </c>
      <c r="R10" s="157"/>
      <c r="S10" s="157"/>
      <c r="T10" s="157"/>
      <c r="U10" s="157"/>
      <c r="V10" s="165">
        <f>_xlfn.XLOOKUP(H10,Input[Institution Name],Input[Contact Phone],"",0,1)</f>
        <v>4099846125</v>
      </c>
      <c r="W10" s="165"/>
      <c r="X10" s="165"/>
      <c r="Y10" s="165"/>
      <c r="Z10" s="157" t="str">
        <f>_xlfn.XLOOKUP(H10,Input[Institution Name],Input[Contact Email],"",0,1)</f>
        <v>newsomes@lamarpa.edu</v>
      </c>
      <c r="AA10" s="157"/>
      <c r="AB10" s="157"/>
      <c r="AC10" s="157"/>
      <c r="AD10" s="157"/>
      <c r="AE10" s="157"/>
      <c r="AF10" s="157" t="str">
        <f>_xlfn.XLOOKUP(H10,Input[Institution Name],Input[Contact Name (alt)],"",0,1)</f>
        <v xml:space="preserve">Clements Brittany </v>
      </c>
      <c r="AG10" s="157"/>
      <c r="AH10" s="157"/>
      <c r="AI10" s="157"/>
      <c r="AJ10" s="157"/>
      <c r="AK10" s="165">
        <f>_xlfn.XLOOKUP(H10,Input[Institution Name],Input[Contact Phone (alt)],"",0,1)</f>
        <v>4099846129</v>
      </c>
      <c r="AL10" s="165"/>
      <c r="AM10" s="165"/>
      <c r="AN10" s="165"/>
      <c r="AO10" s="157" t="str">
        <f>_xlfn.XLOOKUP(H10,Input[Institution Name],Input[Contact Email (alt)],"",0,1)</f>
        <v xml:space="preserve"> taylorbr1@lamarpa.edu</v>
      </c>
      <c r="AP10" s="157"/>
      <c r="AQ10" s="157"/>
      <c r="AR10" s="157"/>
      <c r="AS10" s="157"/>
      <c r="AT10" s="164"/>
      <c r="AU10" s="24"/>
      <c r="AV10" s="24"/>
      <c r="AW10" s="24"/>
    </row>
    <row r="11" spans="1:49" ht="30" customHeight="1" x14ac:dyDescent="0.3">
      <c r="A11" s="24"/>
      <c r="B11" s="24"/>
      <c r="C11" s="24"/>
      <c r="D11" s="24"/>
      <c r="E11" s="24"/>
      <c r="F11" s="24"/>
      <c r="G11" s="24"/>
      <c r="H11" s="167" t="s">
        <v>20</v>
      </c>
      <c r="I11" s="158"/>
      <c r="J11" s="158"/>
      <c r="K11" s="158"/>
      <c r="L11" s="158"/>
      <c r="M11" s="158"/>
      <c r="N11" s="158"/>
      <c r="O11" s="158"/>
      <c r="P11" s="158"/>
      <c r="Q11" s="158" t="str">
        <f>_xlfn.XLOOKUP(H11,Input[Institution Name],Input[Contact Name],"",0,1)</f>
        <v>Spencer Sims</v>
      </c>
      <c r="R11" s="158"/>
      <c r="S11" s="158"/>
      <c r="T11" s="158"/>
      <c r="U11" s="158"/>
      <c r="V11" s="169">
        <f>_xlfn.XLOOKUP(H11,Input[Institution Name],Input[Contact Phone],"",0,1)</f>
        <v>4098801788</v>
      </c>
      <c r="W11" s="169"/>
      <c r="X11" s="169"/>
      <c r="Y11" s="169"/>
      <c r="Z11" s="158" t="str">
        <f>_xlfn.XLOOKUP(H11,Input[Institution Name],Input[Contact Email],"",0,1)</f>
        <v>simsss@lamar.edu</v>
      </c>
      <c r="AA11" s="158"/>
      <c r="AB11" s="158"/>
      <c r="AC11" s="158"/>
      <c r="AD11" s="158"/>
      <c r="AE11" s="158"/>
      <c r="AF11" s="158" t="str">
        <f>_xlfn.XLOOKUP(H11,Input[Institution Name],Input[Contact Name (alt)],"",0,1)</f>
        <v>Aisha Davis</v>
      </c>
      <c r="AG11" s="158"/>
      <c r="AH11" s="158"/>
      <c r="AI11" s="158"/>
      <c r="AJ11" s="158"/>
      <c r="AK11" s="169">
        <f>_xlfn.XLOOKUP(H11,Input[Institution Name],Input[Contact Phone (alt)],"",0,1)</f>
        <v>4098808990</v>
      </c>
      <c r="AL11" s="169"/>
      <c r="AM11" s="169"/>
      <c r="AN11" s="169"/>
      <c r="AO11" s="158" t="str">
        <f>_xlfn.XLOOKUP(H11,Input[Institution Name],Input[Contact Email (alt)],"",0,1)</f>
        <v xml:space="preserve"> aavery7@lamar.edu</v>
      </c>
      <c r="AP11" s="158"/>
      <c r="AQ11" s="158"/>
      <c r="AR11" s="158"/>
      <c r="AS11" s="158"/>
      <c r="AT11" s="166"/>
      <c r="AU11" s="24"/>
      <c r="AV11" s="24"/>
      <c r="AW11" s="24"/>
    </row>
    <row r="12" spans="1:49" ht="30" customHeight="1" x14ac:dyDescent="0.3">
      <c r="A12" s="24"/>
      <c r="B12" s="24"/>
      <c r="C12" s="24"/>
      <c r="D12" s="24"/>
      <c r="E12" s="24"/>
      <c r="F12" s="24"/>
      <c r="G12" s="24"/>
      <c r="H12" s="168" t="s">
        <v>26</v>
      </c>
      <c r="I12" s="157"/>
      <c r="J12" s="157"/>
      <c r="K12" s="157"/>
      <c r="L12" s="157"/>
      <c r="M12" s="157"/>
      <c r="N12" s="157"/>
      <c r="O12" s="157"/>
      <c r="P12" s="157"/>
      <c r="Q12" s="157" t="str">
        <f>_xlfn.XLOOKUP(H12,Input[Institution Name],Input[Contact Name],"",0,1)</f>
        <v>Anna  Daugherty</v>
      </c>
      <c r="R12" s="157"/>
      <c r="S12" s="157"/>
      <c r="T12" s="157"/>
      <c r="U12" s="157"/>
      <c r="V12" s="165">
        <f>_xlfn.XLOOKUP(H12,Input[Institution Name],Input[Contact Phone],"",0,1)</f>
        <v>9403974237</v>
      </c>
      <c r="W12" s="165"/>
      <c r="X12" s="165"/>
      <c r="Y12" s="165"/>
      <c r="Z12" s="157" t="str">
        <f>_xlfn.XLOOKUP(H12,Input[Institution Name],Input[Contact Email],"",0,1)</f>
        <v>anna.daugherty@msutexas.edu</v>
      </c>
      <c r="AA12" s="157"/>
      <c r="AB12" s="157"/>
      <c r="AC12" s="157"/>
      <c r="AD12" s="157"/>
      <c r="AE12" s="157"/>
      <c r="AF12" s="157" t="str">
        <f>_xlfn.XLOOKUP(H12,Input[Institution Name],Input[Contact Name (alt)],"",0,1)</f>
        <v>Chris Stovall</v>
      </c>
      <c r="AG12" s="157"/>
      <c r="AH12" s="157"/>
      <c r="AI12" s="157"/>
      <c r="AJ12" s="157"/>
      <c r="AK12" s="165">
        <f>_xlfn.XLOOKUP(H12,Input[Institution Name],Input[Contact Phone (alt)],"",0,1)</f>
        <v>9403974275</v>
      </c>
      <c r="AL12" s="165"/>
      <c r="AM12" s="165"/>
      <c r="AN12" s="165"/>
      <c r="AO12" s="157" t="str">
        <f>_xlfn.XLOOKUP(H12,Input[Institution Name],Input[Contact Email (alt)],"",0,1)</f>
        <v xml:space="preserve"> chris.stovall@msutexas.edu</v>
      </c>
      <c r="AP12" s="157"/>
      <c r="AQ12" s="157"/>
      <c r="AR12" s="157"/>
      <c r="AS12" s="157"/>
      <c r="AT12" s="164"/>
      <c r="AU12" s="24"/>
      <c r="AV12" s="24"/>
      <c r="AW12" s="24"/>
    </row>
    <row r="13" spans="1:49" ht="30" customHeight="1" x14ac:dyDescent="0.3">
      <c r="A13" s="24"/>
      <c r="B13" s="24"/>
      <c r="C13" s="24"/>
      <c r="D13" s="24"/>
      <c r="E13" s="24"/>
      <c r="F13" s="24"/>
      <c r="G13" s="24"/>
      <c r="H13" s="167" t="s">
        <v>6</v>
      </c>
      <c r="I13" s="158"/>
      <c r="J13" s="158"/>
      <c r="K13" s="158"/>
      <c r="L13" s="158"/>
      <c r="M13" s="158"/>
      <c r="N13" s="158"/>
      <c r="O13" s="158"/>
      <c r="P13" s="158"/>
      <c r="Q13" s="158" t="str">
        <f>_xlfn.XLOOKUP(H13,Input[Institution Name],Input[Contact Name],"",0,1)</f>
        <v>Nancy Hranicky</v>
      </c>
      <c r="R13" s="158"/>
      <c r="S13" s="158"/>
      <c r="T13" s="158"/>
      <c r="U13" s="158"/>
      <c r="V13" s="169">
        <f>_xlfn.XLOOKUP(H13,Input[Institution Name],Input[Contact Phone],"",0,1)</f>
        <v>9798459761</v>
      </c>
      <c r="W13" s="169"/>
      <c r="X13" s="169"/>
      <c r="Y13" s="169"/>
      <c r="Z13" s="158" t="str">
        <f>_xlfn.XLOOKUP(H13,Input[Institution Name],Input[Contact Email],"",0,1)</f>
        <v>nhranicky@tamus.edu</v>
      </c>
      <c r="AA13" s="158"/>
      <c r="AB13" s="158"/>
      <c r="AC13" s="158"/>
      <c r="AD13" s="158"/>
      <c r="AE13" s="158"/>
      <c r="AF13" s="158" t="str">
        <f>_xlfn.XLOOKUP(H13,Input[Institution Name],Input[Contact Name (alt)],"",0,1)</f>
        <v>Theresa Augustin</v>
      </c>
      <c r="AG13" s="158"/>
      <c r="AH13" s="158"/>
      <c r="AI13" s="158"/>
      <c r="AJ13" s="158"/>
      <c r="AK13" s="169">
        <f>_xlfn.XLOOKUP(H13,Input[Institution Name],Input[Contact Phone (alt)],"",0,1)</f>
        <v>9362611909</v>
      </c>
      <c r="AL13" s="169"/>
      <c r="AM13" s="169"/>
      <c r="AN13" s="169"/>
      <c r="AO13" s="158" t="str">
        <f>_xlfn.XLOOKUP(H13,Input[Institution Name],Input[Contact Email (alt)],"",0,1)</f>
        <v xml:space="preserve"> thaugustin@pvamu.edu</v>
      </c>
      <c r="AP13" s="158"/>
      <c r="AQ13" s="158"/>
      <c r="AR13" s="158"/>
      <c r="AS13" s="158"/>
      <c r="AT13" s="166"/>
      <c r="AU13" s="24"/>
      <c r="AV13" s="24"/>
      <c r="AW13" s="24"/>
    </row>
    <row r="14" spans="1:49" ht="30" customHeight="1" x14ac:dyDescent="0.3">
      <c r="A14" s="24"/>
      <c r="B14" s="24"/>
      <c r="C14" s="24"/>
      <c r="D14" s="24"/>
      <c r="E14" s="24"/>
      <c r="F14" s="24"/>
      <c r="G14" s="24"/>
      <c r="H14" s="168" t="s">
        <v>78</v>
      </c>
      <c r="I14" s="157"/>
      <c r="J14" s="157"/>
      <c r="K14" s="157"/>
      <c r="L14" s="157"/>
      <c r="M14" s="157"/>
      <c r="N14" s="157"/>
      <c r="O14" s="157"/>
      <c r="P14" s="157"/>
      <c r="Q14" s="157" t="str">
        <f>_xlfn.XLOOKUP(H14,Input[Institution Name],Input[Contact Name],"",0,1)</f>
        <v>Jennifer Jones</v>
      </c>
      <c r="R14" s="157"/>
      <c r="S14" s="157"/>
      <c r="T14" s="157"/>
      <c r="U14" s="157"/>
      <c r="V14" s="165">
        <f>_xlfn.XLOOKUP(H14,Input[Institution Name],Input[Contact Phone],"",0,1)</f>
        <v>9362943405</v>
      </c>
      <c r="W14" s="165"/>
      <c r="X14" s="165"/>
      <c r="Y14" s="165"/>
      <c r="Z14" s="157" t="str">
        <f>_xlfn.XLOOKUP(H14,Input[Institution Name],Input[Contact Email],"",0,1)</f>
        <v>jlj093@shshu.ed</v>
      </c>
      <c r="AA14" s="157"/>
      <c r="AB14" s="157"/>
      <c r="AC14" s="157"/>
      <c r="AD14" s="157"/>
      <c r="AE14" s="157"/>
      <c r="AF14" s="157" t="str">
        <f>_xlfn.XLOOKUP(H14,Input[Institution Name],Input[Contact Name (alt)],"",0,1)</f>
        <v>Jennifer Babcock</v>
      </c>
      <c r="AG14" s="157"/>
      <c r="AH14" s="157"/>
      <c r="AI14" s="157"/>
      <c r="AJ14" s="157"/>
      <c r="AK14" s="165">
        <f>_xlfn.XLOOKUP(H14,Input[Institution Name],Input[Contact Phone (alt)],"",0,1)</f>
        <v>9362943860</v>
      </c>
      <c r="AL14" s="165"/>
      <c r="AM14" s="165"/>
      <c r="AN14" s="165"/>
      <c r="AO14" s="157" t="str">
        <f>_xlfn.XLOOKUP(H14,Input[Institution Name],Input[Contact Email (alt)],"",0,1)</f>
        <v xml:space="preserve"> jlb050@shsu.edu</v>
      </c>
      <c r="AP14" s="157"/>
      <c r="AQ14" s="157"/>
      <c r="AR14" s="157"/>
      <c r="AS14" s="157"/>
      <c r="AT14" s="164"/>
      <c r="AU14" s="24"/>
      <c r="AV14" s="24"/>
      <c r="AW14" s="24"/>
    </row>
    <row r="15" spans="1:49" ht="30" customHeight="1" x14ac:dyDescent="0.3">
      <c r="A15" s="24"/>
      <c r="B15" s="24"/>
      <c r="C15" s="24"/>
      <c r="D15" s="24"/>
      <c r="E15" s="24"/>
      <c r="F15" s="24"/>
      <c r="G15" s="24"/>
      <c r="H15" s="167" t="s">
        <v>27</v>
      </c>
      <c r="I15" s="158"/>
      <c r="J15" s="158"/>
      <c r="K15" s="158"/>
      <c r="L15" s="158"/>
      <c r="M15" s="158"/>
      <c r="N15" s="158"/>
      <c r="O15" s="158"/>
      <c r="P15" s="158"/>
      <c r="Q15" s="158" t="str">
        <f>_xlfn.XLOOKUP(H15,Input[Institution Name],Input[Contact Name],"",0,1)</f>
        <v>Kendall Rocha</v>
      </c>
      <c r="R15" s="158"/>
      <c r="S15" s="158"/>
      <c r="T15" s="158"/>
      <c r="U15" s="158"/>
      <c r="V15" s="169">
        <f>_xlfn.XLOOKUP(H15,Input[Institution Name],Input[Contact Phone],"",0,1)</f>
        <v>9364682354</v>
      </c>
      <c r="W15" s="169"/>
      <c r="X15" s="169"/>
      <c r="Y15" s="169"/>
      <c r="Z15" s="158" t="str">
        <f>_xlfn.XLOOKUP(H15,Input[Institution Name],Input[Contact Email],"",0,1)</f>
        <v>rochaka@sfasu.edu</v>
      </c>
      <c r="AA15" s="158"/>
      <c r="AB15" s="158"/>
      <c r="AC15" s="158"/>
      <c r="AD15" s="158"/>
      <c r="AE15" s="158"/>
      <c r="AF15" s="158" t="str">
        <f>_xlfn.XLOOKUP(H15,Input[Institution Name],Input[Contact Name (alt)],"",0,1)</f>
        <v>Kay Johnson</v>
      </c>
      <c r="AG15" s="158"/>
      <c r="AH15" s="158"/>
      <c r="AI15" s="158"/>
      <c r="AJ15" s="158"/>
      <c r="AK15" s="169">
        <f>_xlfn.XLOOKUP(H15,Input[Institution Name],Input[Contact Phone (alt)],"",0,1)</f>
        <v>9364686550</v>
      </c>
      <c r="AL15" s="169"/>
      <c r="AM15" s="169"/>
      <c r="AN15" s="169"/>
      <c r="AO15" s="158" t="str">
        <f>_xlfn.XLOOKUP(H15,Input[Institution Name],Input[Contact Email (alt)],"",0,1)</f>
        <v xml:space="preserve"> johnsondk6@sfasu.edu</v>
      </c>
      <c r="AP15" s="158"/>
      <c r="AQ15" s="158"/>
      <c r="AR15" s="158"/>
      <c r="AS15" s="158"/>
      <c r="AT15" s="166"/>
      <c r="AU15" s="24"/>
      <c r="AV15" s="24"/>
      <c r="AW15" s="24"/>
    </row>
    <row r="16" spans="1:49" ht="30" customHeight="1" x14ac:dyDescent="0.3">
      <c r="A16" s="24"/>
      <c r="B16" s="24"/>
      <c r="C16" s="24"/>
      <c r="D16" s="24"/>
      <c r="E16" s="24"/>
      <c r="F16" s="24"/>
      <c r="G16" s="24"/>
      <c r="H16" s="168" t="s">
        <v>22</v>
      </c>
      <c r="I16" s="157"/>
      <c r="J16" s="157"/>
      <c r="K16" s="157"/>
      <c r="L16" s="157"/>
      <c r="M16" s="157"/>
      <c r="N16" s="157"/>
      <c r="O16" s="157"/>
      <c r="P16" s="157"/>
      <c r="Q16" s="157" t="str">
        <f>_xlfn.XLOOKUP(H16,Input[Institution Name],Input[Contact Name],"",0,1)</f>
        <v>Bonnie Albright</v>
      </c>
      <c r="R16" s="157"/>
      <c r="S16" s="157"/>
      <c r="T16" s="157"/>
      <c r="U16" s="157"/>
      <c r="V16" s="165">
        <f>_xlfn.XLOOKUP(H16,Input[Institution Name],Input[Contact Phone],"",0,1)</f>
        <v>4328378078</v>
      </c>
      <c r="W16" s="165"/>
      <c r="X16" s="165"/>
      <c r="Y16" s="165"/>
      <c r="Z16" s="157" t="str">
        <f>_xlfn.XLOOKUP(H16,Input[Institution Name],Input[Contact Email],"",0,1)</f>
        <v>bonnie.albright@sulross.edu</v>
      </c>
      <c r="AA16" s="157"/>
      <c r="AB16" s="157"/>
      <c r="AC16" s="157"/>
      <c r="AD16" s="157"/>
      <c r="AE16" s="157"/>
      <c r="AF16" s="157" t="str">
        <f>_xlfn.XLOOKUP(H16,Input[Institution Name],Input[Contact Name (alt)],"",0,1)</f>
        <v>Alicia Salinas</v>
      </c>
      <c r="AG16" s="157"/>
      <c r="AH16" s="157"/>
      <c r="AI16" s="157"/>
      <c r="AJ16" s="157"/>
      <c r="AK16" s="165">
        <f>_xlfn.XLOOKUP(H16,Input[Institution Name],Input[Contact Phone (alt)],"",0,1)</f>
        <v>4328378009</v>
      </c>
      <c r="AL16" s="165"/>
      <c r="AM16" s="165"/>
      <c r="AN16" s="165"/>
      <c r="AO16" s="157" t="str">
        <f>_xlfn.XLOOKUP(H16,Input[Institution Name],Input[Contact Email (alt)],"",0,1)</f>
        <v xml:space="preserve"> alicia.salinas@sulross.edu</v>
      </c>
      <c r="AP16" s="157"/>
      <c r="AQ16" s="157"/>
      <c r="AR16" s="157"/>
      <c r="AS16" s="157"/>
      <c r="AT16" s="164"/>
      <c r="AU16" s="24"/>
      <c r="AV16" s="24"/>
      <c r="AW16" s="24"/>
    </row>
    <row r="17" spans="1:49" ht="30" customHeight="1" x14ac:dyDescent="0.3">
      <c r="A17" s="24"/>
      <c r="B17" s="24"/>
      <c r="C17" s="24"/>
      <c r="D17" s="24"/>
      <c r="E17" s="24"/>
      <c r="F17" s="24"/>
      <c r="G17" s="24"/>
      <c r="H17" s="167" t="s">
        <v>7</v>
      </c>
      <c r="I17" s="158"/>
      <c r="J17" s="158"/>
      <c r="K17" s="158"/>
      <c r="L17" s="158"/>
      <c r="M17" s="158"/>
      <c r="N17" s="158"/>
      <c r="O17" s="158"/>
      <c r="P17" s="158"/>
      <c r="Q17" s="158" t="str">
        <f>_xlfn.XLOOKUP(H17,Input[Institution Name],Input[Contact Name],"",0,1)</f>
        <v>Nancy Hranicky</v>
      </c>
      <c r="R17" s="158"/>
      <c r="S17" s="158"/>
      <c r="T17" s="158"/>
      <c r="U17" s="158"/>
      <c r="V17" s="169">
        <f>_xlfn.XLOOKUP(H17,Input[Institution Name],Input[Contact Phone],"",0,1)</f>
        <v>9798459761</v>
      </c>
      <c r="W17" s="169"/>
      <c r="X17" s="169"/>
      <c r="Y17" s="169"/>
      <c r="Z17" s="158" t="str">
        <f>_xlfn.XLOOKUP(H17,Input[Institution Name],Input[Contact Email],"",0,1)</f>
        <v>nhranicky@tamus.edu</v>
      </c>
      <c r="AA17" s="158"/>
      <c r="AB17" s="158"/>
      <c r="AC17" s="158"/>
      <c r="AD17" s="158"/>
      <c r="AE17" s="158"/>
      <c r="AF17" s="158" t="str">
        <f>_xlfn.XLOOKUP(H17,Input[Institution Name],Input[Contact Name (alt)],"",0,1)</f>
        <v>Sheila Hawkins</v>
      </c>
      <c r="AG17" s="158"/>
      <c r="AH17" s="158"/>
      <c r="AI17" s="158"/>
      <c r="AJ17" s="158"/>
      <c r="AK17" s="169">
        <f>_xlfn.XLOOKUP(H17,Input[Institution Name],Input[Contact Phone (alt)],"",0,1)</f>
        <v>2549681643</v>
      </c>
      <c r="AL17" s="169"/>
      <c r="AM17" s="169"/>
      <c r="AN17" s="169"/>
      <c r="AO17" s="158" t="str">
        <f>_xlfn.XLOOKUP(H17,Input[Institution Name],Input[Contact Email (alt)],"",0,1)</f>
        <v xml:space="preserve"> hawkins@tarleton.edu</v>
      </c>
      <c r="AP17" s="158"/>
      <c r="AQ17" s="158"/>
      <c r="AR17" s="158"/>
      <c r="AS17" s="158"/>
      <c r="AT17" s="166"/>
      <c r="AU17" s="24"/>
      <c r="AV17" s="24"/>
      <c r="AW17" s="24"/>
    </row>
    <row r="18" spans="1:49" ht="30" customHeight="1" x14ac:dyDescent="0.3">
      <c r="A18" s="24"/>
      <c r="B18" s="24"/>
      <c r="C18" s="24"/>
      <c r="D18" s="24"/>
      <c r="E18" s="24"/>
      <c r="F18" s="24"/>
      <c r="G18" s="24"/>
      <c r="H18" s="168" t="s">
        <v>98</v>
      </c>
      <c r="I18" s="157"/>
      <c r="J18" s="157"/>
      <c r="K18" s="157"/>
      <c r="L18" s="157"/>
      <c r="M18" s="157"/>
      <c r="N18" s="157"/>
      <c r="O18" s="157"/>
      <c r="P18" s="157"/>
      <c r="Q18" s="157" t="str">
        <f>_xlfn.XLOOKUP(H18,Input[Institution Name],Input[Contact Name],"",0,1)</f>
        <v>Nancy Hranicky</v>
      </c>
      <c r="R18" s="157"/>
      <c r="S18" s="157"/>
      <c r="T18" s="157"/>
      <c r="U18" s="157"/>
      <c r="V18" s="165">
        <f>_xlfn.XLOOKUP(H18,Input[Institution Name],Input[Contact Phone],"",0,1)</f>
        <v>9798459761</v>
      </c>
      <c r="W18" s="165"/>
      <c r="X18" s="165"/>
      <c r="Y18" s="165"/>
      <c r="Z18" s="157" t="str">
        <f>_xlfn.XLOOKUP(H18,Input[Institution Name],Input[Contact Email],"",0,1)</f>
        <v>nhranicky@tamus.edu</v>
      </c>
      <c r="AA18" s="157"/>
      <c r="AB18" s="157"/>
      <c r="AC18" s="157"/>
      <c r="AD18" s="157"/>
      <c r="AE18" s="157"/>
      <c r="AF18" s="157" t="str">
        <f>_xlfn.XLOOKUP(H18,Input[Institution Name],Input[Contact Name (alt)],"",0,1)</f>
        <v>Jennifer Cain</v>
      </c>
      <c r="AG18" s="157"/>
      <c r="AH18" s="157"/>
      <c r="AI18" s="157"/>
      <c r="AJ18" s="157"/>
      <c r="AK18" s="165">
        <f>_xlfn.XLOOKUP(H18,Input[Institution Name],Input[Contact Phone (alt)],"",0,1)</f>
        <v>9793140137</v>
      </c>
      <c r="AL18" s="165"/>
      <c r="AM18" s="165"/>
      <c r="AN18" s="165"/>
      <c r="AO18" s="157" t="str">
        <f>_xlfn.XLOOKUP(H18,Input[Institution Name],Input[Contact Email (alt)],"",0,1)</f>
        <v xml:space="preserve"> jennifer.cain@ag.tamu.edu</v>
      </c>
      <c r="AP18" s="157"/>
      <c r="AQ18" s="157"/>
      <c r="AR18" s="157"/>
      <c r="AS18" s="157"/>
      <c r="AT18" s="164"/>
      <c r="AU18" s="24"/>
      <c r="AV18" s="24"/>
      <c r="AW18" s="24"/>
    </row>
    <row r="19" spans="1:49" ht="30" customHeight="1" x14ac:dyDescent="0.3">
      <c r="A19" s="24"/>
      <c r="B19" s="24"/>
      <c r="C19" s="24"/>
      <c r="D19" s="24"/>
      <c r="E19" s="24"/>
      <c r="F19" s="24"/>
      <c r="G19" s="24"/>
      <c r="H19" s="167" t="s">
        <v>53</v>
      </c>
      <c r="I19" s="158"/>
      <c r="J19" s="158"/>
      <c r="K19" s="158"/>
      <c r="L19" s="158"/>
      <c r="M19" s="158"/>
      <c r="N19" s="158"/>
      <c r="O19" s="158"/>
      <c r="P19" s="158"/>
      <c r="Q19" s="158" t="str">
        <f>_xlfn.XLOOKUP(H19,Input[Institution Name],Input[Contact Name],"",0,1)</f>
        <v>Nancy Hranicky</v>
      </c>
      <c r="R19" s="158"/>
      <c r="S19" s="158"/>
      <c r="T19" s="158"/>
      <c r="U19" s="158"/>
      <c r="V19" s="169">
        <f>_xlfn.XLOOKUP(H19,Input[Institution Name],Input[Contact Phone],"",0,1)</f>
        <v>9798459761</v>
      </c>
      <c r="W19" s="169"/>
      <c r="X19" s="169"/>
      <c r="Y19" s="169"/>
      <c r="Z19" s="158" t="str">
        <f>_xlfn.XLOOKUP(H19,Input[Institution Name],Input[Contact Email],"",0,1)</f>
        <v>nhranicky@tamus.edu</v>
      </c>
      <c r="AA19" s="158"/>
      <c r="AB19" s="158"/>
      <c r="AC19" s="158"/>
      <c r="AD19" s="158"/>
      <c r="AE19" s="158"/>
      <c r="AF19" s="158" t="str">
        <f>_xlfn.XLOOKUP(H19,Input[Institution Name],Input[Contact Name (alt)],"",0,1)</f>
        <v>Lyndee Park-Jones</v>
      </c>
      <c r="AG19" s="158"/>
      <c r="AH19" s="158"/>
      <c r="AI19" s="158"/>
      <c r="AJ19" s="158"/>
      <c r="AK19" s="169">
        <f>_xlfn.XLOOKUP(H19,Input[Institution Name],Input[Contact Phone (alt)],"",0,1)</f>
        <v>9793145898</v>
      </c>
      <c r="AL19" s="169"/>
      <c r="AM19" s="169"/>
      <c r="AN19" s="169"/>
      <c r="AO19" s="158" t="str">
        <f>_xlfn.XLOOKUP(H19,Input[Institution Name],Input[Contact Email (alt)],"",0,1)</f>
        <v xml:space="preserve"> lyndee.park@ag.tamu.edu</v>
      </c>
      <c r="AP19" s="158"/>
      <c r="AQ19" s="158"/>
      <c r="AR19" s="158"/>
      <c r="AS19" s="158"/>
      <c r="AT19" s="166"/>
      <c r="AU19" s="24"/>
      <c r="AV19" s="24"/>
      <c r="AW19" s="24"/>
    </row>
    <row r="20" spans="1:49" ht="30" customHeight="1" x14ac:dyDescent="0.3">
      <c r="A20" s="24"/>
      <c r="B20" s="24"/>
      <c r="C20" s="24"/>
      <c r="D20" s="24"/>
      <c r="E20" s="24"/>
      <c r="F20" s="24"/>
      <c r="G20" s="24"/>
      <c r="H20" s="168" t="s">
        <v>54</v>
      </c>
      <c r="I20" s="157"/>
      <c r="J20" s="157"/>
      <c r="K20" s="157"/>
      <c r="L20" s="157"/>
      <c r="M20" s="157"/>
      <c r="N20" s="157"/>
      <c r="O20" s="157"/>
      <c r="P20" s="157"/>
      <c r="Q20" s="157" t="str">
        <f>_xlfn.XLOOKUP(H20,Input[Institution Name],Input[Contact Name],"",0,1)</f>
        <v>Nancy Hranicky</v>
      </c>
      <c r="R20" s="157"/>
      <c r="S20" s="157"/>
      <c r="T20" s="157"/>
      <c r="U20" s="157"/>
      <c r="V20" s="165">
        <f>_xlfn.XLOOKUP(H20,Input[Institution Name],Input[Contact Phone],"",0,1)</f>
        <v>9798459761</v>
      </c>
      <c r="W20" s="165"/>
      <c r="X20" s="165"/>
      <c r="Y20" s="165"/>
      <c r="Z20" s="157" t="str">
        <f>_xlfn.XLOOKUP(H20,Input[Institution Name],Input[Contact Email],"",0,1)</f>
        <v>nhranicky@tamus.edu</v>
      </c>
      <c r="AA20" s="157"/>
      <c r="AB20" s="157"/>
      <c r="AC20" s="157"/>
      <c r="AD20" s="157"/>
      <c r="AE20" s="157"/>
      <c r="AF20" s="157" t="str">
        <f>_xlfn.XLOOKUP(H20,Input[Institution Name],Input[Contact Name (alt)],"",0,1)</f>
        <v>Jiying  Yu</v>
      </c>
      <c r="AG20" s="157"/>
      <c r="AH20" s="157"/>
      <c r="AI20" s="157"/>
      <c r="AJ20" s="157"/>
      <c r="AK20" s="165">
        <f>_xlfn.XLOOKUP(H20,Input[Institution Name],Input[Contact Phone (alt)],"",0,1)</f>
        <v>9794588986</v>
      </c>
      <c r="AL20" s="165"/>
      <c r="AM20" s="165"/>
      <c r="AN20" s="165"/>
      <c r="AO20" s="157" t="str">
        <f>_xlfn.XLOOKUP(H20,Input[Institution Name],Input[Contact Email (alt)],"",0,1)</f>
        <v xml:space="preserve"> j-yu@tamu.edu</v>
      </c>
      <c r="AP20" s="157"/>
      <c r="AQ20" s="157"/>
      <c r="AR20" s="157"/>
      <c r="AS20" s="157"/>
      <c r="AT20" s="164"/>
      <c r="AU20" s="24"/>
      <c r="AV20" s="24"/>
      <c r="AW20" s="24"/>
    </row>
    <row r="21" spans="1:49" ht="30" customHeight="1" x14ac:dyDescent="0.3">
      <c r="A21" s="24"/>
      <c r="B21" s="24"/>
      <c r="C21" s="24"/>
      <c r="D21" s="24"/>
      <c r="E21" s="24"/>
      <c r="F21" s="24"/>
      <c r="G21" s="24"/>
      <c r="H21" s="167" t="s">
        <v>99</v>
      </c>
      <c r="I21" s="158"/>
      <c r="J21" s="158"/>
      <c r="K21" s="158"/>
      <c r="L21" s="158"/>
      <c r="M21" s="158"/>
      <c r="N21" s="158"/>
      <c r="O21" s="158"/>
      <c r="P21" s="158"/>
      <c r="Q21" s="158" t="str">
        <f>_xlfn.XLOOKUP(H21,Input[Institution Name],Input[Contact Name],"",0,1)</f>
        <v>Nancy Hranicky</v>
      </c>
      <c r="R21" s="158"/>
      <c r="S21" s="158"/>
      <c r="T21" s="158"/>
      <c r="U21" s="158"/>
      <c r="V21" s="169">
        <f>_xlfn.XLOOKUP(H21,Input[Institution Name],Input[Contact Phone],"",0,1)</f>
        <v>9798459761</v>
      </c>
      <c r="W21" s="169"/>
      <c r="X21" s="169"/>
      <c r="Y21" s="169"/>
      <c r="Z21" s="158" t="str">
        <f>_xlfn.XLOOKUP(H21,Input[Institution Name],Input[Contact Email],"",0,1)</f>
        <v>nhranicky@tamus.edu</v>
      </c>
      <c r="AA21" s="158"/>
      <c r="AB21" s="158"/>
      <c r="AC21" s="158"/>
      <c r="AD21" s="158"/>
      <c r="AE21" s="158"/>
      <c r="AF21" s="158" t="str">
        <f>_xlfn.XLOOKUP(H21,Input[Institution Name],Input[Contact Name (alt)],"",0,1)</f>
        <v>Deepak Tyagi</v>
      </c>
      <c r="AG21" s="158"/>
      <c r="AH21" s="158"/>
      <c r="AI21" s="158"/>
      <c r="AJ21" s="158"/>
      <c r="AK21" s="169">
        <f>_xlfn.XLOOKUP(H21,Input[Institution Name],Input[Contact Phone (alt)],"",0,1)</f>
        <v>9795006622</v>
      </c>
      <c r="AL21" s="169"/>
      <c r="AM21" s="169"/>
      <c r="AN21" s="169"/>
      <c r="AO21" s="158" t="str">
        <f>_xlfn.XLOOKUP(H21,Input[Institution Name],Input[Contact Email (alt)],"",0,1)</f>
        <v xml:space="preserve"> monty.tyagi@teex.tamu.edu</v>
      </c>
      <c r="AP21" s="158"/>
      <c r="AQ21" s="158"/>
      <c r="AR21" s="158"/>
      <c r="AS21" s="158"/>
      <c r="AT21" s="166"/>
      <c r="AU21" s="24"/>
      <c r="AV21" s="24"/>
      <c r="AW21" s="24"/>
    </row>
    <row r="22" spans="1:49" ht="30" customHeight="1" x14ac:dyDescent="0.3">
      <c r="A22" s="24"/>
      <c r="B22" s="24"/>
      <c r="C22" s="24"/>
      <c r="D22" s="24"/>
      <c r="E22" s="24"/>
      <c r="F22" s="24"/>
      <c r="G22" s="24"/>
      <c r="H22" s="168" t="s">
        <v>100</v>
      </c>
      <c r="I22" s="157"/>
      <c r="J22" s="157"/>
      <c r="K22" s="157"/>
      <c r="L22" s="157"/>
      <c r="M22" s="157"/>
      <c r="N22" s="157"/>
      <c r="O22" s="157"/>
      <c r="P22" s="157"/>
      <c r="Q22" s="157" t="str">
        <f>_xlfn.XLOOKUP(H22,Input[Institution Name],Input[Contact Name],"",0,1)</f>
        <v>Nancy Hranicky</v>
      </c>
      <c r="R22" s="157"/>
      <c r="S22" s="157"/>
      <c r="T22" s="157"/>
      <c r="U22" s="157"/>
      <c r="V22" s="165">
        <f>_xlfn.XLOOKUP(H22,Input[Institution Name],Input[Contact Phone],"",0,1)</f>
        <v>9798459761</v>
      </c>
      <c r="W22" s="165"/>
      <c r="X22" s="165"/>
      <c r="Y22" s="165"/>
      <c r="Z22" s="157" t="str">
        <f>_xlfn.XLOOKUP(H22,Input[Institution Name],Input[Contact Email],"",0,1)</f>
        <v>nhranicky@tamus.edu</v>
      </c>
      <c r="AA22" s="157"/>
      <c r="AB22" s="157"/>
      <c r="AC22" s="157"/>
      <c r="AD22" s="157"/>
      <c r="AE22" s="157"/>
      <c r="AF22" s="157" t="str">
        <f>_xlfn.XLOOKUP(H22,Input[Institution Name],Input[Contact Name (alt)],"",0,1)</f>
        <v>Travis Zamzow</v>
      </c>
      <c r="AG22" s="157"/>
      <c r="AH22" s="157"/>
      <c r="AI22" s="157"/>
      <c r="AJ22" s="157"/>
      <c r="AK22" s="165">
        <f>_xlfn.XLOOKUP(H22,Input[Institution Name],Input[Contact Phone (alt)],"",0,1)</f>
        <v>9794587301</v>
      </c>
      <c r="AL22" s="165"/>
      <c r="AM22" s="165"/>
      <c r="AN22" s="165"/>
      <c r="AO22" s="157" t="str">
        <f>_xlfn.XLOOKUP(H22,Input[Institution Name],Input[Contact Email (alt)],"",0,1)</f>
        <v xml:space="preserve"> tzamzow@tfs.tamu.edu</v>
      </c>
      <c r="AP22" s="157"/>
      <c r="AQ22" s="157"/>
      <c r="AR22" s="157"/>
      <c r="AS22" s="157"/>
      <c r="AT22" s="164"/>
      <c r="AU22" s="24"/>
      <c r="AV22" s="24"/>
      <c r="AW22" s="24"/>
    </row>
    <row r="23" spans="1:49" ht="30" customHeight="1" x14ac:dyDescent="0.3">
      <c r="A23" s="24"/>
      <c r="B23" s="24"/>
      <c r="C23" s="24"/>
      <c r="D23" s="24"/>
      <c r="E23" s="24"/>
      <c r="F23" s="24"/>
      <c r="G23" s="24"/>
      <c r="H23" s="167" t="s">
        <v>10</v>
      </c>
      <c r="I23" s="158"/>
      <c r="J23" s="158"/>
      <c r="K23" s="158"/>
      <c r="L23" s="158"/>
      <c r="M23" s="158"/>
      <c r="N23" s="158"/>
      <c r="O23" s="158"/>
      <c r="P23" s="158"/>
      <c r="Q23" s="158" t="str">
        <f>_xlfn.XLOOKUP(H23,Input[Institution Name],Input[Contact Name],"",0,1)</f>
        <v>Nancy Hranicky</v>
      </c>
      <c r="R23" s="158"/>
      <c r="S23" s="158"/>
      <c r="T23" s="158"/>
      <c r="U23" s="158"/>
      <c r="V23" s="169">
        <f>_xlfn.XLOOKUP(H23,Input[Institution Name],Input[Contact Phone],"",0,1)</f>
        <v>9798459761</v>
      </c>
      <c r="W23" s="169"/>
      <c r="X23" s="169"/>
      <c r="Y23" s="169"/>
      <c r="Z23" s="158" t="str">
        <f>_xlfn.XLOOKUP(H23,Input[Institution Name],Input[Contact Email],"",0,1)</f>
        <v>nhranicky@tamus.edu</v>
      </c>
      <c r="AA23" s="158"/>
      <c r="AB23" s="158"/>
      <c r="AC23" s="158"/>
      <c r="AD23" s="158"/>
      <c r="AE23" s="158"/>
      <c r="AF23" s="158" t="str">
        <f>_xlfn.XLOOKUP(H23,Input[Institution Name],Input[Contact Name (alt)],"",0,1)</f>
        <v>Elena Martinez</v>
      </c>
      <c r="AG23" s="158"/>
      <c r="AH23" s="158"/>
      <c r="AI23" s="158"/>
      <c r="AJ23" s="158"/>
      <c r="AK23" s="169">
        <f>_xlfn.XLOOKUP(H23,Input[Institution Name],Input[Contact Phone (alt)],"",0,1)</f>
        <v>9563262433</v>
      </c>
      <c r="AL23" s="169"/>
      <c r="AM23" s="169"/>
      <c r="AN23" s="169"/>
      <c r="AO23" s="158" t="str">
        <f>_xlfn.XLOOKUP(H23,Input[Institution Name],Input[Contact Email (alt)],"",0,1)</f>
        <v xml:space="preserve"> emartinez@tamiu.edu</v>
      </c>
      <c r="AP23" s="158"/>
      <c r="AQ23" s="158"/>
      <c r="AR23" s="158"/>
      <c r="AS23" s="158"/>
      <c r="AT23" s="166"/>
      <c r="AU23" s="24"/>
      <c r="AV23" s="24"/>
      <c r="AW23" s="24"/>
    </row>
    <row r="24" spans="1:49" ht="30" customHeight="1" x14ac:dyDescent="0.3">
      <c r="A24" s="24"/>
      <c r="B24" s="24"/>
      <c r="C24" s="24"/>
      <c r="D24" s="24"/>
      <c r="E24" s="24"/>
      <c r="F24" s="24"/>
      <c r="G24" s="24"/>
      <c r="H24" s="168" t="s">
        <v>104</v>
      </c>
      <c r="I24" s="157"/>
      <c r="J24" s="157"/>
      <c r="K24" s="157"/>
      <c r="L24" s="157"/>
      <c r="M24" s="157"/>
      <c r="N24" s="157"/>
      <c r="O24" s="157"/>
      <c r="P24" s="157"/>
      <c r="Q24" s="157" t="str">
        <f>_xlfn.XLOOKUP(H24,Input[Institution Name],Input[Contact Name],"",0,1)</f>
        <v>Nancy Hranicky</v>
      </c>
      <c r="R24" s="157"/>
      <c r="S24" s="157"/>
      <c r="T24" s="157"/>
      <c r="U24" s="157"/>
      <c r="V24" s="165">
        <f>_xlfn.XLOOKUP(H24,Input[Institution Name],Input[Contact Phone],"",0,1)</f>
        <v>9798459761</v>
      </c>
      <c r="W24" s="165"/>
      <c r="X24" s="165"/>
      <c r="Y24" s="165"/>
      <c r="Z24" s="157" t="str">
        <f>_xlfn.XLOOKUP(H24,Input[Institution Name],Input[Contact Email],"",0,1)</f>
        <v>nhranicky@tamus.edu</v>
      </c>
      <c r="AA24" s="157"/>
      <c r="AB24" s="157"/>
      <c r="AC24" s="157"/>
      <c r="AD24" s="157"/>
      <c r="AE24" s="157"/>
      <c r="AF24" s="157" t="str">
        <f>_xlfn.XLOOKUP(H24,Input[Institution Name],Input[Contact Name (alt)],"",0,1)</f>
        <v>Verna Fritsch</v>
      </c>
      <c r="AG24" s="157"/>
      <c r="AH24" s="157"/>
      <c r="AI24" s="157"/>
      <c r="AJ24" s="157"/>
      <c r="AK24" s="165">
        <f>_xlfn.XLOOKUP(H24,Input[Institution Name],Input[Contact Phone (alt)],"",0,1)</f>
        <v>9794586090</v>
      </c>
      <c r="AL24" s="165"/>
      <c r="AM24" s="165"/>
      <c r="AN24" s="165"/>
      <c r="AO24" s="157" t="str">
        <f>_xlfn.XLOOKUP(H24,Input[Institution Name],Input[Contact Email (alt)],"",0,1)</f>
        <v xml:space="preserve"> vfritsche@tamus.edu</v>
      </c>
      <c r="AP24" s="157"/>
      <c r="AQ24" s="157"/>
      <c r="AR24" s="157"/>
      <c r="AS24" s="157"/>
      <c r="AT24" s="164"/>
      <c r="AU24" s="24"/>
      <c r="AV24" s="24"/>
      <c r="AW24" s="24"/>
    </row>
    <row r="25" spans="1:49" ht="30" customHeight="1" x14ac:dyDescent="0.3">
      <c r="A25" s="24"/>
      <c r="B25" s="24"/>
      <c r="C25" s="24"/>
      <c r="D25" s="24"/>
      <c r="E25" s="24"/>
      <c r="F25" s="24"/>
      <c r="G25" s="24"/>
      <c r="H25" s="167" t="s">
        <v>101</v>
      </c>
      <c r="I25" s="158"/>
      <c r="J25" s="158"/>
      <c r="K25" s="158"/>
      <c r="L25" s="158"/>
      <c r="M25" s="158"/>
      <c r="N25" s="158"/>
      <c r="O25" s="158"/>
      <c r="P25" s="158"/>
      <c r="Q25" s="158" t="str">
        <f>_xlfn.XLOOKUP(H25,Input[Institution Name],Input[Contact Name],"",0,1)</f>
        <v>Nancy Hranicky</v>
      </c>
      <c r="R25" s="158"/>
      <c r="S25" s="158"/>
      <c r="T25" s="158"/>
      <c r="U25" s="158"/>
      <c r="V25" s="169">
        <f>_xlfn.XLOOKUP(H25,Input[Institution Name],Input[Contact Phone],"",0,1)</f>
        <v>9798459761</v>
      </c>
      <c r="W25" s="169"/>
      <c r="X25" s="169"/>
      <c r="Y25" s="169"/>
      <c r="Z25" s="158" t="str">
        <f>_xlfn.XLOOKUP(H25,Input[Institution Name],Input[Contact Email],"",0,1)</f>
        <v>nhranicky@tamus.edu</v>
      </c>
      <c r="AA25" s="158"/>
      <c r="AB25" s="158"/>
      <c r="AC25" s="158"/>
      <c r="AD25" s="158"/>
      <c r="AE25" s="158"/>
      <c r="AF25" s="158" t="str">
        <f>_xlfn.XLOOKUP(H25,Input[Institution Name],Input[Contact Name (alt)],"",0,1)</f>
        <v>Stephanie Barnett</v>
      </c>
      <c r="AG25" s="158"/>
      <c r="AH25" s="158"/>
      <c r="AI25" s="158"/>
      <c r="AJ25" s="158"/>
      <c r="AK25" s="169">
        <f>_xlfn.XLOOKUP(H25,Input[Institution Name],Input[Contact Phone (alt)],"",0,1)</f>
        <v>9793172757</v>
      </c>
      <c r="AL25" s="169"/>
      <c r="AM25" s="169"/>
      <c r="AN25" s="169"/>
      <c r="AO25" s="158" t="str">
        <f>_xlfn.XLOOKUP(H25,Input[Institution Name],Input[Contact Email (alt)],"",0,1)</f>
        <v xml:space="preserve"> s-barnett@tti.tamu.edu</v>
      </c>
      <c r="AP25" s="158"/>
      <c r="AQ25" s="158"/>
      <c r="AR25" s="158"/>
      <c r="AS25" s="158"/>
      <c r="AT25" s="166"/>
      <c r="AU25" s="24"/>
      <c r="AV25" s="24"/>
      <c r="AW25" s="24"/>
    </row>
    <row r="26" spans="1:49" ht="30" customHeight="1" x14ac:dyDescent="0.3">
      <c r="A26" s="24"/>
      <c r="B26" s="24"/>
      <c r="C26" s="24"/>
      <c r="D26" s="24"/>
      <c r="E26" s="24"/>
      <c r="F26" s="24"/>
      <c r="G26" s="24"/>
      <c r="H26" s="168" t="s">
        <v>4</v>
      </c>
      <c r="I26" s="157"/>
      <c r="J26" s="157"/>
      <c r="K26" s="157"/>
      <c r="L26" s="157"/>
      <c r="M26" s="157"/>
      <c r="N26" s="157"/>
      <c r="O26" s="157"/>
      <c r="P26" s="157"/>
      <c r="Q26" s="157" t="str">
        <f>_xlfn.XLOOKUP(H26,Input[Institution Name],Input[Contact Name],"",0,1)</f>
        <v>Nancy Hranicky</v>
      </c>
      <c r="R26" s="157"/>
      <c r="S26" s="157"/>
      <c r="T26" s="157"/>
      <c r="U26" s="157"/>
      <c r="V26" s="165">
        <f>_xlfn.XLOOKUP(H26,Input[Institution Name],Input[Contact Phone],"",0,1)</f>
        <v>9798459761</v>
      </c>
      <c r="W26" s="165"/>
      <c r="X26" s="165"/>
      <c r="Y26" s="165"/>
      <c r="Z26" s="157" t="str">
        <f>_xlfn.XLOOKUP(H26,Input[Institution Name],Input[Contact Email],"",0,1)</f>
        <v>nhranicky@tamus.edu</v>
      </c>
      <c r="AA26" s="157"/>
      <c r="AB26" s="157"/>
      <c r="AC26" s="157"/>
      <c r="AD26" s="157"/>
      <c r="AE26" s="157"/>
      <c r="AF26" s="157" t="str">
        <f>_xlfn.XLOOKUP(H26,Input[Institution Name],Input[Contact Name (alt)],"",0,1)</f>
        <v>Cris Sowden</v>
      </c>
      <c r="AG26" s="157"/>
      <c r="AH26" s="157"/>
      <c r="AI26" s="157"/>
      <c r="AJ26" s="157"/>
      <c r="AK26" s="165">
        <f>_xlfn.XLOOKUP(H26,Input[Institution Name],Input[Contact Phone (alt)],"",0,1)</f>
        <v>9794581866</v>
      </c>
      <c r="AL26" s="165"/>
      <c r="AM26" s="165"/>
      <c r="AN26" s="165"/>
      <c r="AO26" s="157" t="str">
        <f>_xlfn.XLOOKUP(H26,Input[Institution Name],Input[Contact Email (alt)],"",0,1)</f>
        <v xml:space="preserve"> crisla@tamu.edu</v>
      </c>
      <c r="AP26" s="157"/>
      <c r="AQ26" s="157"/>
      <c r="AR26" s="157"/>
      <c r="AS26" s="157"/>
      <c r="AT26" s="164"/>
      <c r="AU26" s="24"/>
      <c r="AV26" s="24"/>
      <c r="AW26" s="24"/>
    </row>
    <row r="27" spans="1:49" ht="30" customHeight="1" x14ac:dyDescent="0.3">
      <c r="A27" s="24"/>
      <c r="B27" s="24"/>
      <c r="C27" s="24"/>
      <c r="D27" s="24"/>
      <c r="E27" s="24"/>
      <c r="F27" s="24"/>
      <c r="G27" s="24"/>
      <c r="H27" s="167" t="s">
        <v>14</v>
      </c>
      <c r="I27" s="158"/>
      <c r="J27" s="158"/>
      <c r="K27" s="158"/>
      <c r="L27" s="158"/>
      <c r="M27" s="158"/>
      <c r="N27" s="158"/>
      <c r="O27" s="158"/>
      <c r="P27" s="158"/>
      <c r="Q27" s="158" t="str">
        <f>_xlfn.XLOOKUP(H27,Input[Institution Name],Input[Contact Name],"",0,1)</f>
        <v>Nancy Hranicky</v>
      </c>
      <c r="R27" s="158"/>
      <c r="S27" s="158"/>
      <c r="T27" s="158"/>
      <c r="U27" s="158"/>
      <c r="V27" s="169">
        <f>_xlfn.XLOOKUP(H27,Input[Institution Name],Input[Contact Phone],"",0,1)</f>
        <v>9798459761</v>
      </c>
      <c r="W27" s="169"/>
      <c r="X27" s="169"/>
      <c r="Y27" s="169"/>
      <c r="Z27" s="158" t="str">
        <f>_xlfn.XLOOKUP(H27,Input[Institution Name],Input[Contact Email],"",0,1)</f>
        <v>nhranicky@tamus.edu</v>
      </c>
      <c r="AA27" s="158"/>
      <c r="AB27" s="158"/>
      <c r="AC27" s="158"/>
      <c r="AD27" s="158"/>
      <c r="AE27" s="158"/>
      <c r="AF27" s="158" t="str">
        <f>_xlfn.XLOOKUP(H27,Input[Institution Name],Input[Contact Name (alt)],"",0,1)</f>
        <v>Danielle Clouden</v>
      </c>
      <c r="AG27" s="158"/>
      <c r="AH27" s="158"/>
      <c r="AI27" s="158"/>
      <c r="AJ27" s="158"/>
      <c r="AK27" s="169">
        <f>_xlfn.XLOOKUP(H27,Input[Institution Name],Input[Contact Phone (alt)],"",0,1)</f>
        <v>2545195433</v>
      </c>
      <c r="AL27" s="169"/>
      <c r="AM27" s="169"/>
      <c r="AN27" s="169"/>
      <c r="AO27" s="158" t="str">
        <f>_xlfn.XLOOKUP(H27,Input[Institution Name],Input[Contact Email (alt)],"",0,1)</f>
        <v xml:space="preserve"> d.clouden@tamuct.edu</v>
      </c>
      <c r="AP27" s="158"/>
      <c r="AQ27" s="158"/>
      <c r="AR27" s="158"/>
      <c r="AS27" s="158"/>
      <c r="AT27" s="166"/>
      <c r="AU27" s="24"/>
      <c r="AV27" s="24"/>
      <c r="AW27" s="24"/>
    </row>
    <row r="28" spans="1:49" ht="30" customHeight="1" x14ac:dyDescent="0.3">
      <c r="A28" s="24"/>
      <c r="B28" s="24"/>
      <c r="C28" s="24"/>
      <c r="D28" s="24"/>
      <c r="E28" s="24"/>
      <c r="F28" s="24"/>
      <c r="G28" s="24"/>
      <c r="H28" s="168" t="s">
        <v>8</v>
      </c>
      <c r="I28" s="157"/>
      <c r="J28" s="157"/>
      <c r="K28" s="157"/>
      <c r="L28" s="157"/>
      <c r="M28" s="157"/>
      <c r="N28" s="157"/>
      <c r="O28" s="157"/>
      <c r="P28" s="157"/>
      <c r="Q28" s="157" t="str">
        <f>_xlfn.XLOOKUP(H28,Input[Institution Name],Input[Contact Name],"",0,1)</f>
        <v>Nancy Hranicky</v>
      </c>
      <c r="R28" s="157"/>
      <c r="S28" s="157"/>
      <c r="T28" s="157"/>
      <c r="U28" s="157"/>
      <c r="V28" s="165">
        <f>_xlfn.XLOOKUP(H28,Input[Institution Name],Input[Contact Phone],"",0,1)</f>
        <v>9798459761</v>
      </c>
      <c r="W28" s="165"/>
      <c r="X28" s="165"/>
      <c r="Y28" s="165"/>
      <c r="Z28" s="157" t="str">
        <f>_xlfn.XLOOKUP(H28,Input[Institution Name],Input[Contact Email],"",0,1)</f>
        <v>nhranicky@tamus.edu</v>
      </c>
      <c r="AA28" s="157"/>
      <c r="AB28" s="157"/>
      <c r="AC28" s="157"/>
      <c r="AD28" s="157"/>
      <c r="AE28" s="157"/>
      <c r="AF28" s="157" t="str">
        <f>_xlfn.XLOOKUP(H28,Input[Institution Name],Input[Contact Name (alt)],"",0,1)</f>
        <v>Cassie Eyring</v>
      </c>
      <c r="AG28" s="157"/>
      <c r="AH28" s="157"/>
      <c r="AI28" s="157"/>
      <c r="AJ28" s="157"/>
      <c r="AK28" s="165">
        <f>_xlfn.XLOOKUP(H28,Input[Institution Name],Input[Contact Phone (alt)],"",0,1)</f>
        <v>3618255571</v>
      </c>
      <c r="AL28" s="165"/>
      <c r="AM28" s="165"/>
      <c r="AN28" s="165"/>
      <c r="AO28" s="157" t="str">
        <f>_xlfn.XLOOKUP(H28,Input[Institution Name],Input[Contact Email (alt)],"",0,1)</f>
        <v xml:space="preserve"> cassie.eyring@tamucc.edu</v>
      </c>
      <c r="AP28" s="157"/>
      <c r="AQ28" s="157"/>
      <c r="AR28" s="157"/>
      <c r="AS28" s="157"/>
      <c r="AT28" s="164"/>
      <c r="AU28" s="24"/>
      <c r="AV28" s="24"/>
      <c r="AW28" s="24"/>
    </row>
    <row r="29" spans="1:49" ht="30" customHeight="1" x14ac:dyDescent="0.3">
      <c r="A29" s="24"/>
      <c r="B29" s="24"/>
      <c r="C29" s="24"/>
      <c r="D29" s="24"/>
      <c r="E29" s="24"/>
      <c r="F29" s="24"/>
      <c r="G29" s="24"/>
      <c r="H29" s="167" t="s">
        <v>9</v>
      </c>
      <c r="I29" s="158"/>
      <c r="J29" s="158"/>
      <c r="K29" s="158"/>
      <c r="L29" s="158"/>
      <c r="M29" s="158"/>
      <c r="N29" s="158"/>
      <c r="O29" s="158"/>
      <c r="P29" s="158"/>
      <c r="Q29" s="158" t="str">
        <f>_xlfn.XLOOKUP(H29,Input[Institution Name],Input[Contact Name],"",0,1)</f>
        <v>Samantha Padilla</v>
      </c>
      <c r="R29" s="158"/>
      <c r="S29" s="158"/>
      <c r="T29" s="158"/>
      <c r="U29" s="158"/>
      <c r="V29" s="169">
        <f>_xlfn.XLOOKUP(H29,Input[Institution Name],Input[Contact Phone],"",0,1)</f>
        <v>3615934965</v>
      </c>
      <c r="W29" s="169"/>
      <c r="X29" s="169"/>
      <c r="Y29" s="169"/>
      <c r="Z29" s="158" t="str">
        <f>_xlfn.XLOOKUP(H29,Input[Institution Name],Input[Contact Email],"",0,1)</f>
        <v>samantha.padilla@tamuk.edu</v>
      </c>
      <c r="AA29" s="158"/>
      <c r="AB29" s="158"/>
      <c r="AC29" s="158"/>
      <c r="AD29" s="158"/>
      <c r="AE29" s="158"/>
      <c r="AF29" s="158" t="str">
        <f>_xlfn.XLOOKUP(H29,Input[Institution Name],Input[Contact Name (alt)],"",0,1)</f>
        <v>Robyn Wallace</v>
      </c>
      <c r="AG29" s="158"/>
      <c r="AH29" s="158"/>
      <c r="AI29" s="158"/>
      <c r="AJ29" s="158"/>
      <c r="AK29" s="169">
        <f>_xlfn.XLOOKUP(H29,Input[Institution Name],Input[Contact Phone (alt)],"",0,1)</f>
        <v>3615932520</v>
      </c>
      <c r="AL29" s="169"/>
      <c r="AM29" s="169"/>
      <c r="AN29" s="169"/>
      <c r="AO29" s="158" t="str">
        <f>_xlfn.XLOOKUP(H29,Input[Institution Name],Input[Contact Email (alt)],"",0,1)</f>
        <v xml:space="preserve"> robyn.wallace@tamuk.edu</v>
      </c>
      <c r="AP29" s="158"/>
      <c r="AQ29" s="158"/>
      <c r="AR29" s="158"/>
      <c r="AS29" s="158"/>
      <c r="AT29" s="166"/>
      <c r="AU29" s="24"/>
      <c r="AV29" s="24"/>
      <c r="AW29" s="24"/>
    </row>
    <row r="30" spans="1:49" ht="30" customHeight="1" x14ac:dyDescent="0.3">
      <c r="A30" s="24"/>
      <c r="B30" s="24"/>
      <c r="C30" s="24"/>
      <c r="D30" s="24"/>
      <c r="E30" s="24"/>
      <c r="F30" s="24"/>
      <c r="G30" s="24"/>
      <c r="H30" s="168" t="s">
        <v>15</v>
      </c>
      <c r="I30" s="157"/>
      <c r="J30" s="157"/>
      <c r="K30" s="157"/>
      <c r="L30" s="157"/>
      <c r="M30" s="157"/>
      <c r="N30" s="157"/>
      <c r="O30" s="157"/>
      <c r="P30" s="157"/>
      <c r="Q30" s="157" t="str">
        <f>_xlfn.XLOOKUP(H30,Input[Institution Name],Input[Contact Name],"",0,1)</f>
        <v>Nancy Hranicky</v>
      </c>
      <c r="R30" s="157"/>
      <c r="S30" s="157"/>
      <c r="T30" s="157"/>
      <c r="U30" s="157"/>
      <c r="V30" s="165">
        <f>_xlfn.XLOOKUP(H30,Input[Institution Name],Input[Contact Phone],"",0,1)</f>
        <v>9798459761</v>
      </c>
      <c r="W30" s="165"/>
      <c r="X30" s="165"/>
      <c r="Y30" s="165"/>
      <c r="Z30" s="157" t="str">
        <f>_xlfn.XLOOKUP(H30,Input[Institution Name],Input[Contact Email],"",0,1)</f>
        <v>nhranicky@tamus.edu</v>
      </c>
      <c r="AA30" s="157"/>
      <c r="AB30" s="157"/>
      <c r="AC30" s="157"/>
      <c r="AD30" s="157"/>
      <c r="AE30" s="157"/>
      <c r="AF30" s="157" t="str">
        <f>_xlfn.XLOOKUP(H30,Input[Institution Name],Input[Contact Name (alt)],"",0,1)</f>
        <v>Elias Sanchez</v>
      </c>
      <c r="AG30" s="157"/>
      <c r="AH30" s="157"/>
      <c r="AI30" s="157"/>
      <c r="AJ30" s="157"/>
      <c r="AK30" s="165">
        <f>_xlfn.XLOOKUP(H30,Input[Institution Name],Input[Contact Phone (alt)],"",0,1)</f>
        <v>2107842011</v>
      </c>
      <c r="AL30" s="165"/>
      <c r="AM30" s="165"/>
      <c r="AN30" s="165"/>
      <c r="AO30" s="157" t="str">
        <f>_xlfn.XLOOKUP(H30,Input[Institution Name],Input[Contact Email (alt)],"",0,1)</f>
        <v xml:space="preserve"> esanchez3@tamusa.edu</v>
      </c>
      <c r="AP30" s="157"/>
      <c r="AQ30" s="157"/>
      <c r="AR30" s="157"/>
      <c r="AS30" s="157"/>
      <c r="AT30" s="164"/>
      <c r="AU30" s="24"/>
      <c r="AV30" s="24"/>
      <c r="AW30" s="24"/>
    </row>
    <row r="31" spans="1:49" ht="30" customHeight="1" x14ac:dyDescent="0.3">
      <c r="A31" s="24"/>
      <c r="B31" s="24"/>
      <c r="C31" s="24"/>
      <c r="D31" s="24"/>
      <c r="E31" s="24"/>
      <c r="F31" s="24"/>
      <c r="G31" s="24"/>
      <c r="H31" s="167" t="s">
        <v>13</v>
      </c>
      <c r="I31" s="158"/>
      <c r="J31" s="158"/>
      <c r="K31" s="158"/>
      <c r="L31" s="158"/>
      <c r="M31" s="158"/>
      <c r="N31" s="158"/>
      <c r="O31" s="158"/>
      <c r="P31" s="158"/>
      <c r="Q31" s="158" t="str">
        <f>_xlfn.XLOOKUP(H31,Input[Institution Name],Input[Contact Name],"",0,1)</f>
        <v>Nancy Hranicky</v>
      </c>
      <c r="R31" s="158"/>
      <c r="S31" s="158"/>
      <c r="T31" s="158"/>
      <c r="U31" s="158"/>
      <c r="V31" s="169">
        <f>_xlfn.XLOOKUP(H31,Input[Institution Name],Input[Contact Phone],"",0,1)</f>
        <v>9798459761</v>
      </c>
      <c r="W31" s="169"/>
      <c r="X31" s="169"/>
      <c r="Y31" s="169"/>
      <c r="Z31" s="158" t="str">
        <f>_xlfn.XLOOKUP(H31,Input[Institution Name],Input[Contact Email],"",0,1)</f>
        <v>nhranicky@tamus.edu</v>
      </c>
      <c r="AA31" s="158"/>
      <c r="AB31" s="158"/>
      <c r="AC31" s="158"/>
      <c r="AD31" s="158"/>
      <c r="AE31" s="158"/>
      <c r="AF31" s="158" t="str">
        <f>_xlfn.XLOOKUP(H31,Input[Institution Name],Input[Contact Name (alt)],"",0,1)</f>
        <v>Rhonda Jones</v>
      </c>
      <c r="AG31" s="158"/>
      <c r="AH31" s="158"/>
      <c r="AI31" s="158"/>
      <c r="AJ31" s="158"/>
      <c r="AK31" s="169">
        <f>_xlfn.XLOOKUP(H31,Input[Institution Name],Input[Contact Phone (alt)],"",0,1)</f>
        <v>9032233110</v>
      </c>
      <c r="AL31" s="169"/>
      <c r="AM31" s="169"/>
      <c r="AN31" s="169"/>
      <c r="AO31" s="158" t="str">
        <f>_xlfn.XLOOKUP(H31,Input[Institution Name],Input[Contact Email (alt)],"",0,1)</f>
        <v xml:space="preserve"> rjones@tamut.edu</v>
      </c>
      <c r="AP31" s="158"/>
      <c r="AQ31" s="158"/>
      <c r="AR31" s="158"/>
      <c r="AS31" s="158"/>
      <c r="AT31" s="166"/>
      <c r="AU31" s="24"/>
      <c r="AV31" s="24"/>
      <c r="AW31" s="24"/>
    </row>
    <row r="32" spans="1:49" ht="30" customHeight="1" x14ac:dyDescent="0.3">
      <c r="A32" s="24"/>
      <c r="B32" s="24"/>
      <c r="C32" s="24"/>
      <c r="D32" s="24"/>
      <c r="E32" s="24"/>
      <c r="F32" s="24"/>
      <c r="G32" s="24"/>
      <c r="H32" s="168" t="s">
        <v>5</v>
      </c>
      <c r="I32" s="157"/>
      <c r="J32" s="157"/>
      <c r="K32" s="157"/>
      <c r="L32" s="157"/>
      <c r="M32" s="157"/>
      <c r="N32" s="157"/>
      <c r="O32" s="157"/>
      <c r="P32" s="157"/>
      <c r="Q32" s="157" t="str">
        <f>_xlfn.XLOOKUP(H32,Input[Institution Name],Input[Contact Name],"",0,1)</f>
        <v>Nancy Hranicky</v>
      </c>
      <c r="R32" s="157"/>
      <c r="S32" s="157"/>
      <c r="T32" s="157"/>
      <c r="U32" s="157"/>
      <c r="V32" s="165">
        <f>_xlfn.XLOOKUP(H32,Input[Institution Name],Input[Contact Phone],"",0,1)</f>
        <v>9798459761</v>
      </c>
      <c r="W32" s="165"/>
      <c r="X32" s="165"/>
      <c r="Y32" s="165"/>
      <c r="Z32" s="157" t="str">
        <f>_xlfn.XLOOKUP(H32,Input[Institution Name],Input[Contact Email],"",0,1)</f>
        <v>nhranicky@tamus.edu</v>
      </c>
      <c r="AA32" s="157"/>
      <c r="AB32" s="157"/>
      <c r="AC32" s="157"/>
      <c r="AD32" s="157"/>
      <c r="AE32" s="157"/>
      <c r="AF32" s="157" t="str">
        <f>_xlfn.XLOOKUP(H32,Input[Institution Name],Input[Contact Name (alt)],"",0,1)</f>
        <v>Cris Sowden</v>
      </c>
      <c r="AG32" s="157"/>
      <c r="AH32" s="157"/>
      <c r="AI32" s="157"/>
      <c r="AJ32" s="157"/>
      <c r="AK32" s="165">
        <f>_xlfn.XLOOKUP(H32,Input[Institution Name],Input[Contact Phone (alt)],"",0,1)</f>
        <v>9794581866</v>
      </c>
      <c r="AL32" s="165"/>
      <c r="AM32" s="165"/>
      <c r="AN32" s="165"/>
      <c r="AO32" s="157" t="str">
        <f>_xlfn.XLOOKUP(H32,Input[Institution Name],Input[Contact Email (alt)],"",0,1)</f>
        <v xml:space="preserve"> crisla@tamu.edu</v>
      </c>
      <c r="AP32" s="157"/>
      <c r="AQ32" s="157"/>
      <c r="AR32" s="157"/>
      <c r="AS32" s="157"/>
      <c r="AT32" s="164"/>
      <c r="AU32" s="24"/>
      <c r="AV32" s="24"/>
      <c r="AW32" s="24"/>
    </row>
    <row r="33" spans="1:49" ht="30" customHeight="1" x14ac:dyDescent="0.3">
      <c r="A33" s="24"/>
      <c r="B33" s="24"/>
      <c r="C33" s="24"/>
      <c r="D33" s="24"/>
      <c r="E33" s="24"/>
      <c r="F33" s="24"/>
      <c r="G33" s="24"/>
      <c r="H33" s="167" t="s">
        <v>60</v>
      </c>
      <c r="I33" s="158"/>
      <c r="J33" s="158"/>
      <c r="K33" s="158"/>
      <c r="L33" s="158"/>
      <c r="M33" s="158"/>
      <c r="N33" s="158"/>
      <c r="O33" s="158"/>
      <c r="P33" s="158"/>
      <c r="Q33" s="158" t="str">
        <f>_xlfn.XLOOKUP(H33,Input[Institution Name],Input[Contact Name],"",0,1)</f>
        <v>Nancy Hranicky</v>
      </c>
      <c r="R33" s="158"/>
      <c r="S33" s="158"/>
      <c r="T33" s="158"/>
      <c r="U33" s="158"/>
      <c r="V33" s="169">
        <f>_xlfn.XLOOKUP(H33,Input[Institution Name],Input[Contact Phone],"",0,1)</f>
        <v>9798459761</v>
      </c>
      <c r="W33" s="169"/>
      <c r="X33" s="169"/>
      <c r="Y33" s="169"/>
      <c r="Z33" s="158" t="str">
        <f>_xlfn.XLOOKUP(H33,Input[Institution Name],Input[Contact Email],"",0,1)</f>
        <v>nhranicky@tamus.edu</v>
      </c>
      <c r="AA33" s="158"/>
      <c r="AB33" s="158"/>
      <c r="AC33" s="158"/>
      <c r="AD33" s="158"/>
      <c r="AE33" s="158"/>
      <c r="AF33" s="158" t="str">
        <f>_xlfn.XLOOKUP(H33,Input[Institution Name],Input[Contact Name (alt)],"",0,1)</f>
        <v>Elbrich Debbie</v>
      </c>
      <c r="AG33" s="158"/>
      <c r="AH33" s="158"/>
      <c r="AI33" s="158"/>
      <c r="AJ33" s="158"/>
      <c r="AK33" s="169">
        <f>_xlfn.XLOOKUP(H33,Input[Institution Name],Input[Contact Phone (alt)],"",0,1)</f>
        <v>9794369239</v>
      </c>
      <c r="AL33" s="169"/>
      <c r="AM33" s="169"/>
      <c r="AN33" s="169"/>
      <c r="AO33" s="158" t="str">
        <f>_xlfn.XLOOKUP(H33,Input[Institution Name],Input[Contact Email (alt)],"",0,1)</f>
        <v xml:space="preserve"> elbrich@tamu.edu</v>
      </c>
      <c r="AP33" s="158"/>
      <c r="AQ33" s="158"/>
      <c r="AR33" s="158"/>
      <c r="AS33" s="158"/>
      <c r="AT33" s="166"/>
      <c r="AU33" s="24"/>
      <c r="AV33" s="24"/>
      <c r="AW33" s="24"/>
    </row>
    <row r="34" spans="1:49" ht="30" customHeight="1" x14ac:dyDescent="0.3">
      <c r="A34" s="24"/>
      <c r="B34" s="24"/>
      <c r="C34" s="24"/>
      <c r="D34" s="24"/>
      <c r="E34" s="24"/>
      <c r="F34" s="24"/>
      <c r="G34" s="24"/>
      <c r="H34" s="168" t="s">
        <v>102</v>
      </c>
      <c r="I34" s="157"/>
      <c r="J34" s="157"/>
      <c r="K34" s="157"/>
      <c r="L34" s="157"/>
      <c r="M34" s="157"/>
      <c r="N34" s="157"/>
      <c r="O34" s="157"/>
      <c r="P34" s="157"/>
      <c r="Q34" s="157" t="str">
        <f>_xlfn.XLOOKUP(H34,Input[Institution Name],Input[Contact Name],"",0,1)</f>
        <v>Nancy Hranicky</v>
      </c>
      <c r="R34" s="157"/>
      <c r="S34" s="157"/>
      <c r="T34" s="157"/>
      <c r="U34" s="157"/>
      <c r="V34" s="165">
        <f>_xlfn.XLOOKUP(H34,Input[Institution Name],Input[Contact Phone],"",0,1)</f>
        <v>9798459761</v>
      </c>
      <c r="W34" s="165"/>
      <c r="X34" s="165"/>
      <c r="Y34" s="165"/>
      <c r="Z34" s="157" t="str">
        <f>_xlfn.XLOOKUP(H34,Input[Institution Name],Input[Contact Email],"",0,1)</f>
        <v>nhranicky@tamus.edu</v>
      </c>
      <c r="AA34" s="157"/>
      <c r="AB34" s="157"/>
      <c r="AC34" s="157"/>
      <c r="AD34" s="157"/>
      <c r="AE34" s="157"/>
      <c r="AF34" s="157" t="str">
        <f>_xlfn.XLOOKUP(H34,Input[Institution Name],Input[Contact Name (alt)],"",0,1)</f>
        <v>Adrienne Person</v>
      </c>
      <c r="AG34" s="157"/>
      <c r="AH34" s="157"/>
      <c r="AI34" s="157"/>
      <c r="AJ34" s="157"/>
      <c r="AK34" s="165">
        <f>_xlfn.XLOOKUP(H34,Input[Institution Name],Input[Contact Phone (alt)],"",0,1)</f>
        <v>9793215529</v>
      </c>
      <c r="AL34" s="165"/>
      <c r="AM34" s="165"/>
      <c r="AN34" s="165"/>
      <c r="AO34" s="157" t="str">
        <f>_xlfn.XLOOKUP(H34,Input[Institution Name],Input[Contact Email (alt)],"",0,1)</f>
        <v xml:space="preserve"> adrienne.person@tvmdl.tamu.edu</v>
      </c>
      <c r="AP34" s="157"/>
      <c r="AQ34" s="157"/>
      <c r="AR34" s="157"/>
      <c r="AS34" s="157"/>
      <c r="AT34" s="164"/>
      <c r="AU34" s="24"/>
      <c r="AV34" s="24"/>
      <c r="AW34" s="24"/>
    </row>
    <row r="35" spans="1:49" ht="30" customHeight="1" x14ac:dyDescent="0.3">
      <c r="A35" s="24"/>
      <c r="B35" s="24"/>
      <c r="C35" s="24"/>
      <c r="D35" s="24"/>
      <c r="E35" s="24"/>
      <c r="F35" s="24"/>
      <c r="G35" s="24"/>
      <c r="H35" s="167" t="s">
        <v>103</v>
      </c>
      <c r="I35" s="158"/>
      <c r="J35" s="158"/>
      <c r="K35" s="158"/>
      <c r="L35" s="158"/>
      <c r="M35" s="158"/>
      <c r="N35" s="158"/>
      <c r="O35" s="158"/>
      <c r="P35" s="158"/>
      <c r="Q35" s="158" t="str">
        <f>_xlfn.XLOOKUP(H35,Input[Institution Name],Input[Contact Name],"",0,1)</f>
        <v>Nancy Hranicky</v>
      </c>
      <c r="R35" s="158"/>
      <c r="S35" s="158"/>
      <c r="T35" s="158"/>
      <c r="U35" s="158"/>
      <c r="V35" s="169">
        <f>_xlfn.XLOOKUP(H35,Input[Institution Name],Input[Contact Phone],"",0,1)</f>
        <v>9798459761</v>
      </c>
      <c r="W35" s="169"/>
      <c r="X35" s="169"/>
      <c r="Y35" s="169"/>
      <c r="Z35" s="158" t="str">
        <f>_xlfn.XLOOKUP(H35,Input[Institution Name],Input[Contact Email],"",0,1)</f>
        <v>nhranicky@tamus.edu</v>
      </c>
      <c r="AA35" s="158"/>
      <c r="AB35" s="158"/>
      <c r="AC35" s="158"/>
      <c r="AD35" s="158"/>
      <c r="AE35" s="158"/>
      <c r="AF35" s="158" t="str">
        <f>_xlfn.XLOOKUP(H35,Input[Institution Name],Input[Contact Name (alt)],"",0,1)</f>
        <v>Daniel Pall</v>
      </c>
      <c r="AG35" s="158"/>
      <c r="AH35" s="158"/>
      <c r="AI35" s="158"/>
      <c r="AJ35" s="158"/>
      <c r="AK35" s="169">
        <f>_xlfn.XLOOKUP(H35,Input[Institution Name],Input[Contact Phone (alt)],"",0,1)</f>
        <v>9792202822</v>
      </c>
      <c r="AL35" s="169"/>
      <c r="AM35" s="169"/>
      <c r="AN35" s="169"/>
      <c r="AO35" s="158" t="str">
        <f>_xlfn.XLOOKUP(H35,Input[Institution Name],Input[Contact Email (alt)],"",0,1)</f>
        <v xml:space="preserve"> daniel.pall@tdem.texas.gov</v>
      </c>
      <c r="AP35" s="158"/>
      <c r="AQ35" s="158"/>
      <c r="AR35" s="158"/>
      <c r="AS35" s="158"/>
      <c r="AT35" s="166"/>
      <c r="AU35" s="24"/>
      <c r="AV35" s="24"/>
      <c r="AW35" s="24"/>
    </row>
    <row r="36" spans="1:49" ht="30" customHeight="1" x14ac:dyDescent="0.3">
      <c r="A36" s="24"/>
      <c r="B36" s="24"/>
      <c r="C36" s="24"/>
      <c r="D36" s="24"/>
      <c r="E36" s="24"/>
      <c r="F36" s="24"/>
      <c r="G36" s="24"/>
      <c r="H36" s="168" t="s">
        <v>63</v>
      </c>
      <c r="I36" s="157"/>
      <c r="J36" s="157"/>
      <c r="K36" s="157"/>
      <c r="L36" s="157"/>
      <c r="M36" s="157"/>
      <c r="N36" s="157"/>
      <c r="O36" s="157"/>
      <c r="P36" s="157"/>
      <c r="Q36" s="157" t="str">
        <f>_xlfn.XLOOKUP(H36,Input[Institution Name],Input[Contact Name],"",0,1)</f>
        <v>John Pittman</v>
      </c>
      <c r="R36" s="157"/>
      <c r="S36" s="157"/>
      <c r="T36" s="157"/>
      <c r="U36" s="157"/>
      <c r="V36" s="165">
        <f>_xlfn.XLOOKUP(H36,Input[Institution Name],Input[Contact Phone],"",0,1)</f>
        <v>7133131301</v>
      </c>
      <c r="W36" s="165"/>
      <c r="X36" s="165"/>
      <c r="Y36" s="165"/>
      <c r="Z36" s="157" t="str">
        <f>_xlfn.XLOOKUP(H36,Input[Institution Name],Input[Contact Email],"",0,1)</f>
        <v>unavailable</v>
      </c>
      <c r="AA36" s="157"/>
      <c r="AB36" s="157"/>
      <c r="AC36" s="157"/>
      <c r="AD36" s="157"/>
      <c r="AE36" s="157"/>
      <c r="AF36" s="157" t="str">
        <f>_xlfn.XLOOKUP(H36,Input[Institution Name],Input[Contact Name (alt)],"",0,1)</f>
        <v>Paula Stapleton</v>
      </c>
      <c r="AG36" s="157"/>
      <c r="AH36" s="157"/>
      <c r="AI36" s="157"/>
      <c r="AJ36" s="157"/>
      <c r="AK36" s="165">
        <f>_xlfn.XLOOKUP(H36,Input[Institution Name],Input[Contact Phone (alt)],"",0,1)</f>
        <v>7133137197</v>
      </c>
      <c r="AL36" s="165"/>
      <c r="AM36" s="165"/>
      <c r="AN36" s="165"/>
      <c r="AO36" s="157" t="str">
        <f>_xlfn.XLOOKUP(H36,Input[Institution Name],Input[Contact Email (alt)],"",0,1)</f>
        <v xml:space="preserve"> paula.stapleton@tsu.edu</v>
      </c>
      <c r="AP36" s="157"/>
      <c r="AQ36" s="157"/>
      <c r="AR36" s="157"/>
      <c r="AS36" s="157"/>
      <c r="AT36" s="164"/>
      <c r="AU36" s="24"/>
      <c r="AV36" s="24"/>
      <c r="AW36" s="24"/>
    </row>
    <row r="37" spans="1:49" ht="30" customHeight="1" x14ac:dyDescent="0.3">
      <c r="A37" s="24"/>
      <c r="B37" s="24"/>
      <c r="C37" s="24"/>
      <c r="D37" s="24"/>
      <c r="E37" s="24"/>
      <c r="F37" s="24"/>
      <c r="G37" s="24"/>
      <c r="H37" s="167" t="s">
        <v>50</v>
      </c>
      <c r="I37" s="158"/>
      <c r="J37" s="158"/>
      <c r="K37" s="158"/>
      <c r="L37" s="158"/>
      <c r="M37" s="158"/>
      <c r="N37" s="158"/>
      <c r="O37" s="158"/>
      <c r="P37" s="158"/>
      <c r="Q37" s="158" t="str">
        <f>_xlfn.XLOOKUP(H37,Input[Institution Name],Input[Contact Name],"",0,1)</f>
        <v>Christopher Greenwood</v>
      </c>
      <c r="R37" s="158"/>
      <c r="S37" s="158"/>
      <c r="T37" s="158"/>
      <c r="U37" s="158"/>
      <c r="V37" s="169">
        <f>_xlfn.XLOOKUP(H37,Input[Institution Name],Input[Contact Phone],"",0,1)</f>
        <v>2548673931</v>
      </c>
      <c r="W37" s="169"/>
      <c r="X37" s="169"/>
      <c r="Y37" s="169"/>
      <c r="Z37" s="158" t="str">
        <f>_xlfn.XLOOKUP(H37,Input[Institution Name],Input[Contact Email],"",0,1)</f>
        <v>christopher.greenwood@tstc.edu</v>
      </c>
      <c r="AA37" s="158"/>
      <c r="AB37" s="158"/>
      <c r="AC37" s="158"/>
      <c r="AD37" s="158"/>
      <c r="AE37" s="158"/>
      <c r="AF37" s="158" t="str">
        <f>_xlfn.XLOOKUP(H37,Input[Institution Name],Input[Contact Name (alt)],"",0,1)</f>
        <v>Jessica Montalvo</v>
      </c>
      <c r="AG37" s="158"/>
      <c r="AH37" s="158"/>
      <c r="AI37" s="158"/>
      <c r="AJ37" s="158"/>
      <c r="AK37" s="169">
        <f>_xlfn.XLOOKUP(H37,Input[Institution Name],Input[Contact Phone (alt)],"",0,1)</f>
        <v>9563644058</v>
      </c>
      <c r="AL37" s="169"/>
      <c r="AM37" s="169"/>
      <c r="AN37" s="169"/>
      <c r="AO37" s="158" t="str">
        <f>_xlfn.XLOOKUP(H37,Input[Institution Name],Input[Contact Email (alt)],"",0,1)</f>
        <v xml:space="preserve"> jessica.montalvo@tstc.edu</v>
      </c>
      <c r="AP37" s="158"/>
      <c r="AQ37" s="158"/>
      <c r="AR37" s="158"/>
      <c r="AS37" s="158"/>
      <c r="AT37" s="166"/>
      <c r="AU37" s="24"/>
      <c r="AV37" s="24"/>
      <c r="AW37" s="24"/>
    </row>
    <row r="38" spans="1:49" ht="30" customHeight="1" x14ac:dyDescent="0.3">
      <c r="A38" s="24"/>
      <c r="B38" s="24"/>
      <c r="C38" s="24"/>
      <c r="D38" s="24"/>
      <c r="E38" s="24"/>
      <c r="F38" s="24"/>
      <c r="G38" s="24"/>
      <c r="H38" s="168" t="s">
        <v>43</v>
      </c>
      <c r="I38" s="157"/>
      <c r="J38" s="157"/>
      <c r="K38" s="157"/>
      <c r="L38" s="157"/>
      <c r="M38" s="157"/>
      <c r="N38" s="157"/>
      <c r="O38" s="157"/>
      <c r="P38" s="157"/>
      <c r="Q38" s="157" t="str">
        <f>_xlfn.XLOOKUP(H38,Input[Institution Name],Input[Contact Name],"",0,1)</f>
        <v>Christopher Greenwood</v>
      </c>
      <c r="R38" s="157"/>
      <c r="S38" s="157"/>
      <c r="T38" s="157"/>
      <c r="U38" s="157"/>
      <c r="V38" s="165">
        <f>_xlfn.XLOOKUP(H38,Input[Institution Name],Input[Contact Phone],"",0,1)</f>
        <v>2548673931</v>
      </c>
      <c r="W38" s="165"/>
      <c r="X38" s="165"/>
      <c r="Y38" s="165"/>
      <c r="Z38" s="157" t="str">
        <f>_xlfn.XLOOKUP(H38,Input[Institution Name],Input[Contact Email],"",0,1)</f>
        <v>christopher.greenwood@tstc.edu</v>
      </c>
      <c r="AA38" s="157"/>
      <c r="AB38" s="157"/>
      <c r="AC38" s="157"/>
      <c r="AD38" s="157"/>
      <c r="AE38" s="157"/>
      <c r="AF38" s="157" t="str">
        <f>_xlfn.XLOOKUP(H38,Input[Institution Name],Input[Contact Name (alt)],"",0,1)</f>
        <v>Jessica Montalvo</v>
      </c>
      <c r="AG38" s="157"/>
      <c r="AH38" s="157"/>
      <c r="AI38" s="157"/>
      <c r="AJ38" s="157"/>
      <c r="AK38" s="165">
        <f>_xlfn.XLOOKUP(H38,Input[Institution Name],Input[Contact Phone (alt)],"",0,1)</f>
        <v>9563644058</v>
      </c>
      <c r="AL38" s="165"/>
      <c r="AM38" s="165"/>
      <c r="AN38" s="165"/>
      <c r="AO38" s="157" t="str">
        <f>_xlfn.XLOOKUP(H38,Input[Institution Name],Input[Contact Email (alt)],"",0,1)</f>
        <v xml:space="preserve"> jessica.montalvo@tstc.edu</v>
      </c>
      <c r="AP38" s="157"/>
      <c r="AQ38" s="157"/>
      <c r="AR38" s="157"/>
      <c r="AS38" s="157"/>
      <c r="AT38" s="164"/>
      <c r="AU38" s="24"/>
      <c r="AV38" s="24"/>
      <c r="AW38" s="24"/>
    </row>
    <row r="39" spans="1:49" ht="30" customHeight="1" x14ac:dyDescent="0.3">
      <c r="A39" s="24"/>
      <c r="B39" s="24"/>
      <c r="C39" s="24"/>
      <c r="D39" s="24"/>
      <c r="E39" s="24"/>
      <c r="F39" s="24"/>
      <c r="G39" s="24"/>
      <c r="H39" s="167" t="s">
        <v>47</v>
      </c>
      <c r="I39" s="158"/>
      <c r="J39" s="158"/>
      <c r="K39" s="158"/>
      <c r="L39" s="158"/>
      <c r="M39" s="158"/>
      <c r="N39" s="158"/>
      <c r="O39" s="158"/>
      <c r="P39" s="158"/>
      <c r="Q39" s="158" t="str">
        <f>_xlfn.XLOOKUP(H39,Input[Institution Name],Input[Contact Name],"",0,1)</f>
        <v>Christopher Greenwood</v>
      </c>
      <c r="R39" s="158"/>
      <c r="S39" s="158"/>
      <c r="T39" s="158"/>
      <c r="U39" s="158"/>
      <c r="V39" s="169">
        <f>_xlfn.XLOOKUP(H39,Input[Institution Name],Input[Contact Phone],"",0,1)</f>
        <v>2548673931</v>
      </c>
      <c r="W39" s="169"/>
      <c r="X39" s="169"/>
      <c r="Y39" s="169"/>
      <c r="Z39" s="158" t="str">
        <f>_xlfn.XLOOKUP(H39,Input[Institution Name],Input[Contact Email],"",0,1)</f>
        <v>christopher.greenwood@tstc.edu</v>
      </c>
      <c r="AA39" s="158"/>
      <c r="AB39" s="158"/>
      <c r="AC39" s="158"/>
      <c r="AD39" s="158"/>
      <c r="AE39" s="158"/>
      <c r="AF39" s="158" t="str">
        <f>_xlfn.XLOOKUP(H39,Input[Institution Name],Input[Contact Name (alt)],"",0,1)</f>
        <v>Jessica Montalvo</v>
      </c>
      <c r="AG39" s="158"/>
      <c r="AH39" s="158"/>
      <c r="AI39" s="158"/>
      <c r="AJ39" s="158"/>
      <c r="AK39" s="169">
        <f>_xlfn.XLOOKUP(H39,Input[Institution Name],Input[Contact Phone (alt)],"",0,1)</f>
        <v>9563644058</v>
      </c>
      <c r="AL39" s="169"/>
      <c r="AM39" s="169"/>
      <c r="AN39" s="169"/>
      <c r="AO39" s="158" t="str">
        <f>_xlfn.XLOOKUP(H39,Input[Institution Name],Input[Contact Email (alt)],"",0,1)</f>
        <v xml:space="preserve"> jessica.montalvo@tstc.edu</v>
      </c>
      <c r="AP39" s="158"/>
      <c r="AQ39" s="158"/>
      <c r="AR39" s="158"/>
      <c r="AS39" s="158"/>
      <c r="AT39" s="166"/>
      <c r="AU39" s="24"/>
      <c r="AV39" s="24"/>
      <c r="AW39" s="24"/>
    </row>
    <row r="40" spans="1:49" ht="30" customHeight="1" x14ac:dyDescent="0.3">
      <c r="A40" s="24"/>
      <c r="B40" s="24"/>
      <c r="C40" s="24"/>
      <c r="D40" s="24"/>
      <c r="E40" s="24"/>
      <c r="F40" s="24"/>
      <c r="G40" s="24"/>
      <c r="H40" s="168" t="s">
        <v>49</v>
      </c>
      <c r="I40" s="157"/>
      <c r="J40" s="157"/>
      <c r="K40" s="157"/>
      <c r="L40" s="157"/>
      <c r="M40" s="157"/>
      <c r="N40" s="157"/>
      <c r="O40" s="157"/>
      <c r="P40" s="157"/>
      <c r="Q40" s="157" t="str">
        <f>_xlfn.XLOOKUP(H40,Input[Institution Name],Input[Contact Name],"",0,1)</f>
        <v>Christopher Greenwood</v>
      </c>
      <c r="R40" s="157"/>
      <c r="S40" s="157"/>
      <c r="T40" s="157"/>
      <c r="U40" s="157"/>
      <c r="V40" s="165">
        <f>_xlfn.XLOOKUP(H40,Input[Institution Name],Input[Contact Phone],"",0,1)</f>
        <v>2548673931</v>
      </c>
      <c r="W40" s="165"/>
      <c r="X40" s="165"/>
      <c r="Y40" s="165"/>
      <c r="Z40" s="157" t="str">
        <f>_xlfn.XLOOKUP(H40,Input[Institution Name],Input[Contact Email],"",0,1)</f>
        <v>christopher.greenwood@tstc.edu</v>
      </c>
      <c r="AA40" s="157"/>
      <c r="AB40" s="157"/>
      <c r="AC40" s="157"/>
      <c r="AD40" s="157"/>
      <c r="AE40" s="157"/>
      <c r="AF40" s="157" t="str">
        <f>_xlfn.XLOOKUP(H40,Input[Institution Name],Input[Contact Name (alt)],"",0,1)</f>
        <v>Jessica Montalvo</v>
      </c>
      <c r="AG40" s="157"/>
      <c r="AH40" s="157"/>
      <c r="AI40" s="157"/>
      <c r="AJ40" s="157"/>
      <c r="AK40" s="165">
        <f>_xlfn.XLOOKUP(H40,Input[Institution Name],Input[Contact Phone (alt)],"",0,1)</f>
        <v>9563644058</v>
      </c>
      <c r="AL40" s="165"/>
      <c r="AM40" s="165"/>
      <c r="AN40" s="165"/>
      <c r="AO40" s="157" t="str">
        <f>_xlfn.XLOOKUP(H40,Input[Institution Name],Input[Contact Email (alt)],"",0,1)</f>
        <v xml:space="preserve"> jessica.montalvo@tstc.edu</v>
      </c>
      <c r="AP40" s="157"/>
      <c r="AQ40" s="157"/>
      <c r="AR40" s="157"/>
      <c r="AS40" s="157"/>
      <c r="AT40" s="164"/>
      <c r="AU40" s="24"/>
      <c r="AV40" s="24"/>
      <c r="AW40" s="24"/>
    </row>
    <row r="41" spans="1:49" ht="30" customHeight="1" x14ac:dyDescent="0.3">
      <c r="A41" s="24"/>
      <c r="B41" s="24"/>
      <c r="C41" s="24"/>
      <c r="D41" s="24"/>
      <c r="E41" s="24"/>
      <c r="F41" s="24"/>
      <c r="G41" s="24"/>
      <c r="H41" s="167" t="s">
        <v>48</v>
      </c>
      <c r="I41" s="158"/>
      <c r="J41" s="158"/>
      <c r="K41" s="158"/>
      <c r="L41" s="158"/>
      <c r="M41" s="158"/>
      <c r="N41" s="158"/>
      <c r="O41" s="158"/>
      <c r="P41" s="158"/>
      <c r="Q41" s="158" t="str">
        <f>_xlfn.XLOOKUP(H41,Input[Institution Name],Input[Contact Name],"",0,1)</f>
        <v>Christopher Greenwood</v>
      </c>
      <c r="R41" s="158"/>
      <c r="S41" s="158"/>
      <c r="T41" s="158"/>
      <c r="U41" s="158"/>
      <c r="V41" s="169">
        <f>_xlfn.XLOOKUP(H41,Input[Institution Name],Input[Contact Phone],"",0,1)</f>
        <v>2548673931</v>
      </c>
      <c r="W41" s="169"/>
      <c r="X41" s="169"/>
      <c r="Y41" s="169"/>
      <c r="Z41" s="158" t="str">
        <f>_xlfn.XLOOKUP(H41,Input[Institution Name],Input[Contact Email],"",0,1)</f>
        <v>christopher.greenwood@tstc.edu</v>
      </c>
      <c r="AA41" s="158"/>
      <c r="AB41" s="158"/>
      <c r="AC41" s="158"/>
      <c r="AD41" s="158"/>
      <c r="AE41" s="158"/>
      <c r="AF41" s="158" t="str">
        <f>_xlfn.XLOOKUP(H41,Input[Institution Name],Input[Contact Name (alt)],"",0,1)</f>
        <v>Jessica Montalvo</v>
      </c>
      <c r="AG41" s="158"/>
      <c r="AH41" s="158"/>
      <c r="AI41" s="158"/>
      <c r="AJ41" s="158"/>
      <c r="AK41" s="169">
        <f>_xlfn.XLOOKUP(H41,Input[Institution Name],Input[Contact Phone (alt)],"",0,1)</f>
        <v>9563644058</v>
      </c>
      <c r="AL41" s="169"/>
      <c r="AM41" s="169"/>
      <c r="AN41" s="169"/>
      <c r="AO41" s="158" t="str">
        <f>_xlfn.XLOOKUP(H41,Input[Institution Name],Input[Contact Email (alt)],"",0,1)</f>
        <v xml:space="preserve"> jessica.montalvo@tstc.edu</v>
      </c>
      <c r="AP41" s="158"/>
      <c r="AQ41" s="158"/>
      <c r="AR41" s="158"/>
      <c r="AS41" s="158"/>
      <c r="AT41" s="166"/>
      <c r="AU41" s="24"/>
      <c r="AV41" s="24"/>
      <c r="AW41" s="24"/>
    </row>
    <row r="42" spans="1:49" ht="30" customHeight="1" x14ac:dyDescent="0.3">
      <c r="A42" s="24"/>
      <c r="B42" s="24"/>
      <c r="C42" s="24"/>
      <c r="D42" s="24"/>
      <c r="E42" s="24"/>
      <c r="F42" s="24"/>
      <c r="G42" s="24"/>
      <c r="H42" s="168" t="s">
        <v>46</v>
      </c>
      <c r="I42" s="157"/>
      <c r="J42" s="157"/>
      <c r="K42" s="157"/>
      <c r="L42" s="157"/>
      <c r="M42" s="157"/>
      <c r="N42" s="157"/>
      <c r="O42" s="157"/>
      <c r="P42" s="157"/>
      <c r="Q42" s="157" t="str">
        <f>_xlfn.XLOOKUP(H42,Input[Institution Name],Input[Contact Name],"",0,1)</f>
        <v>Christopher Greenwood</v>
      </c>
      <c r="R42" s="157"/>
      <c r="S42" s="157"/>
      <c r="T42" s="157"/>
      <c r="U42" s="157"/>
      <c r="V42" s="165">
        <f>_xlfn.XLOOKUP(H42,Input[Institution Name],Input[Contact Phone],"",0,1)</f>
        <v>2548673931</v>
      </c>
      <c r="W42" s="165"/>
      <c r="X42" s="165"/>
      <c r="Y42" s="165"/>
      <c r="Z42" s="157" t="str">
        <f>_xlfn.XLOOKUP(H42,Input[Institution Name],Input[Contact Email],"",0,1)</f>
        <v>christopher.greenwood@tstc.edu</v>
      </c>
      <c r="AA42" s="157"/>
      <c r="AB42" s="157"/>
      <c r="AC42" s="157"/>
      <c r="AD42" s="157"/>
      <c r="AE42" s="157"/>
      <c r="AF42" s="157" t="str">
        <f>_xlfn.XLOOKUP(H42,Input[Institution Name],Input[Contact Name (alt)],"",0,1)</f>
        <v>Jessica Montalvo</v>
      </c>
      <c r="AG42" s="157"/>
      <c r="AH42" s="157"/>
      <c r="AI42" s="157"/>
      <c r="AJ42" s="157"/>
      <c r="AK42" s="165">
        <f>_xlfn.XLOOKUP(H42,Input[Institution Name],Input[Contact Phone (alt)],"",0,1)</f>
        <v>9563644058</v>
      </c>
      <c r="AL42" s="165"/>
      <c r="AM42" s="165"/>
      <c r="AN42" s="165"/>
      <c r="AO42" s="157" t="str">
        <f>_xlfn.XLOOKUP(H42,Input[Institution Name],Input[Contact Email (alt)],"",0,1)</f>
        <v xml:space="preserve"> jessica.montalvo@tstc.edu</v>
      </c>
      <c r="AP42" s="157"/>
      <c r="AQ42" s="157"/>
      <c r="AR42" s="157"/>
      <c r="AS42" s="157"/>
      <c r="AT42" s="164"/>
      <c r="AU42" s="24"/>
      <c r="AV42" s="24"/>
      <c r="AW42" s="24"/>
    </row>
    <row r="43" spans="1:49" ht="30" customHeight="1" x14ac:dyDescent="0.3">
      <c r="A43" s="24"/>
      <c r="B43" s="24"/>
      <c r="C43" s="24"/>
      <c r="D43" s="24"/>
      <c r="E43" s="24"/>
      <c r="F43" s="24"/>
      <c r="G43" s="24"/>
      <c r="H43" s="167" t="s">
        <v>61</v>
      </c>
      <c r="I43" s="158"/>
      <c r="J43" s="158"/>
      <c r="K43" s="158"/>
      <c r="L43" s="158"/>
      <c r="M43" s="158"/>
      <c r="N43" s="158"/>
      <c r="O43" s="158"/>
      <c r="P43" s="158"/>
      <c r="Q43" s="158" t="str">
        <f>_xlfn.XLOOKUP(H43,Input[Institution Name],Input[Contact Name],"",0,1)</f>
        <v>Cindy Haley</v>
      </c>
      <c r="R43" s="158"/>
      <c r="S43" s="158"/>
      <c r="T43" s="158"/>
      <c r="U43" s="158"/>
      <c r="V43" s="169">
        <f>_xlfn.XLOOKUP(H43,Input[Institution Name],Input[Contact Phone],"",0,1)</f>
        <v>5122452087</v>
      </c>
      <c r="W43" s="169"/>
      <c r="X43" s="169"/>
      <c r="Y43" s="169"/>
      <c r="Z43" s="158" t="str">
        <f>_xlfn.XLOOKUP(H43,Input[Institution Name],Input[Contact Email],"",0,1)</f>
        <v>unavailable</v>
      </c>
      <c r="AA43" s="158"/>
      <c r="AB43" s="158"/>
      <c r="AC43" s="158"/>
      <c r="AD43" s="158"/>
      <c r="AE43" s="158"/>
      <c r="AF43" s="158" t="str">
        <f>_xlfn.XLOOKUP(H43,Input[Institution Name],Input[Contact Name (alt)],"",0,1)</f>
        <v>Elizabeth Longoria-Cardenas</v>
      </c>
      <c r="AG43" s="158"/>
      <c r="AH43" s="158"/>
      <c r="AI43" s="158"/>
      <c r="AJ43" s="158"/>
      <c r="AK43" s="169">
        <f>_xlfn.XLOOKUP(H43,Input[Institution Name],Input[Contact Phone (alt)],"",0,1)</f>
        <v>5122452776</v>
      </c>
      <c r="AL43" s="169"/>
      <c r="AM43" s="169"/>
      <c r="AN43" s="169"/>
      <c r="AO43" s="158" t="str">
        <f>_xlfn.XLOOKUP(H43,Input[Institution Name],Input[Contact Email (alt)],"",0,1)</f>
        <v xml:space="preserve"> ec1217@txstate.edu</v>
      </c>
      <c r="AP43" s="158"/>
      <c r="AQ43" s="158"/>
      <c r="AR43" s="158"/>
      <c r="AS43" s="158"/>
      <c r="AT43" s="166"/>
      <c r="AU43" s="24"/>
      <c r="AV43" s="24"/>
      <c r="AW43" s="24"/>
    </row>
    <row r="44" spans="1:49" ht="30" customHeight="1" x14ac:dyDescent="0.3">
      <c r="A44" s="24"/>
      <c r="B44" s="24"/>
      <c r="C44" s="24"/>
      <c r="D44" s="24"/>
      <c r="E44" s="24"/>
      <c r="F44" s="24"/>
      <c r="G44" s="24"/>
      <c r="H44" s="168" t="s">
        <v>23</v>
      </c>
      <c r="I44" s="157"/>
      <c r="J44" s="157"/>
      <c r="K44" s="157"/>
      <c r="L44" s="157"/>
      <c r="M44" s="157"/>
      <c r="N44" s="157"/>
      <c r="O44" s="157"/>
      <c r="P44" s="157"/>
      <c r="Q44" s="157" t="str">
        <f>_xlfn.XLOOKUP(H44,Input[Institution Name],Input[Contact Name],"",0,1)</f>
        <v>Lori Eppler</v>
      </c>
      <c r="R44" s="157"/>
      <c r="S44" s="157"/>
      <c r="T44" s="157"/>
      <c r="U44" s="157"/>
      <c r="V44" s="165">
        <f>_xlfn.XLOOKUP(H44,Input[Institution Name],Input[Contact Phone],"",0,1)</f>
        <v>8068344640</v>
      </c>
      <c r="W44" s="165"/>
      <c r="X44" s="165"/>
      <c r="Y44" s="165"/>
      <c r="Z44" s="157" t="str">
        <f>_xlfn.XLOOKUP(H44,Input[Institution Name],Input[Contact Email],"",0,1)</f>
        <v>lori.eppler@ttu.edu</v>
      </c>
      <c r="AA44" s="157"/>
      <c r="AB44" s="157"/>
      <c r="AC44" s="157"/>
      <c r="AD44" s="157"/>
      <c r="AE44" s="157"/>
      <c r="AF44" s="157" t="str">
        <f>_xlfn.XLOOKUP(H44,Input[Institution Name],Input[Contact Name (alt)],"",0,1)</f>
        <v>Eric Fisher</v>
      </c>
      <c r="AG44" s="157"/>
      <c r="AH44" s="157"/>
      <c r="AI44" s="157"/>
      <c r="AJ44" s="157"/>
      <c r="AK44" s="165">
        <f>_xlfn.XLOOKUP(H44,Input[Institution Name],Input[Contact Phone (alt)],"",0,1)</f>
        <v>8068344713</v>
      </c>
      <c r="AL44" s="165"/>
      <c r="AM44" s="165"/>
      <c r="AN44" s="165"/>
      <c r="AO44" s="157" t="str">
        <f>_xlfn.XLOOKUP(H44,Input[Institution Name],Input[Contact Email (alt)],"",0,1)</f>
        <v xml:space="preserve"> eric.fisher@ttu.edu</v>
      </c>
      <c r="AP44" s="157"/>
      <c r="AQ44" s="157"/>
      <c r="AR44" s="157"/>
      <c r="AS44" s="157"/>
      <c r="AT44" s="164"/>
      <c r="AU44" s="24"/>
      <c r="AV44" s="24"/>
      <c r="AW44" s="24"/>
    </row>
    <row r="45" spans="1:49" ht="30" customHeight="1" x14ac:dyDescent="0.3">
      <c r="A45" s="24"/>
      <c r="B45" s="24"/>
      <c r="C45" s="24"/>
      <c r="D45" s="24"/>
      <c r="E45" s="24"/>
      <c r="F45" s="24"/>
      <c r="G45" s="24"/>
      <c r="H45" s="167" t="s">
        <v>36</v>
      </c>
      <c r="I45" s="158"/>
      <c r="J45" s="158"/>
      <c r="K45" s="158"/>
      <c r="L45" s="158"/>
      <c r="M45" s="158"/>
      <c r="N45" s="158"/>
      <c r="O45" s="158"/>
      <c r="P45" s="158"/>
      <c r="Q45" s="158" t="str">
        <f>_xlfn.XLOOKUP(H45,Input[Institution Name],Input[Contact Name],"",0,1)</f>
        <v>Rebecca Aguilar</v>
      </c>
      <c r="R45" s="158"/>
      <c r="S45" s="158"/>
      <c r="T45" s="158"/>
      <c r="U45" s="158"/>
      <c r="V45" s="169">
        <f>_xlfn.XLOOKUP(H45,Input[Institution Name],Input[Contact Phone],"",0,1)</f>
        <v>8067437381</v>
      </c>
      <c r="W45" s="169"/>
      <c r="X45" s="169"/>
      <c r="Y45" s="169"/>
      <c r="Z45" s="158" t="str">
        <f>_xlfn.XLOOKUP(H45,Input[Institution Name],Input[Contact Email],"",0,1)</f>
        <v>rebecca.aguilar@ttuhsc.edu</v>
      </c>
      <c r="AA45" s="158"/>
      <c r="AB45" s="158"/>
      <c r="AC45" s="158"/>
      <c r="AD45" s="158"/>
      <c r="AE45" s="158"/>
      <c r="AF45" s="158" t="str">
        <f>_xlfn.XLOOKUP(H45,Input[Institution Name],Input[Contact Name (alt)],"",0,1)</f>
        <v>Mike West</v>
      </c>
      <c r="AG45" s="158"/>
      <c r="AH45" s="158"/>
      <c r="AI45" s="158"/>
      <c r="AJ45" s="158"/>
      <c r="AK45" s="169">
        <f>_xlfn.XLOOKUP(H45,Input[Institution Name],Input[Contact Phone (alt)],"",0,1)</f>
        <v>8067439021</v>
      </c>
      <c r="AL45" s="169"/>
      <c r="AM45" s="169"/>
      <c r="AN45" s="169"/>
      <c r="AO45" s="158" t="str">
        <f>_xlfn.XLOOKUP(H45,Input[Institution Name],Input[Contact Email (alt)],"",0,1)</f>
        <v>michael.west@ttuhsc.edu</v>
      </c>
      <c r="AP45" s="158"/>
      <c r="AQ45" s="158"/>
      <c r="AR45" s="158"/>
      <c r="AS45" s="158"/>
      <c r="AT45" s="166"/>
      <c r="AU45" s="24"/>
      <c r="AV45" s="24"/>
      <c r="AW45" s="24"/>
    </row>
    <row r="46" spans="1:49" ht="30" customHeight="1" x14ac:dyDescent="0.3">
      <c r="A46" s="24"/>
      <c r="B46" s="24"/>
      <c r="C46" s="24"/>
      <c r="D46" s="24"/>
      <c r="E46" s="24"/>
      <c r="F46" s="24"/>
      <c r="G46" s="24"/>
      <c r="H46" s="168" t="s">
        <v>37</v>
      </c>
      <c r="I46" s="157"/>
      <c r="J46" s="157"/>
      <c r="K46" s="157"/>
      <c r="L46" s="157"/>
      <c r="M46" s="157"/>
      <c r="N46" s="157"/>
      <c r="O46" s="157"/>
      <c r="P46" s="157"/>
      <c r="Q46" s="157" t="str">
        <f>_xlfn.XLOOKUP(H46,Input[Institution Name],Input[Contact Name],"",0,1)</f>
        <v xml:space="preserve">Cynthia Blessing Washington </v>
      </c>
      <c r="R46" s="157"/>
      <c r="S46" s="157"/>
      <c r="T46" s="157"/>
      <c r="U46" s="157"/>
      <c r="V46" s="165">
        <f>_xlfn.XLOOKUP(H46,Input[Institution Name],Input[Contact Phone],"",0,1)</f>
        <v>9152155381</v>
      </c>
      <c r="W46" s="165"/>
      <c r="X46" s="165"/>
      <c r="Y46" s="165"/>
      <c r="Z46" s="157" t="str">
        <f>_xlfn.XLOOKUP(H46,Input[Institution Name],Input[Contact Email],"",0,1)</f>
        <v>cblessin@ttuhsc.edu</v>
      </c>
      <c r="AA46" s="157"/>
      <c r="AB46" s="157"/>
      <c r="AC46" s="157"/>
      <c r="AD46" s="157"/>
      <c r="AE46" s="157"/>
      <c r="AF46" s="157" t="str">
        <f>_xlfn.XLOOKUP(H46,Input[Institution Name],Input[Contact Name (alt)],"",0,1)</f>
        <v>Karina Rodriguez</v>
      </c>
      <c r="AG46" s="157"/>
      <c r="AH46" s="157"/>
      <c r="AI46" s="157"/>
      <c r="AJ46" s="157"/>
      <c r="AK46" s="165">
        <f>_xlfn.XLOOKUP(H46,Input[Institution Name],Input[Contact Phone (alt)],"",0,1)</f>
        <v>9152155045</v>
      </c>
      <c r="AL46" s="165"/>
      <c r="AM46" s="165"/>
      <c r="AN46" s="165"/>
      <c r="AO46" s="157" t="str">
        <f>_xlfn.XLOOKUP(H46,Input[Institution Name],Input[Contact Email (alt)],"",0,1)</f>
        <v xml:space="preserve"> karina1.rodriguez@ttuhsc.edu</v>
      </c>
      <c r="AP46" s="157"/>
      <c r="AQ46" s="157"/>
      <c r="AR46" s="157"/>
      <c r="AS46" s="157"/>
      <c r="AT46" s="164"/>
      <c r="AU46" s="24"/>
      <c r="AV46" s="24"/>
      <c r="AW46" s="24"/>
    </row>
    <row r="47" spans="1:49" ht="30" customHeight="1" x14ac:dyDescent="0.3">
      <c r="A47" s="24"/>
      <c r="B47" s="24"/>
      <c r="C47" s="24"/>
      <c r="D47" s="24"/>
      <c r="E47" s="24"/>
      <c r="F47" s="24"/>
      <c r="G47" s="24"/>
      <c r="H47" s="167" t="s">
        <v>64</v>
      </c>
      <c r="I47" s="158"/>
      <c r="J47" s="158"/>
      <c r="K47" s="158"/>
      <c r="L47" s="158"/>
      <c r="M47" s="158"/>
      <c r="N47" s="158"/>
      <c r="O47" s="158"/>
      <c r="P47" s="158"/>
      <c r="Q47" s="158" t="str">
        <f>_xlfn.XLOOKUP(H47,Input[Institution Name],Input[Contact Name],"",0,1)</f>
        <v>Paul Smith</v>
      </c>
      <c r="R47" s="158"/>
      <c r="S47" s="158"/>
      <c r="T47" s="158"/>
      <c r="U47" s="158"/>
      <c r="V47" s="169">
        <f>_xlfn.XLOOKUP(H47,Input[Institution Name],Input[Contact Phone],"",0,1)</f>
        <v>9408983397</v>
      </c>
      <c r="W47" s="169"/>
      <c r="X47" s="169"/>
      <c r="Y47" s="169"/>
      <c r="Z47" s="158" t="str">
        <f>_xlfn.XLOOKUP(H47,Input[Institution Name],Input[Contact Email],"",0,1)</f>
        <v>unavailable</v>
      </c>
      <c r="AA47" s="158"/>
      <c r="AB47" s="158"/>
      <c r="AC47" s="158"/>
      <c r="AD47" s="158"/>
      <c r="AE47" s="158"/>
      <c r="AF47" s="158" t="str">
        <f>_xlfn.XLOOKUP(H47,Input[Institution Name],Input[Contact Name (alt)],"",0,1)</f>
        <v>Barbara Newton</v>
      </c>
      <c r="AG47" s="158"/>
      <c r="AH47" s="158"/>
      <c r="AI47" s="158"/>
      <c r="AJ47" s="158"/>
      <c r="AK47" s="169">
        <f>_xlfn.XLOOKUP(H47,Input[Institution Name],Input[Contact Phone (alt)],"",0,1)</f>
        <v>9408983543</v>
      </c>
      <c r="AL47" s="169"/>
      <c r="AM47" s="169"/>
      <c r="AN47" s="169"/>
      <c r="AO47" s="158" t="str">
        <f>_xlfn.XLOOKUP(H47,Input[Institution Name],Input[Contact Email (alt)],"",0,1)</f>
        <v xml:space="preserve"> bnewton@twu.edu</v>
      </c>
      <c r="AP47" s="158"/>
      <c r="AQ47" s="158"/>
      <c r="AR47" s="158"/>
      <c r="AS47" s="158"/>
      <c r="AT47" s="166"/>
      <c r="AU47" s="24"/>
      <c r="AV47" s="24"/>
      <c r="AW47" s="24"/>
    </row>
    <row r="48" spans="1:49" ht="30" customHeight="1" x14ac:dyDescent="0.3">
      <c r="A48" s="24"/>
      <c r="B48" s="24"/>
      <c r="C48" s="24"/>
      <c r="D48" s="24"/>
      <c r="E48" s="24"/>
      <c r="F48" s="24"/>
      <c r="G48" s="24"/>
      <c r="H48" s="168" t="s">
        <v>29</v>
      </c>
      <c r="I48" s="157"/>
      <c r="J48" s="157"/>
      <c r="K48" s="157"/>
      <c r="L48" s="157"/>
      <c r="M48" s="157"/>
      <c r="N48" s="157"/>
      <c r="O48" s="157"/>
      <c r="P48" s="157"/>
      <c r="Q48" s="157" t="str">
        <f>_xlfn.XLOOKUP(H48,Input[Institution Name],Input[Contact Name],"",0,1)</f>
        <v>Debra Johnson</v>
      </c>
      <c r="R48" s="157"/>
      <c r="S48" s="157"/>
      <c r="T48" s="157"/>
      <c r="U48" s="157"/>
      <c r="V48" s="165">
        <f>_xlfn.XLOOKUP(H48,Input[Institution Name],Input[Contact Phone],"",0,1)</f>
        <v>8172723330</v>
      </c>
      <c r="W48" s="165"/>
      <c r="X48" s="165"/>
      <c r="Y48" s="165"/>
      <c r="Z48" s="157" t="str">
        <f>_xlfn.XLOOKUP(H48,Input[Institution Name],Input[Contact Email],"",0,1)</f>
        <v>debra.johnson@uta.edu</v>
      </c>
      <c r="AA48" s="157"/>
      <c r="AB48" s="157"/>
      <c r="AC48" s="157"/>
      <c r="AD48" s="157"/>
      <c r="AE48" s="157"/>
      <c r="AF48" s="157" t="str">
        <f>_xlfn.XLOOKUP(H48,Input[Institution Name],Input[Contact Name (alt)],"",0,1)</f>
        <v>Marie Adams</v>
      </c>
      <c r="AG48" s="157"/>
      <c r="AH48" s="157"/>
      <c r="AI48" s="157"/>
      <c r="AJ48" s="157"/>
      <c r="AK48" s="165">
        <f>_xlfn.XLOOKUP(H48,Input[Institution Name],Input[Contact Phone (alt)],"",0,1)</f>
        <v>8172723449</v>
      </c>
      <c r="AL48" s="165"/>
      <c r="AM48" s="165"/>
      <c r="AN48" s="165"/>
      <c r="AO48" s="157" t="str">
        <f>_xlfn.XLOOKUP(H48,Input[Institution Name],Input[Contact Email (alt)],"",0,1)</f>
        <v xml:space="preserve"> marie.adams@uta.edu</v>
      </c>
      <c r="AP48" s="157"/>
      <c r="AQ48" s="157"/>
      <c r="AR48" s="157"/>
      <c r="AS48" s="157"/>
      <c r="AT48" s="164"/>
      <c r="AU48" s="24"/>
      <c r="AV48" s="24"/>
      <c r="AW48" s="24"/>
    </row>
    <row r="49" spans="1:49" ht="30" customHeight="1" x14ac:dyDescent="0.3">
      <c r="A49" s="24"/>
      <c r="B49" s="24"/>
      <c r="C49" s="24"/>
      <c r="D49" s="24"/>
      <c r="E49" s="24"/>
      <c r="F49" s="24"/>
      <c r="G49" s="24"/>
      <c r="H49" s="167" t="s">
        <v>92</v>
      </c>
      <c r="I49" s="158"/>
      <c r="J49" s="158"/>
      <c r="K49" s="158"/>
      <c r="L49" s="158"/>
      <c r="M49" s="158"/>
      <c r="N49" s="158"/>
      <c r="O49" s="158"/>
      <c r="P49" s="158"/>
      <c r="Q49" s="158" t="str">
        <f>_xlfn.XLOOKUP(H49,Input[Institution Name],Input[Contact Name],"",0,1)</f>
        <v>Jared Ensign</v>
      </c>
      <c r="R49" s="158"/>
      <c r="S49" s="158"/>
      <c r="T49" s="158"/>
      <c r="U49" s="158"/>
      <c r="V49" s="169">
        <f>_xlfn.XLOOKUP(H49,Input[Institution Name],Input[Contact Phone],"",0,1)</f>
        <v>5124716527</v>
      </c>
      <c r="W49" s="169"/>
      <c r="X49" s="169"/>
      <c r="Y49" s="169"/>
      <c r="Z49" s="158" t="str">
        <f>_xlfn.XLOOKUP(H49,Input[Institution Name],Input[Contact Email],"",0,1)</f>
        <v>jared.ensign@austin.utexas.edu</v>
      </c>
      <c r="AA49" s="158"/>
      <c r="AB49" s="158"/>
      <c r="AC49" s="158"/>
      <c r="AD49" s="158"/>
      <c r="AE49" s="158"/>
      <c r="AF49" s="158" t="str">
        <f>_xlfn.XLOOKUP(H49,Input[Institution Name],Input[Contact Name (alt)],"",0,1)</f>
        <v>Michelle Lee</v>
      </c>
      <c r="AG49" s="158"/>
      <c r="AH49" s="158"/>
      <c r="AI49" s="158"/>
      <c r="AJ49" s="158"/>
      <c r="AK49" s="169">
        <f>_xlfn.XLOOKUP(H49,Input[Institution Name],Input[Contact Phone (alt)],"",0,1)</f>
        <v>5122323566</v>
      </c>
      <c r="AL49" s="169"/>
      <c r="AM49" s="169"/>
      <c r="AN49" s="169"/>
      <c r="AO49" s="158" t="str">
        <f>_xlfn.XLOOKUP(H49,Input[Institution Name],Input[Contact Email (alt)],"",0,1)</f>
        <v xml:space="preserve"> michelle.lee2@austin.utexas.edu</v>
      </c>
      <c r="AP49" s="158"/>
      <c r="AQ49" s="158"/>
      <c r="AR49" s="158"/>
      <c r="AS49" s="158"/>
      <c r="AT49" s="166"/>
      <c r="AU49" s="24"/>
      <c r="AV49" s="24"/>
      <c r="AW49" s="24"/>
    </row>
    <row r="50" spans="1:49" ht="30" customHeight="1" x14ac:dyDescent="0.3">
      <c r="A50" s="24"/>
      <c r="B50" s="24"/>
      <c r="C50" s="24"/>
      <c r="D50" s="24"/>
      <c r="E50" s="24"/>
      <c r="F50" s="24"/>
      <c r="G50" s="24"/>
      <c r="H50" s="168" t="s">
        <v>52</v>
      </c>
      <c r="I50" s="157"/>
      <c r="J50" s="157"/>
      <c r="K50" s="157"/>
      <c r="L50" s="157"/>
      <c r="M50" s="157"/>
      <c r="N50" s="157"/>
      <c r="O50" s="157"/>
      <c r="P50" s="157"/>
      <c r="Q50" s="157" t="str">
        <f>_xlfn.XLOOKUP(H50,Input[Institution Name],Input[Contact Name],"",0,1)</f>
        <v>Cindy Milligan</v>
      </c>
      <c r="R50" s="157"/>
      <c r="S50" s="157"/>
      <c r="T50" s="157"/>
      <c r="U50" s="157"/>
      <c r="V50" s="165">
        <f>_xlfn.XLOOKUP(H50,Input[Institution Name],Input[Contact Phone],"",0,1)</f>
        <v>9728832632</v>
      </c>
      <c r="W50" s="165"/>
      <c r="X50" s="165"/>
      <c r="Y50" s="165"/>
      <c r="Z50" s="157" t="str">
        <f>_xlfn.XLOOKUP(H50,Input[Institution Name],Input[Contact Email],"",0,1)</f>
        <v>cxm133830@utdallas.edu</v>
      </c>
      <c r="AA50" s="157"/>
      <c r="AB50" s="157"/>
      <c r="AC50" s="157"/>
      <c r="AD50" s="157"/>
      <c r="AE50" s="157"/>
      <c r="AF50" s="157" t="str">
        <f>_xlfn.XLOOKUP(H50,Input[Institution Name],Input[Contact Name (alt)],"",0,1)</f>
        <v xml:space="preserve">Melody  Monjazeb </v>
      </c>
      <c r="AG50" s="157"/>
      <c r="AH50" s="157"/>
      <c r="AI50" s="157"/>
      <c r="AJ50" s="157"/>
      <c r="AK50" s="165" t="str">
        <f>_xlfn.XLOOKUP(H50,Input[Institution Name],Input[Contact Phone (alt)],"",0,1)</f>
        <v>unavailable</v>
      </c>
      <c r="AL50" s="165"/>
      <c r="AM50" s="165"/>
      <c r="AN50" s="165"/>
      <c r="AO50" s="157" t="str">
        <f>_xlfn.XLOOKUP(H50,Input[Institution Name],Input[Contact Email (alt)],"",0,1)</f>
        <v xml:space="preserve"> melody.monjazeb@utdallas.edu</v>
      </c>
      <c r="AP50" s="157"/>
      <c r="AQ50" s="157"/>
      <c r="AR50" s="157"/>
      <c r="AS50" s="157"/>
      <c r="AT50" s="164"/>
      <c r="AU50" s="24"/>
      <c r="AV50" s="24"/>
      <c r="AW50" s="24"/>
    </row>
    <row r="51" spans="1:49" ht="30" customHeight="1" x14ac:dyDescent="0.3">
      <c r="A51" s="24"/>
      <c r="B51" s="24"/>
      <c r="C51" s="24"/>
      <c r="D51" s="24"/>
      <c r="E51" s="24"/>
      <c r="F51" s="24"/>
      <c r="G51" s="24"/>
      <c r="H51" s="167" t="s">
        <v>55</v>
      </c>
      <c r="I51" s="158"/>
      <c r="J51" s="158"/>
      <c r="K51" s="158"/>
      <c r="L51" s="158"/>
      <c r="M51" s="158"/>
      <c r="N51" s="158"/>
      <c r="O51" s="158"/>
      <c r="P51" s="158"/>
      <c r="Q51" s="158" t="str">
        <f>_xlfn.XLOOKUP(H51,Input[Institution Name],Input[Contact Name],"",0,1)</f>
        <v>Daniel Dominguez</v>
      </c>
      <c r="R51" s="158"/>
      <c r="S51" s="158"/>
      <c r="T51" s="158"/>
      <c r="U51" s="158"/>
      <c r="V51" s="169">
        <f>_xlfn.XLOOKUP(H51,Input[Institution Name],Input[Contact Phone],"",0,1)</f>
        <v>9157475083</v>
      </c>
      <c r="W51" s="169"/>
      <c r="X51" s="169"/>
      <c r="Y51" s="169"/>
      <c r="Z51" s="158" t="str">
        <f>_xlfn.XLOOKUP(H51,Input[Institution Name],Input[Contact Email],"",0,1)</f>
        <v>drdominguez@utep.edu</v>
      </c>
      <c r="AA51" s="158"/>
      <c r="AB51" s="158"/>
      <c r="AC51" s="158"/>
      <c r="AD51" s="158"/>
      <c r="AE51" s="158"/>
      <c r="AF51" s="158" t="str">
        <f>_xlfn.XLOOKUP(H51,Input[Institution Name],Input[Contact Name (alt)],"",0,1)</f>
        <v>Germán Hurtado</v>
      </c>
      <c r="AG51" s="158"/>
      <c r="AH51" s="158"/>
      <c r="AI51" s="158"/>
      <c r="AJ51" s="158"/>
      <c r="AK51" s="169">
        <f>_xlfn.XLOOKUP(H51,Input[Institution Name],Input[Contact Phone (alt)],"",0,1)</f>
        <v>9157478034</v>
      </c>
      <c r="AL51" s="169"/>
      <c r="AM51" s="169"/>
      <c r="AN51" s="169"/>
      <c r="AO51" s="158" t="str">
        <f>_xlfn.XLOOKUP(H51,Input[Institution Name],Input[Contact Email (alt)],"",0,1)</f>
        <v xml:space="preserve"> hugerman@utep.edu</v>
      </c>
      <c r="AP51" s="158"/>
      <c r="AQ51" s="158"/>
      <c r="AR51" s="158"/>
      <c r="AS51" s="158"/>
      <c r="AT51" s="166"/>
      <c r="AU51" s="24"/>
      <c r="AV51" s="24"/>
      <c r="AW51" s="24"/>
    </row>
    <row r="52" spans="1:49" ht="30" customHeight="1" x14ac:dyDescent="0.3">
      <c r="A52" s="24"/>
      <c r="B52" s="24"/>
      <c r="C52" s="24"/>
      <c r="D52" s="24"/>
      <c r="E52" s="24"/>
      <c r="F52" s="24"/>
      <c r="G52" s="24"/>
      <c r="H52" s="168" t="s">
        <v>2</v>
      </c>
      <c r="I52" s="157"/>
      <c r="J52" s="157"/>
      <c r="K52" s="157"/>
      <c r="L52" s="157"/>
      <c r="M52" s="157"/>
      <c r="N52" s="157"/>
      <c r="O52" s="157"/>
      <c r="P52" s="157"/>
      <c r="Q52" s="157" t="str">
        <f>_xlfn.XLOOKUP(H52,Input[Institution Name],Input[Contact Name],"",0,1)</f>
        <v>Cynthia Schweers</v>
      </c>
      <c r="R52" s="157"/>
      <c r="S52" s="157"/>
      <c r="T52" s="157"/>
      <c r="U52" s="157"/>
      <c r="V52" s="165">
        <f>_xlfn.XLOOKUP(H52,Input[Institution Name],Input[Contact Phone],"",0,1)</f>
        <v>2103554180</v>
      </c>
      <c r="W52" s="165"/>
      <c r="X52" s="165"/>
      <c r="Y52" s="165"/>
      <c r="Z52" s="157" t="str">
        <f>_xlfn.XLOOKUP(H52,Input[Institution Name],Input[Contact Email],"",0,1)</f>
        <v>cynthia.schweers@utsa.edu</v>
      </c>
      <c r="AA52" s="157"/>
      <c r="AB52" s="157"/>
      <c r="AC52" s="157"/>
      <c r="AD52" s="157"/>
      <c r="AE52" s="157"/>
      <c r="AF52" s="157" t="str">
        <f>_xlfn.XLOOKUP(H52,Input[Institution Name],Input[Contact Name (alt)],"",0,1)</f>
        <v>Gregory Yturralde</v>
      </c>
      <c r="AG52" s="157"/>
      <c r="AH52" s="157"/>
      <c r="AI52" s="157"/>
      <c r="AJ52" s="157"/>
      <c r="AK52" s="165">
        <f>_xlfn.XLOOKUP(H52,Input[Institution Name],Input[Contact Phone (alt)],"",0,1)</f>
        <v>2104584345</v>
      </c>
      <c r="AL52" s="165"/>
      <c r="AM52" s="165"/>
      <c r="AN52" s="165"/>
      <c r="AO52" s="157" t="str">
        <f>_xlfn.XLOOKUP(H52,Input[Institution Name],Input[Contact Email (alt)],"",0,1)</f>
        <v>gregory.yturralde@utsa.edu</v>
      </c>
      <c r="AP52" s="157"/>
      <c r="AQ52" s="157"/>
      <c r="AR52" s="157"/>
      <c r="AS52" s="157"/>
      <c r="AT52" s="164"/>
      <c r="AU52" s="24"/>
      <c r="AV52" s="24"/>
      <c r="AW52" s="24"/>
    </row>
    <row r="53" spans="1:49" ht="30" customHeight="1" x14ac:dyDescent="0.3">
      <c r="A53" s="24"/>
      <c r="B53" s="24"/>
      <c r="C53" s="24"/>
      <c r="D53" s="24"/>
      <c r="E53" s="24"/>
      <c r="F53" s="24"/>
      <c r="G53" s="24"/>
      <c r="H53" s="167" t="s">
        <v>3</v>
      </c>
      <c r="I53" s="158"/>
      <c r="J53" s="158"/>
      <c r="K53" s="158"/>
      <c r="L53" s="158"/>
      <c r="M53" s="158"/>
      <c r="N53" s="158"/>
      <c r="O53" s="158"/>
      <c r="P53" s="158"/>
      <c r="Q53" s="158" t="str">
        <f>_xlfn.XLOOKUP(H53,Input[Institution Name],Input[Contact Name],"",0,1)</f>
        <v>Brenda Golemon</v>
      </c>
      <c r="R53" s="158"/>
      <c r="S53" s="158"/>
      <c r="T53" s="158"/>
      <c r="U53" s="158"/>
      <c r="V53" s="169" t="str">
        <f>_xlfn.XLOOKUP(H53,Input[Institution Name],Input[Contact Phone],"",0,1)</f>
        <v>unavailable</v>
      </c>
      <c r="W53" s="169"/>
      <c r="X53" s="169"/>
      <c r="Y53" s="169"/>
      <c r="Z53" s="158" t="str">
        <f>_xlfn.XLOOKUP(H53,Input[Institution Name],Input[Contact Email],"",0,1)</f>
        <v>bgolemon@uttyler.edu</v>
      </c>
      <c r="AA53" s="158"/>
      <c r="AB53" s="158"/>
      <c r="AC53" s="158"/>
      <c r="AD53" s="158"/>
      <c r="AE53" s="158"/>
      <c r="AF53" s="158" t="str">
        <f>_xlfn.XLOOKUP(H53,Input[Institution Name],Input[Contact Name (alt)],"",0,1)</f>
        <v>Charles Lemay</v>
      </c>
      <c r="AG53" s="158"/>
      <c r="AH53" s="158"/>
      <c r="AI53" s="158"/>
      <c r="AJ53" s="158"/>
      <c r="AK53" s="169" t="str">
        <f>_xlfn.XLOOKUP(H53,Input[Institution Name],Input[Contact Phone (alt)],"",0,1)</f>
        <v>unavailable</v>
      </c>
      <c r="AL53" s="169"/>
      <c r="AM53" s="169"/>
      <c r="AN53" s="169"/>
      <c r="AO53" s="158" t="str">
        <f>_xlfn.XLOOKUP(H53,Input[Institution Name],Input[Contact Email (alt)],"",0,1)</f>
        <v xml:space="preserve"> clemay@uttyler.edu</v>
      </c>
      <c r="AP53" s="158"/>
      <c r="AQ53" s="158"/>
      <c r="AR53" s="158"/>
      <c r="AS53" s="158"/>
      <c r="AT53" s="166"/>
      <c r="AU53" s="24"/>
      <c r="AV53" s="24"/>
      <c r="AW53" s="24"/>
    </row>
    <row r="54" spans="1:49" ht="30" customHeight="1" x14ac:dyDescent="0.3">
      <c r="A54" s="24"/>
      <c r="B54" s="24"/>
      <c r="C54" s="24"/>
      <c r="D54" s="24"/>
      <c r="E54" s="24"/>
      <c r="F54" s="24"/>
      <c r="G54" s="24"/>
      <c r="H54" s="168" t="s">
        <v>31</v>
      </c>
      <c r="I54" s="157"/>
      <c r="J54" s="157"/>
      <c r="K54" s="157"/>
      <c r="L54" s="157"/>
      <c r="M54" s="157"/>
      <c r="N54" s="157"/>
      <c r="O54" s="157"/>
      <c r="P54" s="157"/>
      <c r="Q54" s="157" t="str">
        <f>_xlfn.XLOOKUP(H54,Input[Institution Name],Input[Contact Name],"",0,1)</f>
        <v>Scott Barnett</v>
      </c>
      <c r="R54" s="157"/>
      <c r="S54" s="157"/>
      <c r="T54" s="157"/>
      <c r="U54" s="157"/>
      <c r="V54" s="165">
        <f>_xlfn.XLOOKUP(H54,Input[Institution Name],Input[Contact Phone],"",0,1)</f>
        <v>7005004915</v>
      </c>
      <c r="W54" s="165"/>
      <c r="X54" s="165"/>
      <c r="Y54" s="165"/>
      <c r="Z54" s="157" t="str">
        <f>_xlfn.XLOOKUP(H54,Input[Institution Name],Input[Contact Email],"",0,1)</f>
        <v>scott.barnett@uth.tmc.edu</v>
      </c>
      <c r="AA54" s="157"/>
      <c r="AB54" s="157"/>
      <c r="AC54" s="157"/>
      <c r="AD54" s="157"/>
      <c r="AE54" s="157"/>
      <c r="AF54" s="157" t="str">
        <f>_xlfn.XLOOKUP(H54,Input[Institution Name],Input[Contact Name (alt)],"",0,1)</f>
        <v>Kristin Cao</v>
      </c>
      <c r="AG54" s="157"/>
      <c r="AH54" s="157"/>
      <c r="AI54" s="157"/>
      <c r="AJ54" s="157"/>
      <c r="AK54" s="165">
        <f>_xlfn.XLOOKUP(H54,Input[Institution Name],Input[Contact Phone (alt)],"",0,1)</f>
        <v>7135004929</v>
      </c>
      <c r="AL54" s="165"/>
      <c r="AM54" s="165"/>
      <c r="AN54" s="165"/>
      <c r="AO54" s="157" t="str">
        <f>_xlfn.XLOOKUP(H54,Input[Institution Name],Input[Contact Email (alt)],"",0,1)</f>
        <v>kristin.cao@uth.tmc.edu</v>
      </c>
      <c r="AP54" s="157"/>
      <c r="AQ54" s="157"/>
      <c r="AR54" s="157"/>
      <c r="AS54" s="157"/>
      <c r="AT54" s="164"/>
      <c r="AU54" s="24"/>
      <c r="AV54" s="24"/>
      <c r="AW54" s="24"/>
    </row>
    <row r="55" spans="1:49" ht="30" customHeight="1" x14ac:dyDescent="0.3">
      <c r="A55" s="24"/>
      <c r="B55" s="24"/>
      <c r="C55" s="24"/>
      <c r="D55" s="24"/>
      <c r="E55" s="24"/>
      <c r="F55" s="24"/>
      <c r="G55" s="24"/>
      <c r="H55" s="167" t="s">
        <v>32</v>
      </c>
      <c r="I55" s="158"/>
      <c r="J55" s="158"/>
      <c r="K55" s="158"/>
      <c r="L55" s="158"/>
      <c r="M55" s="158"/>
      <c r="N55" s="158"/>
      <c r="O55" s="158"/>
      <c r="P55" s="158"/>
      <c r="Q55" s="158" t="str">
        <f>_xlfn.XLOOKUP(H55,Input[Institution Name],Input[Contact Name],"",0,1)</f>
        <v>Yinwen Li</v>
      </c>
      <c r="R55" s="158"/>
      <c r="S55" s="158"/>
      <c r="T55" s="158"/>
      <c r="U55" s="158"/>
      <c r="V55" s="169">
        <f>_xlfn.XLOOKUP(H55,Input[Institution Name],Input[Contact Phone],"",0,1)</f>
        <v>2105626268</v>
      </c>
      <c r="W55" s="169"/>
      <c r="X55" s="169"/>
      <c r="Y55" s="169"/>
      <c r="Z55" s="158" t="str">
        <f>_xlfn.XLOOKUP(H55,Input[Institution Name],Input[Contact Email],"",0,1)</f>
        <v>liy2@uthscsa.edu</v>
      </c>
      <c r="AA55" s="158"/>
      <c r="AB55" s="158"/>
      <c r="AC55" s="158"/>
      <c r="AD55" s="158"/>
      <c r="AE55" s="158"/>
      <c r="AF55" s="158" t="str">
        <f>_xlfn.XLOOKUP(H55,Input[Institution Name],Input[Contact Name (alt)],"",0,1)</f>
        <v>unavailable</v>
      </c>
      <c r="AG55" s="158"/>
      <c r="AH55" s="158"/>
      <c r="AI55" s="158"/>
      <c r="AJ55" s="158"/>
      <c r="AK55" s="169" t="str">
        <f>_xlfn.XLOOKUP(H55,Input[Institution Name],Input[Contact Phone (alt)],"",0,1)</f>
        <v>unavailable</v>
      </c>
      <c r="AL55" s="169"/>
      <c r="AM55" s="169"/>
      <c r="AN55" s="169"/>
      <c r="AO55" s="158" t="str">
        <f>_xlfn.XLOOKUP(H55,Input[Institution Name],Input[Contact Email (alt)],"",0,1)</f>
        <v>unavailable</v>
      </c>
      <c r="AP55" s="158"/>
      <c r="AQ55" s="158"/>
      <c r="AR55" s="158"/>
      <c r="AS55" s="158"/>
      <c r="AT55" s="166"/>
      <c r="AU55" s="24"/>
      <c r="AV55" s="24"/>
      <c r="AW55" s="24"/>
    </row>
    <row r="56" spans="1:49" ht="30" customHeight="1" x14ac:dyDescent="0.3">
      <c r="A56" s="24"/>
      <c r="B56" s="24"/>
      <c r="C56" s="24"/>
      <c r="D56" s="24"/>
      <c r="E56" s="24"/>
      <c r="F56" s="24"/>
      <c r="G56" s="24"/>
      <c r="H56" s="168" t="s">
        <v>34</v>
      </c>
      <c r="I56" s="157"/>
      <c r="J56" s="157"/>
      <c r="K56" s="157"/>
      <c r="L56" s="157"/>
      <c r="M56" s="157"/>
      <c r="N56" s="157"/>
      <c r="O56" s="157"/>
      <c r="P56" s="157"/>
      <c r="Q56" s="157" t="str">
        <f>_xlfn.XLOOKUP(H56,Input[Institution Name],Input[Contact Name],"",0,1)</f>
        <v>Brenda Golemon</v>
      </c>
      <c r="R56" s="157"/>
      <c r="S56" s="157"/>
      <c r="T56" s="157"/>
      <c r="U56" s="157"/>
      <c r="V56" s="165" t="str">
        <f>_xlfn.XLOOKUP(H56,Input[Institution Name],Input[Contact Phone],"",0,1)</f>
        <v>unavailable</v>
      </c>
      <c r="W56" s="165"/>
      <c r="X56" s="165"/>
      <c r="Y56" s="165"/>
      <c r="Z56" s="157" t="str">
        <f>_xlfn.XLOOKUP(H56,Input[Institution Name],Input[Contact Email],"",0,1)</f>
        <v>bgolemon@uttyler.edu</v>
      </c>
      <c r="AA56" s="157"/>
      <c r="AB56" s="157"/>
      <c r="AC56" s="157"/>
      <c r="AD56" s="157"/>
      <c r="AE56" s="157"/>
      <c r="AF56" s="157" t="str">
        <f>_xlfn.XLOOKUP(H56,Input[Institution Name],Input[Contact Name (alt)],"",0,1)</f>
        <v>Aaron Lemay</v>
      </c>
      <c r="AG56" s="157"/>
      <c r="AH56" s="157"/>
      <c r="AI56" s="157"/>
      <c r="AJ56" s="157"/>
      <c r="AK56" s="165" t="str">
        <f>_xlfn.XLOOKUP(H56,Input[Institution Name],Input[Contact Phone (alt)],"",0,1)</f>
        <v>unavailable</v>
      </c>
      <c r="AL56" s="165"/>
      <c r="AM56" s="165"/>
      <c r="AN56" s="165"/>
      <c r="AO56" s="157" t="str">
        <f>_xlfn.XLOOKUP(H56,Input[Institution Name],Input[Contact Email (alt)],"",0,1)</f>
        <v xml:space="preserve"> clemay@utttyler.edu</v>
      </c>
      <c r="AP56" s="157"/>
      <c r="AQ56" s="157"/>
      <c r="AR56" s="157"/>
      <c r="AS56" s="157"/>
      <c r="AT56" s="164"/>
      <c r="AU56" s="24"/>
      <c r="AV56" s="24"/>
      <c r="AW56" s="24"/>
    </row>
    <row r="57" spans="1:49" ht="30" customHeight="1" x14ac:dyDescent="0.3">
      <c r="A57" s="24"/>
      <c r="B57" s="24"/>
      <c r="C57" s="24"/>
      <c r="D57" s="24"/>
      <c r="E57" s="24"/>
      <c r="F57" s="24"/>
      <c r="G57" s="24"/>
      <c r="H57" s="167" t="s">
        <v>33</v>
      </c>
      <c r="I57" s="158"/>
      <c r="J57" s="158"/>
      <c r="K57" s="158"/>
      <c r="L57" s="158"/>
      <c r="M57" s="158"/>
      <c r="N57" s="158"/>
      <c r="O57" s="158"/>
      <c r="P57" s="158"/>
      <c r="Q57" s="158" t="str">
        <f>_xlfn.XLOOKUP(H57,Input[Institution Name],Input[Contact Name],"",0,1)</f>
        <v xml:space="preserve">Monica Davila </v>
      </c>
      <c r="R57" s="158"/>
      <c r="S57" s="158"/>
      <c r="T57" s="158"/>
      <c r="U57" s="158"/>
      <c r="V57" s="169">
        <f>_xlfn.XLOOKUP(H57,Input[Institution Name],Input[Contact Phone],"",0,1)</f>
        <v>8327501001</v>
      </c>
      <c r="W57" s="169"/>
      <c r="X57" s="169"/>
      <c r="Y57" s="169"/>
      <c r="Z57" s="158" t="str">
        <f>_xlfn.XLOOKUP(H57,Input[Institution Name],Input[Contact Email],"",0,1)</f>
        <v>mdavila7@mdanderson.org</v>
      </c>
      <c r="AA57" s="158"/>
      <c r="AB57" s="158"/>
      <c r="AC57" s="158"/>
      <c r="AD57" s="158"/>
      <c r="AE57" s="158"/>
      <c r="AF57" s="158" t="str">
        <f>_xlfn.XLOOKUP(H57,Input[Institution Name],Input[Contact Name (alt)],"",0,1)</f>
        <v>Cristina Gonzales</v>
      </c>
      <c r="AG57" s="158"/>
      <c r="AH57" s="158"/>
      <c r="AI57" s="158"/>
      <c r="AJ57" s="158"/>
      <c r="AK57" s="169">
        <f>_xlfn.XLOOKUP(H57,Input[Institution Name],Input[Contact Phone (alt)],"",0,1)</f>
        <v>7137453596</v>
      </c>
      <c r="AL57" s="169"/>
      <c r="AM57" s="169"/>
      <c r="AN57" s="169"/>
      <c r="AO57" s="158" t="str">
        <f>_xlfn.XLOOKUP(H57,Input[Institution Name],Input[Contact Email (alt)],"",0,1)</f>
        <v xml:space="preserve"> crisgonzales@mdanderson.org</v>
      </c>
      <c r="AP57" s="158"/>
      <c r="AQ57" s="158"/>
      <c r="AR57" s="158"/>
      <c r="AS57" s="158"/>
      <c r="AT57" s="166"/>
      <c r="AU57" s="24"/>
      <c r="AV57" s="24"/>
      <c r="AW57" s="24"/>
    </row>
    <row r="58" spans="1:49" ht="30" customHeight="1" x14ac:dyDescent="0.3">
      <c r="A58" s="24"/>
      <c r="B58" s="24"/>
      <c r="C58" s="24"/>
      <c r="D58" s="24"/>
      <c r="E58" s="24"/>
      <c r="F58" s="24"/>
      <c r="G58" s="24"/>
      <c r="H58" s="168" t="s">
        <v>30</v>
      </c>
      <c r="I58" s="157"/>
      <c r="J58" s="157"/>
      <c r="K58" s="157"/>
      <c r="L58" s="157"/>
      <c r="M58" s="157"/>
      <c r="N58" s="157"/>
      <c r="O58" s="157"/>
      <c r="P58" s="157"/>
      <c r="Q58" s="157" t="str">
        <f>_xlfn.XLOOKUP(H58,Input[Institution Name],Input[Contact Name],"",0,1)</f>
        <v>Joshua Tucker</v>
      </c>
      <c r="R58" s="157"/>
      <c r="S58" s="157"/>
      <c r="T58" s="157"/>
      <c r="U58" s="157"/>
      <c r="V58" s="165">
        <f>_xlfn.XLOOKUP(H58,Input[Institution Name],Input[Contact Phone],"",0,1)</f>
        <v>4097727525</v>
      </c>
      <c r="W58" s="165"/>
      <c r="X58" s="165"/>
      <c r="Y58" s="165"/>
      <c r="Z58" s="157" t="str">
        <f>_xlfn.XLOOKUP(H58,Input[Institution Name],Input[Contact Email],"",0,1)</f>
        <v>joatucke@utmb.edu</v>
      </c>
      <c r="AA58" s="157"/>
      <c r="AB58" s="157"/>
      <c r="AC58" s="157"/>
      <c r="AD58" s="157"/>
      <c r="AE58" s="157"/>
      <c r="AF58" s="157" t="str">
        <f>_xlfn.XLOOKUP(H58,Input[Institution Name],Input[Contact Name (alt)],"",0,1)</f>
        <v>Felicia Trigo</v>
      </c>
      <c r="AG58" s="157"/>
      <c r="AH58" s="157"/>
      <c r="AI58" s="157"/>
      <c r="AJ58" s="157"/>
      <c r="AK58" s="165">
        <f>_xlfn.XLOOKUP(H58,Input[Institution Name],Input[Contact Phone (alt)],"",0,1)</f>
        <v>4097476305</v>
      </c>
      <c r="AL58" s="165"/>
      <c r="AM58" s="165"/>
      <c r="AN58" s="165"/>
      <c r="AO58" s="157" t="str">
        <f>_xlfn.XLOOKUP(H58,Input[Institution Name],Input[Contact Email (alt)],"",0,1)</f>
        <v xml:space="preserve"> fdtrigo@utmb.edu</v>
      </c>
      <c r="AP58" s="157"/>
      <c r="AQ58" s="157"/>
      <c r="AR58" s="157"/>
      <c r="AS58" s="157"/>
      <c r="AT58" s="164"/>
      <c r="AU58" s="24"/>
      <c r="AV58" s="24"/>
      <c r="AW58" s="24"/>
    </row>
    <row r="59" spans="1:49" ht="30" customHeight="1" x14ac:dyDescent="0.3">
      <c r="A59" s="24"/>
      <c r="B59" s="24"/>
      <c r="C59" s="24"/>
      <c r="D59" s="24"/>
      <c r="E59" s="24"/>
      <c r="F59" s="24"/>
      <c r="G59" s="24"/>
      <c r="H59" s="167" t="s">
        <v>1</v>
      </c>
      <c r="I59" s="158"/>
      <c r="J59" s="158"/>
      <c r="K59" s="158"/>
      <c r="L59" s="158"/>
      <c r="M59" s="158"/>
      <c r="N59" s="158"/>
      <c r="O59" s="158"/>
      <c r="P59" s="158"/>
      <c r="Q59" s="158" t="str">
        <f>_xlfn.XLOOKUP(H59,Input[Institution Name],Input[Contact Name],"",0,1)</f>
        <v>Carrie Mcmahan</v>
      </c>
      <c r="R59" s="158"/>
      <c r="S59" s="158"/>
      <c r="T59" s="158"/>
      <c r="U59" s="158"/>
      <c r="V59" s="169">
        <f>_xlfn.XLOOKUP(H59,Input[Institution Name],Input[Contact Phone],"",0,1)</f>
        <v>9033602574</v>
      </c>
      <c r="W59" s="169"/>
      <c r="X59" s="169"/>
      <c r="Y59" s="169"/>
      <c r="Z59" s="158" t="str">
        <f>_xlfn.XLOOKUP(H59,Input[Institution Name],Input[Contact Email],"",0,1)</f>
        <v>mcmahan_c@utpb.edu</v>
      </c>
      <c r="AA59" s="158"/>
      <c r="AB59" s="158"/>
      <c r="AC59" s="158"/>
      <c r="AD59" s="158"/>
      <c r="AE59" s="158"/>
      <c r="AF59" s="158" t="str">
        <f>_xlfn.XLOOKUP(H59,Input[Institution Name],Input[Contact Name (alt)],"",0,1)</f>
        <v>Natalie Harms</v>
      </c>
      <c r="AG59" s="158"/>
      <c r="AH59" s="158"/>
      <c r="AI59" s="158"/>
      <c r="AJ59" s="158"/>
      <c r="AK59" s="169">
        <f>_xlfn.XLOOKUP(H59,Input[Institution Name],Input[Contact Phone (alt)],"",0,1)</f>
        <v>9033602574</v>
      </c>
      <c r="AL59" s="169"/>
      <c r="AM59" s="169"/>
      <c r="AN59" s="169"/>
      <c r="AO59" s="158" t="str">
        <f>_xlfn.XLOOKUP(H59,Input[Institution Name],Input[Contact Email (alt)],"",0,1)</f>
        <v xml:space="preserve"> harms_n@utpb.edu</v>
      </c>
      <c r="AP59" s="158"/>
      <c r="AQ59" s="158"/>
      <c r="AR59" s="158"/>
      <c r="AS59" s="158"/>
      <c r="AT59" s="166"/>
      <c r="AU59" s="24"/>
      <c r="AV59" s="24"/>
      <c r="AW59" s="24"/>
    </row>
    <row r="60" spans="1:49" ht="30" customHeight="1" x14ac:dyDescent="0.3">
      <c r="A60" s="24"/>
      <c r="B60" s="24"/>
      <c r="C60" s="24"/>
      <c r="D60" s="24"/>
      <c r="E60" s="24"/>
      <c r="F60" s="24"/>
      <c r="G60" s="24"/>
      <c r="H60" s="168" t="s">
        <v>166</v>
      </c>
      <c r="I60" s="157"/>
      <c r="J60" s="157"/>
      <c r="K60" s="157"/>
      <c r="L60" s="157"/>
      <c r="M60" s="157"/>
      <c r="N60" s="157"/>
      <c r="O60" s="157"/>
      <c r="P60" s="157"/>
      <c r="Q60" s="157" t="str">
        <f>_xlfn.XLOOKUP(H60,Input[Institution Name],Input[Contact Name],"",0,1)</f>
        <v>Steven Lerma</v>
      </c>
      <c r="R60" s="157"/>
      <c r="S60" s="157"/>
      <c r="T60" s="157"/>
      <c r="U60" s="157"/>
      <c r="V60" s="165">
        <f>_xlfn.XLOOKUP(H60,Input[Institution Name],Input[Contact Phone],"",0,1)</f>
        <v>9568828262</v>
      </c>
      <c r="W60" s="165"/>
      <c r="X60" s="165"/>
      <c r="Y60" s="165"/>
      <c r="Z60" s="157" t="str">
        <f>_xlfn.XLOOKUP(H60,Input[Institution Name],Input[Contact Email],"",0,1)</f>
        <v>steven.lerma@utrgv.edu</v>
      </c>
      <c r="AA60" s="157"/>
      <c r="AB60" s="157"/>
      <c r="AC60" s="157"/>
      <c r="AD60" s="157"/>
      <c r="AE60" s="157"/>
      <c r="AF60" s="157" t="str">
        <f>_xlfn.XLOOKUP(H60,Input[Institution Name],Input[Contact Name (alt)],"",0,1)</f>
        <v>Lilia St. Clair</v>
      </c>
      <c r="AG60" s="157"/>
      <c r="AH60" s="157"/>
      <c r="AI60" s="157"/>
      <c r="AJ60" s="157"/>
      <c r="AK60" s="165">
        <f>_xlfn.XLOOKUP(H60,Input[Institution Name],Input[Contact Phone (alt)],"",0,1)</f>
        <v>9566657906</v>
      </c>
      <c r="AL60" s="165"/>
      <c r="AM60" s="165"/>
      <c r="AN60" s="165"/>
      <c r="AO60" s="157" t="str">
        <f>_xlfn.XLOOKUP(H60,Input[Institution Name],Input[Contact Email (alt)],"",0,1)</f>
        <v xml:space="preserve"> lilia.stclair@utrgv.edu</v>
      </c>
      <c r="AP60" s="157"/>
      <c r="AQ60" s="157"/>
      <c r="AR60" s="157"/>
      <c r="AS60" s="157"/>
      <c r="AT60" s="164"/>
      <c r="AU60" s="24"/>
      <c r="AV60" s="24"/>
      <c r="AW60" s="24"/>
    </row>
    <row r="61" spans="1:49" ht="30" customHeight="1" x14ac:dyDescent="0.3">
      <c r="A61" s="24"/>
      <c r="B61" s="24"/>
      <c r="C61" s="24"/>
      <c r="D61" s="24"/>
      <c r="E61" s="24"/>
      <c r="F61" s="24"/>
      <c r="G61" s="24"/>
      <c r="H61" s="167" t="s">
        <v>28</v>
      </c>
      <c r="I61" s="158"/>
      <c r="J61" s="158"/>
      <c r="K61" s="158"/>
      <c r="L61" s="158"/>
      <c r="M61" s="158"/>
      <c r="N61" s="158"/>
      <c r="O61" s="158"/>
      <c r="P61" s="158"/>
      <c r="Q61" s="158" t="str">
        <f>_xlfn.XLOOKUP(H61,Input[Institution Name],Input[Contact Name],"",0,1)</f>
        <v>Sharon Leary</v>
      </c>
      <c r="R61" s="158"/>
      <c r="S61" s="158"/>
      <c r="T61" s="158"/>
      <c r="U61" s="158"/>
      <c r="V61" s="169" t="str">
        <f>_xlfn.XLOOKUP(H61,Input[Institution Name],Input[Contact Phone],"",0,1)</f>
        <v>unavailable</v>
      </c>
      <c r="W61" s="169"/>
      <c r="X61" s="169"/>
      <c r="Y61" s="169"/>
      <c r="Z61" s="158" t="str">
        <f>_xlfn.XLOOKUP(H61,Input[Institution Name],Input[Contact Email],"",0,1)</f>
        <v>sharon.leary@utsouthwestern.edu</v>
      </c>
      <c r="AA61" s="158"/>
      <c r="AB61" s="158"/>
      <c r="AC61" s="158"/>
      <c r="AD61" s="158"/>
      <c r="AE61" s="158"/>
      <c r="AF61" s="158" t="str">
        <f>_xlfn.XLOOKUP(H61,Input[Institution Name],Input[Contact Name (alt)],"",0,1)</f>
        <v>John Schmidt</v>
      </c>
      <c r="AG61" s="158"/>
      <c r="AH61" s="158"/>
      <c r="AI61" s="158"/>
      <c r="AJ61" s="158"/>
      <c r="AK61" s="169" t="str">
        <f>_xlfn.XLOOKUP(H61,Input[Institution Name],Input[Contact Phone (alt)],"",0,1)</f>
        <v>unavailable</v>
      </c>
      <c r="AL61" s="169"/>
      <c r="AM61" s="169"/>
      <c r="AN61" s="169"/>
      <c r="AO61" s="158" t="str">
        <f>_xlfn.XLOOKUP(H61,Input[Institution Name],Input[Contact Email (alt)],"",0,1)</f>
        <v>john.schmidt@utsouthwestern.edu</v>
      </c>
      <c r="AP61" s="158"/>
      <c r="AQ61" s="158"/>
      <c r="AR61" s="158"/>
      <c r="AS61" s="158"/>
      <c r="AT61" s="166"/>
      <c r="AU61" s="24"/>
      <c r="AV61" s="24"/>
      <c r="AW61" s="24"/>
    </row>
    <row r="62" spans="1:49" ht="30" customHeight="1" x14ac:dyDescent="0.3">
      <c r="A62" s="24"/>
      <c r="B62" s="24"/>
      <c r="C62" s="24"/>
      <c r="D62" s="24"/>
      <c r="E62" s="24"/>
      <c r="F62" s="24"/>
      <c r="G62" s="24"/>
      <c r="H62" s="168" t="s">
        <v>17</v>
      </c>
      <c r="I62" s="157"/>
      <c r="J62" s="157"/>
      <c r="K62" s="157"/>
      <c r="L62" s="157"/>
      <c r="M62" s="157"/>
      <c r="N62" s="157"/>
      <c r="O62" s="157"/>
      <c r="P62" s="157"/>
      <c r="Q62" s="157" t="str">
        <f>_xlfn.XLOOKUP(H62,Input[Institution Name],Input[Contact Name],"",0,1)</f>
        <v>Tanjina Rahman</v>
      </c>
      <c r="R62" s="157"/>
      <c r="S62" s="157"/>
      <c r="T62" s="157"/>
      <c r="U62" s="157"/>
      <c r="V62" s="165">
        <f>_xlfn.XLOOKUP(H62,Input[Institution Name],Input[Contact Phone],"",0,1)</f>
        <v>2812832131</v>
      </c>
      <c r="W62" s="165"/>
      <c r="X62" s="165"/>
      <c r="Y62" s="165"/>
      <c r="Z62" s="157" t="str">
        <f>_xlfn.XLOOKUP(H62,Input[Institution Name],Input[Contact Email],"",0,1)</f>
        <v>rahman@uhcl.edu</v>
      </c>
      <c r="AA62" s="157"/>
      <c r="AB62" s="157"/>
      <c r="AC62" s="157"/>
      <c r="AD62" s="157"/>
      <c r="AE62" s="157"/>
      <c r="AF62" s="157" t="str">
        <f>_xlfn.XLOOKUP(H62,Input[Institution Name],Input[Contact Name (alt)],"",0,1)</f>
        <v>Charlotte Abrams</v>
      </c>
      <c r="AG62" s="157"/>
      <c r="AH62" s="157"/>
      <c r="AI62" s="157"/>
      <c r="AJ62" s="157"/>
      <c r="AK62" s="165">
        <f>_xlfn.XLOOKUP(H62,Input[Institution Name],Input[Contact Phone (alt)],"",0,1)</f>
        <v>2812832129</v>
      </c>
      <c r="AL62" s="165"/>
      <c r="AM62" s="165"/>
      <c r="AN62" s="165"/>
      <c r="AO62" s="157" t="str">
        <f>_xlfn.XLOOKUP(H62,Input[Institution Name],Input[Contact Email (alt)],"",0,1)</f>
        <v xml:space="preserve"> abrams@uhcl.edu</v>
      </c>
      <c r="AP62" s="157"/>
      <c r="AQ62" s="157"/>
      <c r="AR62" s="157"/>
      <c r="AS62" s="157"/>
      <c r="AT62" s="164"/>
      <c r="AU62" s="24"/>
      <c r="AV62" s="24"/>
      <c r="AW62" s="24"/>
    </row>
    <row r="63" spans="1:49" ht="30" customHeight="1" x14ac:dyDescent="0.3">
      <c r="A63" s="24"/>
      <c r="B63" s="24"/>
      <c r="C63" s="24"/>
      <c r="D63" s="24"/>
      <c r="E63" s="24"/>
      <c r="F63" s="24"/>
      <c r="G63" s="24"/>
      <c r="H63" s="167" t="s">
        <v>18</v>
      </c>
      <c r="I63" s="158"/>
      <c r="J63" s="158"/>
      <c r="K63" s="158"/>
      <c r="L63" s="158"/>
      <c r="M63" s="158"/>
      <c r="N63" s="158"/>
      <c r="O63" s="158"/>
      <c r="P63" s="158"/>
      <c r="Q63" s="158" t="str">
        <f>_xlfn.XLOOKUP(H63,Input[Institution Name],Input[Contact Name],"",0,1)</f>
        <v>Tiffany Luong</v>
      </c>
      <c r="R63" s="158"/>
      <c r="S63" s="158"/>
      <c r="T63" s="158"/>
      <c r="U63" s="158"/>
      <c r="V63" s="169">
        <f>_xlfn.XLOOKUP(H63,Input[Institution Name],Input[Contact Phone],"",0,1)</f>
        <v>7132218617</v>
      </c>
      <c r="W63" s="169"/>
      <c r="X63" s="169"/>
      <c r="Y63" s="169"/>
      <c r="Z63" s="158" t="str">
        <f>_xlfn.XLOOKUP(H63,Input[Institution Name],Input[Contact Email],"",0,1)</f>
        <v>nguyent@uhd.edu</v>
      </c>
      <c r="AA63" s="158"/>
      <c r="AB63" s="158"/>
      <c r="AC63" s="158"/>
      <c r="AD63" s="158"/>
      <c r="AE63" s="158"/>
      <c r="AF63" s="158" t="str">
        <f>_xlfn.XLOOKUP(H63,Input[Institution Name],Input[Contact Name (alt)],"",0,1)</f>
        <v>Theresa Meneley</v>
      </c>
      <c r="AG63" s="158"/>
      <c r="AH63" s="158"/>
      <c r="AI63" s="158"/>
      <c r="AJ63" s="158"/>
      <c r="AK63" s="169">
        <f>_xlfn.XLOOKUP(H63,Input[Institution Name],Input[Contact Phone (alt)],"",0,1)</f>
        <v>7132218612</v>
      </c>
      <c r="AL63" s="169"/>
      <c r="AM63" s="169"/>
      <c r="AN63" s="169"/>
      <c r="AO63" s="158" t="str">
        <f>_xlfn.XLOOKUP(H63,Input[Institution Name],Input[Contact Email (alt)],"",0,1)</f>
        <v xml:space="preserve"> meneleyt@uhd.edu</v>
      </c>
      <c r="AP63" s="158"/>
      <c r="AQ63" s="158"/>
      <c r="AR63" s="158"/>
      <c r="AS63" s="158"/>
      <c r="AT63" s="166"/>
      <c r="AU63" s="24"/>
      <c r="AV63" s="24"/>
      <c r="AW63" s="24"/>
    </row>
    <row r="64" spans="1:49" ht="30" customHeight="1" x14ac:dyDescent="0.3">
      <c r="A64" s="24"/>
      <c r="B64" s="24"/>
      <c r="C64" s="24"/>
      <c r="D64" s="24"/>
      <c r="E64" s="24"/>
      <c r="F64" s="24"/>
      <c r="G64" s="24"/>
      <c r="H64" s="168" t="s">
        <v>19</v>
      </c>
      <c r="I64" s="157"/>
      <c r="J64" s="157"/>
      <c r="K64" s="157"/>
      <c r="L64" s="157"/>
      <c r="M64" s="157"/>
      <c r="N64" s="157"/>
      <c r="O64" s="157"/>
      <c r="P64" s="157"/>
      <c r="Q64" s="157" t="str">
        <f>_xlfn.XLOOKUP(H64,Input[Institution Name],Input[Contact Name],"",0,1)</f>
        <v>June Nelson</v>
      </c>
      <c r="R64" s="157"/>
      <c r="S64" s="157"/>
      <c r="T64" s="157"/>
      <c r="U64" s="157"/>
      <c r="V64" s="165">
        <f>_xlfn.XLOOKUP(H64,Input[Institution Name],Input[Contact Phone],"",0,1)</f>
        <v>3615704873</v>
      </c>
      <c r="W64" s="165"/>
      <c r="X64" s="165"/>
      <c r="Y64" s="165"/>
      <c r="Z64" s="157" t="str">
        <f>_xlfn.XLOOKUP(H64,Input[Institution Name],Input[Contact Email],"",0,1)</f>
        <v>nelsonj@tamuv.edu</v>
      </c>
      <c r="AA64" s="157"/>
      <c r="AB64" s="157"/>
      <c r="AC64" s="157"/>
      <c r="AD64" s="157"/>
      <c r="AE64" s="157"/>
      <c r="AF64" s="157" t="str">
        <f>_xlfn.XLOOKUP(H64,Input[Institution Name],Input[Contact Name (alt)],"",0,1)</f>
        <v>Mollie Holt</v>
      </c>
      <c r="AG64" s="157"/>
      <c r="AH64" s="157"/>
      <c r="AI64" s="157"/>
      <c r="AJ64" s="157"/>
      <c r="AK64" s="165">
        <f>_xlfn.XLOOKUP(H64,Input[Institution Name],Input[Contact Phone (alt)],"",0,1)</f>
        <v>3615704815</v>
      </c>
      <c r="AL64" s="165"/>
      <c r="AM64" s="165"/>
      <c r="AN64" s="165"/>
      <c r="AO64" s="157" t="str">
        <f>_xlfn.XLOOKUP(H64,Input[Institution Name],Input[Contact Email (alt)],"",0,1)</f>
        <v xml:space="preserve"> holtm@tamuv.edu</v>
      </c>
      <c r="AP64" s="157"/>
      <c r="AQ64" s="157"/>
      <c r="AR64" s="157"/>
      <c r="AS64" s="157"/>
      <c r="AT64" s="164"/>
      <c r="AU64" s="24"/>
      <c r="AV64" s="24"/>
      <c r="AW64" s="24"/>
    </row>
    <row r="65" spans="1:49" ht="30" customHeight="1" x14ac:dyDescent="0.3">
      <c r="A65" s="24"/>
      <c r="B65" s="24"/>
      <c r="C65" s="24"/>
      <c r="D65" s="24"/>
      <c r="E65" s="24"/>
      <c r="F65" s="24"/>
      <c r="G65" s="24"/>
      <c r="H65" s="167" t="s">
        <v>73</v>
      </c>
      <c r="I65" s="158"/>
      <c r="J65" s="158"/>
      <c r="K65" s="158"/>
      <c r="L65" s="158"/>
      <c r="M65" s="158"/>
      <c r="N65" s="158"/>
      <c r="O65" s="158"/>
      <c r="P65" s="158"/>
      <c r="Q65" s="158" t="str">
        <f>_xlfn.XLOOKUP(H65,Input[Institution Name],Input[Contact Name],"",0,1)</f>
        <v>Folasade Baker</v>
      </c>
      <c r="R65" s="158"/>
      <c r="S65" s="158"/>
      <c r="T65" s="158"/>
      <c r="U65" s="158"/>
      <c r="V65" s="169">
        <f>_xlfn.XLOOKUP(H65,Input[Institution Name],Input[Contact Phone],"",0,1)</f>
        <v>7137438188</v>
      </c>
      <c r="W65" s="169"/>
      <c r="X65" s="169"/>
      <c r="Y65" s="169"/>
      <c r="Z65" s="158" t="str">
        <f>_xlfn.XLOOKUP(H65,Input[Institution Name],Input[Contact Email],"",0,1)</f>
        <v>fbaker@central.uh.edu</v>
      </c>
      <c r="AA65" s="158"/>
      <c r="AB65" s="158"/>
      <c r="AC65" s="158"/>
      <c r="AD65" s="158"/>
      <c r="AE65" s="158"/>
      <c r="AF65" s="158" t="str">
        <f>_xlfn.XLOOKUP(H65,Input[Institution Name],Input[Contact Name (alt)],"",0,1)</f>
        <v>Leslie Fluharty</v>
      </c>
      <c r="AG65" s="158"/>
      <c r="AH65" s="158"/>
      <c r="AI65" s="158"/>
      <c r="AJ65" s="158"/>
      <c r="AK65" s="169">
        <f>_xlfn.XLOOKUP(H65,Input[Institution Name],Input[Contact Phone (alt)],"",0,1)</f>
        <v>7137431533</v>
      </c>
      <c r="AL65" s="169"/>
      <c r="AM65" s="169"/>
      <c r="AN65" s="169"/>
      <c r="AO65" s="158" t="str">
        <f>_xlfn.XLOOKUP(H65,Input[Institution Name],Input[Contact Email (alt)],"",0,1)</f>
        <v xml:space="preserve"> laskweres@uh.edu</v>
      </c>
      <c r="AP65" s="158"/>
      <c r="AQ65" s="158"/>
      <c r="AR65" s="158"/>
      <c r="AS65" s="158"/>
      <c r="AT65" s="166"/>
      <c r="AU65" s="24"/>
      <c r="AV65" s="24"/>
      <c r="AW65" s="24"/>
    </row>
    <row r="66" spans="1:49" ht="30" customHeight="1" x14ac:dyDescent="0.3">
      <c r="A66" s="24"/>
      <c r="B66" s="24"/>
      <c r="C66" s="24"/>
      <c r="D66" s="24"/>
      <c r="E66" s="24"/>
      <c r="F66" s="24"/>
      <c r="G66" s="24"/>
      <c r="H66" s="168" t="s">
        <v>62</v>
      </c>
      <c r="I66" s="157"/>
      <c r="J66" s="157"/>
      <c r="K66" s="157"/>
      <c r="L66" s="157"/>
      <c r="M66" s="157"/>
      <c r="N66" s="157"/>
      <c r="O66" s="157"/>
      <c r="P66" s="157"/>
      <c r="Q66" s="157" t="str">
        <f>_xlfn.XLOOKUP(H66,Input[Institution Name],Input[Contact Name],"",0,1)</f>
        <v>Rafiu Fashina</v>
      </c>
      <c r="R66" s="157"/>
      <c r="S66" s="157"/>
      <c r="T66" s="157"/>
      <c r="U66" s="157"/>
      <c r="V66" s="165">
        <f>_xlfn.XLOOKUP(H66,Input[Institution Name],Input[Contact Phone],"",0,1)</f>
        <v>9403695518</v>
      </c>
      <c r="W66" s="165"/>
      <c r="X66" s="165"/>
      <c r="Y66" s="165"/>
      <c r="Z66" s="157" t="str">
        <f>_xlfn.XLOOKUP(H66,Input[Institution Name],Input[Contact Email],"",0,1)</f>
        <v>unavailable</v>
      </c>
      <c r="AA66" s="157"/>
      <c r="AB66" s="157"/>
      <c r="AC66" s="157"/>
      <c r="AD66" s="157"/>
      <c r="AE66" s="157"/>
      <c r="AF66" s="157" t="str">
        <f>_xlfn.XLOOKUP(H66,Input[Institution Name],Input[Contact Name (alt)],"",0,1)</f>
        <v>Kristel Mcclaran</v>
      </c>
      <c r="AG66" s="157"/>
      <c r="AH66" s="157"/>
      <c r="AI66" s="157"/>
      <c r="AJ66" s="157"/>
      <c r="AK66" s="165">
        <f>_xlfn.XLOOKUP(H66,Input[Institution Name],Input[Contact Phone (alt)],"",0,1)</f>
        <v>9403695095</v>
      </c>
      <c r="AL66" s="165"/>
      <c r="AM66" s="165"/>
      <c r="AN66" s="165"/>
      <c r="AO66" s="157" t="str">
        <f>_xlfn.XLOOKUP(H66,Input[Institution Name],Input[Contact Email (alt)],"",0,1)</f>
        <v xml:space="preserve"> kristel.mcclaran@unt.edu</v>
      </c>
      <c r="AP66" s="157"/>
      <c r="AQ66" s="157"/>
      <c r="AR66" s="157"/>
      <c r="AS66" s="157"/>
      <c r="AT66" s="164"/>
      <c r="AU66" s="24"/>
      <c r="AV66" s="24"/>
      <c r="AW66" s="24"/>
    </row>
    <row r="67" spans="1:49" ht="30" customHeight="1" x14ac:dyDescent="0.3">
      <c r="A67" s="24"/>
      <c r="B67" s="24"/>
      <c r="C67" s="24"/>
      <c r="D67" s="24"/>
      <c r="E67" s="24"/>
      <c r="F67" s="24"/>
      <c r="G67" s="24"/>
      <c r="H67" s="167" t="s">
        <v>25</v>
      </c>
      <c r="I67" s="158"/>
      <c r="J67" s="158"/>
      <c r="K67" s="158"/>
      <c r="L67" s="158"/>
      <c r="M67" s="158"/>
      <c r="N67" s="158"/>
      <c r="O67" s="158"/>
      <c r="P67" s="158"/>
      <c r="Q67" s="158" t="str">
        <f>_xlfn.XLOOKUP(H67,Input[Institution Name],Input[Contact Name],"",0,1)</f>
        <v>Leigh-Ann Fashina</v>
      </c>
      <c r="R67" s="158"/>
      <c r="S67" s="158"/>
      <c r="T67" s="158"/>
      <c r="U67" s="158"/>
      <c r="V67" s="169">
        <f>_xlfn.XLOOKUP(H67,Input[Institution Name],Input[Contact Phone],"",0,1)</f>
        <v>9723381404</v>
      </c>
      <c r="W67" s="169"/>
      <c r="X67" s="169"/>
      <c r="Y67" s="169"/>
      <c r="Z67" s="158" t="str">
        <f>_xlfn.XLOOKUP(H67,Input[Institution Name],Input[Contact Email],"",0,1)</f>
        <v>leigh-ann.fashina@untdallas.edu</v>
      </c>
      <c r="AA67" s="158"/>
      <c r="AB67" s="158"/>
      <c r="AC67" s="158"/>
      <c r="AD67" s="158"/>
      <c r="AE67" s="158"/>
      <c r="AF67" s="158" t="str">
        <f>_xlfn.XLOOKUP(H67,Input[Institution Name],Input[Contact Name (alt)],"",0,1)</f>
        <v>Gia Doss</v>
      </c>
      <c r="AG67" s="158"/>
      <c r="AH67" s="158"/>
      <c r="AI67" s="158"/>
      <c r="AJ67" s="158"/>
      <c r="AK67" s="169" t="str">
        <f>_xlfn.XLOOKUP(H67,Input[Institution Name],Input[Contact Phone (alt)],"",0,1)</f>
        <v>unavailable</v>
      </c>
      <c r="AL67" s="169"/>
      <c r="AM67" s="169"/>
      <c r="AN67" s="169"/>
      <c r="AO67" s="158" t="str">
        <f>_xlfn.XLOOKUP(H67,Input[Institution Name],Input[Contact Email (alt)],"",0,1)</f>
        <v>gia.doss@untdallas.edu</v>
      </c>
      <c r="AP67" s="158"/>
      <c r="AQ67" s="158"/>
      <c r="AR67" s="158"/>
      <c r="AS67" s="158"/>
      <c r="AT67" s="166"/>
      <c r="AU67" s="24"/>
      <c r="AV67" s="24"/>
      <c r="AW67" s="24"/>
    </row>
    <row r="68" spans="1:49" ht="30" customHeight="1" x14ac:dyDescent="0.3">
      <c r="A68" s="24"/>
      <c r="B68" s="24"/>
      <c r="C68" s="24"/>
      <c r="D68" s="24"/>
      <c r="E68" s="24"/>
      <c r="F68" s="24"/>
      <c r="G68" s="24"/>
      <c r="H68" s="168" t="s">
        <v>35</v>
      </c>
      <c r="I68" s="157"/>
      <c r="J68" s="157"/>
      <c r="K68" s="157"/>
      <c r="L68" s="157"/>
      <c r="M68" s="157"/>
      <c r="N68" s="157"/>
      <c r="O68" s="157"/>
      <c r="P68" s="157"/>
      <c r="Q68" s="157" t="str">
        <f>_xlfn.XLOOKUP(H68,Input[Institution Name],Input[Contact Name],"",0,1)</f>
        <v>Julie Meisinger</v>
      </c>
      <c r="R68" s="157"/>
      <c r="S68" s="157"/>
      <c r="T68" s="157"/>
      <c r="U68" s="157"/>
      <c r="V68" s="165">
        <f>_xlfn.XLOOKUP(H68,Input[Institution Name],Input[Contact Phone],"",0,1)</f>
        <v>8177352609</v>
      </c>
      <c r="W68" s="165"/>
      <c r="X68" s="165"/>
      <c r="Y68" s="165"/>
      <c r="Z68" s="157" t="str">
        <f>_xlfn.XLOOKUP(H68,Input[Institution Name],Input[Contact Email],"",0,1)</f>
        <v>julie.meisinger@unthealth.edu</v>
      </c>
      <c r="AA68" s="157"/>
      <c r="AB68" s="157"/>
      <c r="AC68" s="157"/>
      <c r="AD68" s="157"/>
      <c r="AE68" s="157"/>
      <c r="AF68" s="157" t="str">
        <f>_xlfn.XLOOKUP(H68,Input[Institution Name],Input[Contact Name (alt)],"",0,1)</f>
        <v>Tonya Woodrow</v>
      </c>
      <c r="AG68" s="157"/>
      <c r="AH68" s="157"/>
      <c r="AI68" s="157"/>
      <c r="AJ68" s="157"/>
      <c r="AK68" s="165">
        <f>_xlfn.XLOOKUP(H68,Input[Institution Name],Input[Contact Phone (alt)],"",0,1)</f>
        <v>8177355413</v>
      </c>
      <c r="AL68" s="165"/>
      <c r="AM68" s="165"/>
      <c r="AN68" s="165"/>
      <c r="AO68" s="157" t="str">
        <f>_xlfn.XLOOKUP(H68,Input[Institution Name],Input[Contact Email (alt)],"",0,1)</f>
        <v xml:space="preserve"> tonya.woodrow@unthealth.edu</v>
      </c>
      <c r="AP68" s="157"/>
      <c r="AQ68" s="157"/>
      <c r="AR68" s="157"/>
      <c r="AS68" s="157"/>
      <c r="AT68" s="164"/>
      <c r="AU68" s="24"/>
      <c r="AV68" s="24"/>
      <c r="AW68" s="24"/>
    </row>
    <row r="69" spans="1:49" ht="30" customHeight="1" x14ac:dyDescent="0.3">
      <c r="A69" s="24"/>
      <c r="B69" s="24"/>
      <c r="C69" s="24"/>
      <c r="D69" s="24"/>
      <c r="E69" s="24"/>
      <c r="F69" s="24"/>
      <c r="G69" s="24"/>
      <c r="H69" s="170" t="s">
        <v>11</v>
      </c>
      <c r="I69" s="171"/>
      <c r="J69" s="171"/>
      <c r="K69" s="171"/>
      <c r="L69" s="171"/>
      <c r="M69" s="171"/>
      <c r="N69" s="171"/>
      <c r="O69" s="171"/>
      <c r="P69" s="171"/>
      <c r="Q69" s="171" t="str">
        <f>_xlfn.XLOOKUP(H69,Input[Institution Name],Input[Contact Name],"",0,1)</f>
        <v>Nancy Hranicky</v>
      </c>
      <c r="R69" s="171"/>
      <c r="S69" s="171"/>
      <c r="T69" s="171"/>
      <c r="U69" s="171"/>
      <c r="V69" s="172">
        <f>_xlfn.XLOOKUP(H69,Input[Institution Name],Input[Contact Phone],"",0,1)</f>
        <v>9798459761</v>
      </c>
      <c r="W69" s="172"/>
      <c r="X69" s="172"/>
      <c r="Y69" s="172"/>
      <c r="Z69" s="171" t="str">
        <f>_xlfn.XLOOKUP(H69,Input[Institution Name],Input[Contact Email],"",0,1)</f>
        <v>nhranicky@tamus.edu</v>
      </c>
      <c r="AA69" s="171"/>
      <c r="AB69" s="171"/>
      <c r="AC69" s="171"/>
      <c r="AD69" s="171"/>
      <c r="AE69" s="171"/>
      <c r="AF69" s="171" t="str">
        <f>_xlfn.XLOOKUP(H69,Input[Institution Name],Input[Contact Name (alt)],"",0,1)</f>
        <v>unavailable</v>
      </c>
      <c r="AG69" s="171"/>
      <c r="AH69" s="171"/>
      <c r="AI69" s="171"/>
      <c r="AJ69" s="171"/>
      <c r="AK69" s="172" t="str">
        <f>_xlfn.XLOOKUP(H69,Input[Institution Name],Input[Contact Phone (alt)],"",0,1)</f>
        <v>unavailable</v>
      </c>
      <c r="AL69" s="172"/>
      <c r="AM69" s="172"/>
      <c r="AN69" s="172"/>
      <c r="AO69" s="171" t="str">
        <f>_xlfn.XLOOKUP(H69,Input[Institution Name],Input[Contact Email (alt)],"",0,1)</f>
        <v>unavailable</v>
      </c>
      <c r="AP69" s="171"/>
      <c r="AQ69" s="171"/>
      <c r="AR69" s="171"/>
      <c r="AS69" s="171"/>
      <c r="AT69" s="173"/>
      <c r="AU69" s="24"/>
      <c r="AV69" s="24"/>
      <c r="AW69" s="24"/>
    </row>
    <row r="70" spans="1:49" ht="30" customHeight="1" x14ac:dyDescent="0.3">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row>
    <row r="71" spans="1:49" ht="30" customHeight="1" x14ac:dyDescent="0.3">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row>
    <row r="72" spans="1:49" ht="30" customHeight="1" x14ac:dyDescent="0.3">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row>
  </sheetData>
  <sheetProtection algorithmName="SHA-512" hashValue="b4O3mZgxnaQhoRasWOKlAXJkaxTredtbhmyRl5ve+2Iur29oOAU8M+304OrV5ohPBxnY2OkhW+1XkukJUCbZQg==" saltValue="yW0DPLpNFxBU4LLKIVo8mA==" spinCount="100000" sheet="1" objects="1" scenarios="1" formatCells="0" formatColumns="0" formatRows="0"/>
  <mergeCells count="458">
    <mergeCell ref="AF69:AJ69"/>
    <mergeCell ref="AK69:AN69"/>
    <mergeCell ref="AO69:AT69"/>
    <mergeCell ref="AF67:AJ67"/>
    <mergeCell ref="AK67:AN67"/>
    <mergeCell ref="AO67:AT67"/>
    <mergeCell ref="AF68:AJ68"/>
    <mergeCell ref="AK68:AN68"/>
    <mergeCell ref="AO68:AT68"/>
    <mergeCell ref="AF66:AJ66"/>
    <mergeCell ref="AK66:AN66"/>
    <mergeCell ref="AO66:AT66"/>
    <mergeCell ref="AF65:AJ65"/>
    <mergeCell ref="AK65:AN65"/>
    <mergeCell ref="AO65:AT65"/>
    <mergeCell ref="AF61:AJ61"/>
    <mergeCell ref="AK61:AN61"/>
    <mergeCell ref="AO61:AT61"/>
    <mergeCell ref="AF60:AJ60"/>
    <mergeCell ref="AK60:AN60"/>
    <mergeCell ref="AO60:AT60"/>
    <mergeCell ref="AF64:AJ64"/>
    <mergeCell ref="AK64:AN64"/>
    <mergeCell ref="AO64:AT64"/>
    <mergeCell ref="AF62:AJ62"/>
    <mergeCell ref="AK62:AN62"/>
    <mergeCell ref="AO62:AT62"/>
    <mergeCell ref="AF63:AJ63"/>
    <mergeCell ref="AK63:AN63"/>
    <mergeCell ref="AO63:AT63"/>
    <mergeCell ref="AF59:AJ59"/>
    <mergeCell ref="AK59:AN59"/>
    <mergeCell ref="AO59:AT59"/>
    <mergeCell ref="AF57:AJ57"/>
    <mergeCell ref="AK57:AN57"/>
    <mergeCell ref="AO57:AT57"/>
    <mergeCell ref="AF58:AJ58"/>
    <mergeCell ref="AK58:AN58"/>
    <mergeCell ref="AO58:AT58"/>
    <mergeCell ref="AF55:AJ55"/>
    <mergeCell ref="AK55:AN55"/>
    <mergeCell ref="AO55:AT55"/>
    <mergeCell ref="AF56:AJ56"/>
    <mergeCell ref="AK56:AN56"/>
    <mergeCell ref="AO56:AT56"/>
    <mergeCell ref="AF53:AJ53"/>
    <mergeCell ref="AK53:AN53"/>
    <mergeCell ref="AO53:AT53"/>
    <mergeCell ref="AF54:AJ54"/>
    <mergeCell ref="AK54:AN54"/>
    <mergeCell ref="AO54:AT54"/>
    <mergeCell ref="AF51:AJ51"/>
    <mergeCell ref="AK51:AN51"/>
    <mergeCell ref="AO51:AT51"/>
    <mergeCell ref="AF52:AJ52"/>
    <mergeCell ref="AK52:AN52"/>
    <mergeCell ref="AO52:AT52"/>
    <mergeCell ref="AF50:AJ50"/>
    <mergeCell ref="AK50:AN50"/>
    <mergeCell ref="AO50:AT50"/>
    <mergeCell ref="AF49:AJ49"/>
    <mergeCell ref="AK49:AN49"/>
    <mergeCell ref="AO49:AT49"/>
    <mergeCell ref="AF47:AJ47"/>
    <mergeCell ref="AK47:AN47"/>
    <mergeCell ref="AO47:AT47"/>
    <mergeCell ref="AF48:AJ48"/>
    <mergeCell ref="AK48:AN48"/>
    <mergeCell ref="AO48:AT48"/>
    <mergeCell ref="AF43:AJ43"/>
    <mergeCell ref="AK43:AN43"/>
    <mergeCell ref="AO43:AT43"/>
    <mergeCell ref="AF42:AJ42"/>
    <mergeCell ref="AK42:AN42"/>
    <mergeCell ref="AO42:AT42"/>
    <mergeCell ref="AF46:AJ46"/>
    <mergeCell ref="AK46:AN46"/>
    <mergeCell ref="AO46:AT46"/>
    <mergeCell ref="AF44:AJ44"/>
    <mergeCell ref="AK44:AN44"/>
    <mergeCell ref="AO44:AT44"/>
    <mergeCell ref="AF45:AJ45"/>
    <mergeCell ref="AK45:AN45"/>
    <mergeCell ref="AO45:AT45"/>
    <mergeCell ref="AF40:AJ40"/>
    <mergeCell ref="AK40:AN40"/>
    <mergeCell ref="AO40:AT40"/>
    <mergeCell ref="AF41:AJ41"/>
    <mergeCell ref="AK41:AN41"/>
    <mergeCell ref="AO41:AT41"/>
    <mergeCell ref="AF38:AJ38"/>
    <mergeCell ref="AK38:AN38"/>
    <mergeCell ref="AO38:AT38"/>
    <mergeCell ref="AF39:AJ39"/>
    <mergeCell ref="AK39:AN39"/>
    <mergeCell ref="AO39:AT39"/>
    <mergeCell ref="AF36:AJ36"/>
    <mergeCell ref="AK36:AN36"/>
    <mergeCell ref="AO36:AT36"/>
    <mergeCell ref="AF37:AJ37"/>
    <mergeCell ref="AK37:AN37"/>
    <mergeCell ref="AO37:AT37"/>
    <mergeCell ref="AF34:AJ34"/>
    <mergeCell ref="AK34:AN34"/>
    <mergeCell ref="AO34:AT34"/>
    <mergeCell ref="AF35:AJ35"/>
    <mergeCell ref="AK35:AN35"/>
    <mergeCell ref="AO35:AT35"/>
    <mergeCell ref="AF33:AJ33"/>
    <mergeCell ref="AK33:AN33"/>
    <mergeCell ref="AO33:AT33"/>
    <mergeCell ref="AF31:AJ31"/>
    <mergeCell ref="AK31:AN31"/>
    <mergeCell ref="AO31:AT31"/>
    <mergeCell ref="AF32:AJ32"/>
    <mergeCell ref="AK32:AN32"/>
    <mergeCell ref="AO32:AT32"/>
    <mergeCell ref="AF29:AJ29"/>
    <mergeCell ref="AK29:AN29"/>
    <mergeCell ref="AO29:AT29"/>
    <mergeCell ref="AF30:AJ30"/>
    <mergeCell ref="AK30:AN30"/>
    <mergeCell ref="AO30:AT30"/>
    <mergeCell ref="AF27:AJ27"/>
    <mergeCell ref="AK27:AN27"/>
    <mergeCell ref="AO27:AT27"/>
    <mergeCell ref="AF28:AJ28"/>
    <mergeCell ref="AK28:AN28"/>
    <mergeCell ref="AO28:AT28"/>
    <mergeCell ref="AF25:AJ25"/>
    <mergeCell ref="AK25:AN25"/>
    <mergeCell ref="AO25:AT25"/>
    <mergeCell ref="AF26:AJ26"/>
    <mergeCell ref="AK26:AN26"/>
    <mergeCell ref="AO26:AT26"/>
    <mergeCell ref="AF23:AJ23"/>
    <mergeCell ref="AK23:AN23"/>
    <mergeCell ref="AO23:AT23"/>
    <mergeCell ref="AF24:AJ24"/>
    <mergeCell ref="AK24:AN24"/>
    <mergeCell ref="AO24:AT24"/>
    <mergeCell ref="AO16:AT16"/>
    <mergeCell ref="AF21:AJ21"/>
    <mergeCell ref="AK21:AN21"/>
    <mergeCell ref="AO21:AT21"/>
    <mergeCell ref="AF22:AJ22"/>
    <mergeCell ref="AK22:AN22"/>
    <mergeCell ref="AO22:AT22"/>
    <mergeCell ref="AF19:AJ19"/>
    <mergeCell ref="AK19:AN19"/>
    <mergeCell ref="AO19:AT19"/>
    <mergeCell ref="AF20:AJ20"/>
    <mergeCell ref="AK20:AN20"/>
    <mergeCell ref="AO20:AT20"/>
    <mergeCell ref="Z51:AE51"/>
    <mergeCell ref="Z52:AE52"/>
    <mergeCell ref="Z53:AE53"/>
    <mergeCell ref="Z54:AE54"/>
    <mergeCell ref="Z55:AE55"/>
    <mergeCell ref="Z47:AE47"/>
    <mergeCell ref="Z48:AE48"/>
    <mergeCell ref="Z49:AE49"/>
    <mergeCell ref="Z43:AE43"/>
    <mergeCell ref="Z44:AE44"/>
    <mergeCell ref="Z45:AE45"/>
    <mergeCell ref="Z46:AE46"/>
    <mergeCell ref="Z69:AE69"/>
    <mergeCell ref="AF6:AJ6"/>
    <mergeCell ref="AK6:AN6"/>
    <mergeCell ref="AO6:AT6"/>
    <mergeCell ref="AF7:AJ7"/>
    <mergeCell ref="AK7:AN7"/>
    <mergeCell ref="AO7:AT7"/>
    <mergeCell ref="AF8:AJ8"/>
    <mergeCell ref="Z65:AE65"/>
    <mergeCell ref="Z68:AE68"/>
    <mergeCell ref="Z66:AE66"/>
    <mergeCell ref="Z67:AE67"/>
    <mergeCell ref="Z61:AE61"/>
    <mergeCell ref="Z63:AE63"/>
    <mergeCell ref="Z62:AE62"/>
    <mergeCell ref="Z64:AE64"/>
    <mergeCell ref="Z56:AE56"/>
    <mergeCell ref="Z57:AE57"/>
    <mergeCell ref="Z58:AE58"/>
    <mergeCell ref="Z59:AE59"/>
    <mergeCell ref="Z60:AE60"/>
    <mergeCell ref="Z50:AE50"/>
    <mergeCell ref="AK9:AN9"/>
    <mergeCell ref="AO9:AT9"/>
    <mergeCell ref="Z37:AE37"/>
    <mergeCell ref="Z38:AE38"/>
    <mergeCell ref="Z39:AE39"/>
    <mergeCell ref="Z40:AE40"/>
    <mergeCell ref="Z41:AE41"/>
    <mergeCell ref="Z42:AE42"/>
    <mergeCell ref="Z32:AE32"/>
    <mergeCell ref="Z33:AE33"/>
    <mergeCell ref="Z34:AE34"/>
    <mergeCell ref="Z35:AE35"/>
    <mergeCell ref="Z36:AE36"/>
    <mergeCell ref="Z26:AE26"/>
    <mergeCell ref="Z27:AE27"/>
    <mergeCell ref="Z28:AE28"/>
    <mergeCell ref="Z29:AE29"/>
    <mergeCell ref="Z30:AE30"/>
    <mergeCell ref="Z31:AE31"/>
    <mergeCell ref="Z20:AE20"/>
    <mergeCell ref="Z21:AE21"/>
    <mergeCell ref="Z22:AE22"/>
    <mergeCell ref="Z23:AE23"/>
    <mergeCell ref="Z24:AE24"/>
    <mergeCell ref="Z25:AE25"/>
    <mergeCell ref="V67:Y67"/>
    <mergeCell ref="V68:Y68"/>
    <mergeCell ref="V69:Y69"/>
    <mergeCell ref="Z6:AE6"/>
    <mergeCell ref="Z7:AE7"/>
    <mergeCell ref="Z8:AE8"/>
    <mergeCell ref="Z9:AE9"/>
    <mergeCell ref="V63:Y63"/>
    <mergeCell ref="V64:Y64"/>
    <mergeCell ref="V65:Y65"/>
    <mergeCell ref="V60:Y60"/>
    <mergeCell ref="V61:Y61"/>
    <mergeCell ref="V62:Y62"/>
    <mergeCell ref="V54:Y54"/>
    <mergeCell ref="V55:Y55"/>
    <mergeCell ref="V56:Y56"/>
    <mergeCell ref="V57:Y57"/>
    <mergeCell ref="V58:Y58"/>
    <mergeCell ref="V59:Y59"/>
    <mergeCell ref="V49:Y49"/>
    <mergeCell ref="Z17:AE17"/>
    <mergeCell ref="Z18:AE18"/>
    <mergeCell ref="Z19:AE19"/>
    <mergeCell ref="Z10:AE10"/>
    <mergeCell ref="V50:Y50"/>
    <mergeCell ref="V51:Y51"/>
    <mergeCell ref="V52:Y52"/>
    <mergeCell ref="V53:Y53"/>
    <mergeCell ref="V45:Y45"/>
    <mergeCell ref="V46:Y46"/>
    <mergeCell ref="V47:Y47"/>
    <mergeCell ref="V48:Y48"/>
    <mergeCell ref="V66:Y66"/>
    <mergeCell ref="V41:Y41"/>
    <mergeCell ref="V42:Y42"/>
    <mergeCell ref="V43:Y43"/>
    <mergeCell ref="V44:Y44"/>
    <mergeCell ref="V35:Y35"/>
    <mergeCell ref="V36:Y36"/>
    <mergeCell ref="V37:Y37"/>
    <mergeCell ref="V38:Y38"/>
    <mergeCell ref="V39:Y39"/>
    <mergeCell ref="V40:Y40"/>
    <mergeCell ref="V30:Y30"/>
    <mergeCell ref="V31:Y31"/>
    <mergeCell ref="V32:Y32"/>
    <mergeCell ref="V33:Y33"/>
    <mergeCell ref="V34:Y34"/>
    <mergeCell ref="V24:Y24"/>
    <mergeCell ref="V25:Y25"/>
    <mergeCell ref="V26:Y26"/>
    <mergeCell ref="V27:Y27"/>
    <mergeCell ref="V28:Y28"/>
    <mergeCell ref="V29:Y29"/>
    <mergeCell ref="Q69:U69"/>
    <mergeCell ref="V6:Y6"/>
    <mergeCell ref="V7:Y7"/>
    <mergeCell ref="V8:Y8"/>
    <mergeCell ref="V9:Y9"/>
    <mergeCell ref="V10:Y10"/>
    <mergeCell ref="V11:Y11"/>
    <mergeCell ref="V12:Y12"/>
    <mergeCell ref="V13:Y13"/>
    <mergeCell ref="Q68:U68"/>
    <mergeCell ref="Q66:U66"/>
    <mergeCell ref="Q67:U67"/>
    <mergeCell ref="Q63:U63"/>
    <mergeCell ref="Q62:U62"/>
    <mergeCell ref="Q64:U64"/>
    <mergeCell ref="Q65:U65"/>
    <mergeCell ref="Q58:U58"/>
    <mergeCell ref="Q59:U59"/>
    <mergeCell ref="Q60:U60"/>
    <mergeCell ref="Q61:U61"/>
    <mergeCell ref="Q52:U52"/>
    <mergeCell ref="V18:Y18"/>
    <mergeCell ref="V19:Y19"/>
    <mergeCell ref="V20:Y20"/>
    <mergeCell ref="Q53:U53"/>
    <mergeCell ref="Q54:U54"/>
    <mergeCell ref="Q55:U55"/>
    <mergeCell ref="Q56:U56"/>
    <mergeCell ref="Q57:U57"/>
    <mergeCell ref="Q48:U48"/>
    <mergeCell ref="Q49:U49"/>
    <mergeCell ref="Q50:U50"/>
    <mergeCell ref="Q51:U51"/>
    <mergeCell ref="Q44:U44"/>
    <mergeCell ref="Q45:U45"/>
    <mergeCell ref="Q46:U46"/>
    <mergeCell ref="Q47:U47"/>
    <mergeCell ref="Q39:U39"/>
    <mergeCell ref="Q40:U40"/>
    <mergeCell ref="Q41:U41"/>
    <mergeCell ref="Q42:U42"/>
    <mergeCell ref="Q43:U43"/>
    <mergeCell ref="Q34:U34"/>
    <mergeCell ref="Q35:U35"/>
    <mergeCell ref="Q36:U36"/>
    <mergeCell ref="Q37:U37"/>
    <mergeCell ref="Q38:U38"/>
    <mergeCell ref="Q28:U28"/>
    <mergeCell ref="Q29:U29"/>
    <mergeCell ref="Q30:U30"/>
    <mergeCell ref="Q31:U31"/>
    <mergeCell ref="Q32:U32"/>
    <mergeCell ref="Q26:U26"/>
    <mergeCell ref="Q27:U27"/>
    <mergeCell ref="Q16:U16"/>
    <mergeCell ref="Q17:U17"/>
    <mergeCell ref="Q18:U18"/>
    <mergeCell ref="Q19:U19"/>
    <mergeCell ref="Q20:U20"/>
    <mergeCell ref="Q21:U21"/>
    <mergeCell ref="Q33:U33"/>
    <mergeCell ref="H68:P68"/>
    <mergeCell ref="H69:P69"/>
    <mergeCell ref="H6:P6"/>
    <mergeCell ref="H7:P7"/>
    <mergeCell ref="H8:P8"/>
    <mergeCell ref="H9:P9"/>
    <mergeCell ref="H65:P65"/>
    <mergeCell ref="H66:P66"/>
    <mergeCell ref="H67:P67"/>
    <mergeCell ref="H61:P61"/>
    <mergeCell ref="H63:P63"/>
    <mergeCell ref="H62:P62"/>
    <mergeCell ref="H64:P64"/>
    <mergeCell ref="H56:P56"/>
    <mergeCell ref="H57:P57"/>
    <mergeCell ref="H58:P58"/>
    <mergeCell ref="H59:P59"/>
    <mergeCell ref="H60:P60"/>
    <mergeCell ref="H50:P50"/>
    <mergeCell ref="H51:P51"/>
    <mergeCell ref="H52:P52"/>
    <mergeCell ref="H53:P53"/>
    <mergeCell ref="H54:P54"/>
    <mergeCell ref="H55:P55"/>
    <mergeCell ref="H47:P47"/>
    <mergeCell ref="H48:P48"/>
    <mergeCell ref="H49:P49"/>
    <mergeCell ref="H43:P43"/>
    <mergeCell ref="H44:P44"/>
    <mergeCell ref="H45:P45"/>
    <mergeCell ref="H46:P46"/>
    <mergeCell ref="H37:P37"/>
    <mergeCell ref="H38:P38"/>
    <mergeCell ref="H39:P39"/>
    <mergeCell ref="H40:P40"/>
    <mergeCell ref="H41:P41"/>
    <mergeCell ref="H42:P42"/>
    <mergeCell ref="H32:P32"/>
    <mergeCell ref="H33:P33"/>
    <mergeCell ref="H34:P34"/>
    <mergeCell ref="H35:P35"/>
    <mergeCell ref="H36:P36"/>
    <mergeCell ref="H26:P26"/>
    <mergeCell ref="H27:P27"/>
    <mergeCell ref="H28:P28"/>
    <mergeCell ref="H29:P29"/>
    <mergeCell ref="H30:P30"/>
    <mergeCell ref="H31:P31"/>
    <mergeCell ref="H22:P22"/>
    <mergeCell ref="H23:P23"/>
    <mergeCell ref="H24:P24"/>
    <mergeCell ref="H25:P25"/>
    <mergeCell ref="Z15:AE15"/>
    <mergeCell ref="Z16:AE16"/>
    <mergeCell ref="AK8:AN8"/>
    <mergeCell ref="Q13:U13"/>
    <mergeCell ref="Q14:U14"/>
    <mergeCell ref="Q15:U15"/>
    <mergeCell ref="Q22:U22"/>
    <mergeCell ref="Q23:U23"/>
    <mergeCell ref="Q24:U24"/>
    <mergeCell ref="Q25:U25"/>
    <mergeCell ref="V21:Y21"/>
    <mergeCell ref="V22:Y22"/>
    <mergeCell ref="V23:Y23"/>
    <mergeCell ref="V14:Y14"/>
    <mergeCell ref="V15:Y15"/>
    <mergeCell ref="V16:Y16"/>
    <mergeCell ref="V17:Y17"/>
    <mergeCell ref="AK13:AN13"/>
    <mergeCell ref="AF11:AJ11"/>
    <mergeCell ref="AK11:AN11"/>
    <mergeCell ref="AF14:AJ14"/>
    <mergeCell ref="AK14:AN14"/>
    <mergeCell ref="AO14:AT14"/>
    <mergeCell ref="AF13:AJ13"/>
    <mergeCell ref="H15:P15"/>
    <mergeCell ref="H16:P16"/>
    <mergeCell ref="Q12:U12"/>
    <mergeCell ref="H20:P20"/>
    <mergeCell ref="H21:P21"/>
    <mergeCell ref="AO13:AT13"/>
    <mergeCell ref="AF12:AJ12"/>
    <mergeCell ref="AK12:AN12"/>
    <mergeCell ref="AO12:AT12"/>
    <mergeCell ref="AF17:AJ17"/>
    <mergeCell ref="AK17:AN17"/>
    <mergeCell ref="AO17:AT17"/>
    <mergeCell ref="AF18:AJ18"/>
    <mergeCell ref="AK18:AN18"/>
    <mergeCell ref="AO18:AT18"/>
    <mergeCell ref="AF15:AJ15"/>
    <mergeCell ref="AK15:AN15"/>
    <mergeCell ref="AO15:AT15"/>
    <mergeCell ref="AF16:AJ16"/>
    <mergeCell ref="AK16:AN16"/>
    <mergeCell ref="H17:P17"/>
    <mergeCell ref="H18:P18"/>
    <mergeCell ref="H19:P19"/>
    <mergeCell ref="H10:P10"/>
    <mergeCell ref="H11:P11"/>
    <mergeCell ref="H12:P12"/>
    <mergeCell ref="H13:P13"/>
    <mergeCell ref="H14:P14"/>
    <mergeCell ref="Z11:AE11"/>
    <mergeCell ref="Z12:AE12"/>
    <mergeCell ref="Z13:AE13"/>
    <mergeCell ref="Z14:AE14"/>
    <mergeCell ref="Q6:U6"/>
    <mergeCell ref="Q7:U7"/>
    <mergeCell ref="Q8:U8"/>
    <mergeCell ref="Q9:U9"/>
    <mergeCell ref="Q10:U10"/>
    <mergeCell ref="Q11:U11"/>
    <mergeCell ref="H1:AT2"/>
    <mergeCell ref="H3:AT3"/>
    <mergeCell ref="H4:AT4"/>
    <mergeCell ref="AK5:AN5"/>
    <mergeCell ref="AO5:AT5"/>
    <mergeCell ref="H5:P5"/>
    <mergeCell ref="Q5:U5"/>
    <mergeCell ref="V5:Y5"/>
    <mergeCell ref="Z5:AE5"/>
    <mergeCell ref="AF5:AJ5"/>
    <mergeCell ref="AO8:AT8"/>
    <mergeCell ref="AF9:AJ9"/>
    <mergeCell ref="AF10:AJ10"/>
    <mergeCell ref="AK10:AN10"/>
    <mergeCell ref="AO10:AT10"/>
    <mergeCell ref="AO11:AT1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7C3AD-42AF-4122-A56F-EEE9342EAD9C}">
  <sheetPr codeName="Sheet15">
    <tabColor theme="6"/>
  </sheetPr>
  <dimension ref="A1:AW122"/>
  <sheetViews>
    <sheetView zoomScale="80" zoomScaleNormal="80" workbookViewId="0"/>
  </sheetViews>
  <sheetFormatPr defaultColWidth="8.6640625" defaultRowHeight="15.6" x14ac:dyDescent="0.3"/>
  <cols>
    <col min="1" max="32" width="6.6640625" style="8" customWidth="1"/>
    <col min="33" max="42" width="6.58203125" style="8" customWidth="1"/>
    <col min="43" max="43" width="6.6640625" style="8" customWidth="1"/>
    <col min="44" max="49" width="6.58203125" style="8" customWidth="1"/>
    <col min="50" max="16384" width="8.6640625" style="8"/>
  </cols>
  <sheetData>
    <row r="1" spans="1:49" ht="30" customHeight="1" x14ac:dyDescent="0.3">
      <c r="A1" s="17"/>
      <c r="B1" s="17"/>
      <c r="C1" s="17"/>
      <c r="D1" s="17"/>
      <c r="E1" s="17"/>
      <c r="F1" s="17"/>
      <c r="G1" s="17"/>
      <c r="H1" s="152" t="s">
        <v>1129</v>
      </c>
      <c r="I1" s="152"/>
      <c r="J1" s="152"/>
      <c r="K1" s="152"/>
      <c r="L1" s="152"/>
      <c r="M1" s="152"/>
      <c r="N1" s="152"/>
      <c r="O1" s="152"/>
      <c r="P1" s="152"/>
      <c r="Q1" s="152"/>
      <c r="R1" s="152"/>
      <c r="S1" s="152"/>
      <c r="T1" s="152"/>
      <c r="U1" s="152"/>
      <c r="V1" s="152"/>
      <c r="W1" s="152"/>
      <c r="X1" s="152"/>
      <c r="Y1" s="152"/>
      <c r="Z1" s="152"/>
      <c r="AA1" s="152"/>
      <c r="AB1" s="152"/>
      <c r="AC1" s="152"/>
      <c r="AD1" s="152"/>
      <c r="AE1" s="152"/>
      <c r="AF1" s="17"/>
      <c r="AG1" s="17"/>
      <c r="AH1" s="17"/>
      <c r="AI1" s="17"/>
      <c r="AJ1" s="17"/>
      <c r="AK1" s="17"/>
      <c r="AL1" s="17"/>
      <c r="AM1" s="17"/>
      <c r="AN1" s="17"/>
      <c r="AO1" s="17"/>
      <c r="AP1" s="17"/>
      <c r="AQ1" s="17"/>
      <c r="AR1" s="17"/>
      <c r="AS1" s="17"/>
      <c r="AT1" s="17"/>
      <c r="AU1" s="17"/>
      <c r="AV1" s="17"/>
      <c r="AW1" s="17"/>
    </row>
    <row r="2" spans="1:49" ht="30" customHeight="1" x14ac:dyDescent="0.3">
      <c r="A2" s="17"/>
      <c r="B2" s="17"/>
      <c r="C2" s="17"/>
      <c r="D2" s="17"/>
      <c r="E2" s="17"/>
      <c r="F2" s="17"/>
      <c r="G2" s="17"/>
      <c r="H2" s="152"/>
      <c r="I2" s="152"/>
      <c r="J2" s="152"/>
      <c r="K2" s="152"/>
      <c r="L2" s="152"/>
      <c r="M2" s="152"/>
      <c r="N2" s="152"/>
      <c r="O2" s="152"/>
      <c r="P2" s="152"/>
      <c r="Q2" s="152"/>
      <c r="R2" s="152"/>
      <c r="S2" s="152"/>
      <c r="T2" s="152"/>
      <c r="U2" s="152"/>
      <c r="V2" s="152"/>
      <c r="W2" s="152"/>
      <c r="X2" s="152"/>
      <c r="Y2" s="152"/>
      <c r="Z2" s="152"/>
      <c r="AA2" s="152"/>
      <c r="AB2" s="152"/>
      <c r="AC2" s="152"/>
      <c r="AD2" s="152"/>
      <c r="AE2" s="152"/>
      <c r="AF2" s="17"/>
      <c r="AG2" s="17"/>
      <c r="AH2" s="17"/>
      <c r="AI2" s="17"/>
      <c r="AJ2" s="17"/>
      <c r="AK2" s="17"/>
      <c r="AL2" s="17"/>
      <c r="AM2" s="17"/>
      <c r="AN2" s="17"/>
      <c r="AO2" s="17"/>
      <c r="AP2" s="17"/>
      <c r="AQ2" s="17"/>
      <c r="AR2" s="17"/>
      <c r="AS2" s="17"/>
      <c r="AT2" s="17"/>
      <c r="AU2" s="17"/>
      <c r="AV2" s="17"/>
      <c r="AW2" s="17"/>
    </row>
    <row r="3" spans="1:49" ht="30" customHeight="1" x14ac:dyDescent="0.3">
      <c r="A3" s="17"/>
      <c r="B3" s="17"/>
      <c r="C3" s="17"/>
      <c r="D3" s="17"/>
      <c r="E3" s="17"/>
      <c r="F3" s="17"/>
      <c r="G3" s="17"/>
      <c r="H3" s="193" t="s">
        <v>1204</v>
      </c>
      <c r="I3" s="193"/>
      <c r="J3" s="193"/>
      <c r="K3" s="193"/>
      <c r="L3" s="193"/>
      <c r="M3" s="193"/>
      <c r="N3" s="193"/>
      <c r="O3" s="193"/>
      <c r="P3" s="193"/>
      <c r="Q3" s="193"/>
      <c r="R3" s="193"/>
      <c r="S3" s="193"/>
      <c r="T3" s="193"/>
      <c r="U3" s="193"/>
      <c r="V3" s="193"/>
      <c r="W3" s="193"/>
      <c r="X3" s="193"/>
      <c r="Y3" s="193"/>
      <c r="Z3" s="193"/>
      <c r="AA3" s="193"/>
      <c r="AB3" s="193"/>
      <c r="AC3" s="193"/>
      <c r="AD3" s="193"/>
      <c r="AE3" s="193"/>
      <c r="AF3" s="98"/>
      <c r="AG3" s="194" t="s">
        <v>1200</v>
      </c>
      <c r="AH3" s="195"/>
      <c r="AI3" s="195"/>
      <c r="AJ3" s="195"/>
      <c r="AK3" s="195"/>
      <c r="AL3" s="195"/>
      <c r="AM3" s="195"/>
      <c r="AN3" s="195"/>
      <c r="AO3" s="195"/>
      <c r="AP3" s="196"/>
      <c r="AQ3" s="17"/>
      <c r="AR3" s="17"/>
      <c r="AS3" s="17"/>
      <c r="AT3" s="17"/>
      <c r="AU3" s="17"/>
      <c r="AV3" s="17"/>
      <c r="AW3" s="17"/>
    </row>
    <row r="4" spans="1:49" ht="30" customHeight="1" x14ac:dyDescent="0.3">
      <c r="A4" s="17"/>
      <c r="B4" s="17"/>
      <c r="C4" s="17"/>
      <c r="D4" s="17"/>
      <c r="E4" s="17"/>
      <c r="F4" s="17"/>
      <c r="G4" s="17"/>
      <c r="H4" s="193"/>
      <c r="I4" s="193"/>
      <c r="J4" s="193"/>
      <c r="K4" s="193"/>
      <c r="L4" s="193"/>
      <c r="M4" s="193"/>
      <c r="N4" s="193"/>
      <c r="O4" s="193"/>
      <c r="P4" s="193"/>
      <c r="Q4" s="193"/>
      <c r="R4" s="193"/>
      <c r="S4" s="193"/>
      <c r="T4" s="193"/>
      <c r="U4" s="193"/>
      <c r="V4" s="193"/>
      <c r="W4" s="193"/>
      <c r="X4" s="193"/>
      <c r="Y4" s="193"/>
      <c r="Z4" s="193"/>
      <c r="AA4" s="193"/>
      <c r="AB4" s="193"/>
      <c r="AC4" s="193"/>
      <c r="AD4" s="193"/>
      <c r="AE4" s="193"/>
      <c r="AF4" s="17"/>
      <c r="AG4" s="174" t="s">
        <v>1296</v>
      </c>
      <c r="AH4" s="175"/>
      <c r="AI4" s="175"/>
      <c r="AJ4" s="175"/>
      <c r="AK4" s="175"/>
      <c r="AL4" s="175"/>
      <c r="AM4" s="175"/>
      <c r="AN4" s="175"/>
      <c r="AO4" s="175"/>
      <c r="AP4" s="176"/>
      <c r="AQ4" s="17"/>
      <c r="AR4" s="17"/>
      <c r="AS4" s="17"/>
      <c r="AT4" s="17"/>
      <c r="AU4" s="17"/>
      <c r="AV4" s="17"/>
      <c r="AW4" s="17"/>
    </row>
    <row r="5" spans="1:49" ht="30" customHeight="1" x14ac:dyDescent="0.3">
      <c r="A5" s="17"/>
      <c r="B5" s="17"/>
      <c r="C5" s="17"/>
      <c r="D5" s="17"/>
      <c r="E5" s="17"/>
      <c r="F5" s="17"/>
      <c r="G5" s="17"/>
      <c r="H5" s="191" t="s">
        <v>984</v>
      </c>
      <c r="I5" s="191"/>
      <c r="J5" s="191"/>
      <c r="K5" s="191"/>
      <c r="L5" s="191"/>
      <c r="M5" s="191"/>
      <c r="N5" s="191"/>
      <c r="O5" s="191"/>
      <c r="P5" s="191"/>
      <c r="Q5" s="191"/>
      <c r="R5" s="191"/>
      <c r="S5" s="191"/>
      <c r="T5" s="191"/>
      <c r="U5" s="191"/>
      <c r="V5" s="191"/>
      <c r="W5" s="191"/>
      <c r="X5" s="191"/>
      <c r="Y5" s="191"/>
      <c r="Z5" s="191"/>
      <c r="AA5" s="191"/>
      <c r="AB5" s="191"/>
      <c r="AC5" s="191"/>
      <c r="AD5" s="191"/>
      <c r="AE5" s="191"/>
      <c r="AF5" s="17"/>
      <c r="AG5" s="180" t="s">
        <v>1238</v>
      </c>
      <c r="AH5" s="181"/>
      <c r="AI5" s="181"/>
      <c r="AJ5" s="181"/>
      <c r="AK5" s="181"/>
      <c r="AL5" s="181"/>
      <c r="AM5" s="181"/>
      <c r="AN5" s="181"/>
      <c r="AO5" s="181"/>
      <c r="AP5" s="182"/>
      <c r="AQ5" s="17"/>
      <c r="AR5" s="17"/>
      <c r="AS5" s="17"/>
      <c r="AT5" s="17"/>
      <c r="AU5" s="17"/>
      <c r="AV5" s="17"/>
      <c r="AW5" s="17"/>
    </row>
    <row r="6" spans="1:49" ht="30" customHeight="1" x14ac:dyDescent="0.3">
      <c r="A6" s="17"/>
      <c r="B6" s="17"/>
      <c r="C6" s="17"/>
      <c r="D6" s="17"/>
      <c r="E6" s="17"/>
      <c r="F6" s="17"/>
      <c r="G6" s="17"/>
      <c r="H6" s="186" t="s">
        <v>1130</v>
      </c>
      <c r="I6" s="186"/>
      <c r="J6" s="186"/>
      <c r="K6" s="186"/>
      <c r="L6" s="186"/>
      <c r="M6" s="186"/>
      <c r="N6" s="186"/>
      <c r="O6" s="186"/>
      <c r="P6" s="186" t="s">
        <v>1131</v>
      </c>
      <c r="Q6" s="186"/>
      <c r="R6" s="186"/>
      <c r="S6" s="186"/>
      <c r="T6" s="186"/>
      <c r="U6" s="186"/>
      <c r="V6" s="186"/>
      <c r="W6" s="186"/>
      <c r="X6" s="186" t="s">
        <v>1132</v>
      </c>
      <c r="Y6" s="186"/>
      <c r="Z6" s="186"/>
      <c r="AA6" s="186"/>
      <c r="AB6" s="186"/>
      <c r="AC6" s="186"/>
      <c r="AD6" s="186"/>
      <c r="AE6" s="186"/>
      <c r="AF6" s="17"/>
      <c r="AG6" s="183" t="s">
        <v>1297</v>
      </c>
      <c r="AH6" s="184"/>
      <c r="AI6" s="184"/>
      <c r="AJ6" s="184"/>
      <c r="AK6" s="184"/>
      <c r="AL6" s="184"/>
      <c r="AM6" s="184"/>
      <c r="AN6" s="184"/>
      <c r="AO6" s="184"/>
      <c r="AP6" s="185"/>
      <c r="AQ6" s="17"/>
      <c r="AR6" s="17"/>
      <c r="AS6" s="17"/>
      <c r="AT6" s="17"/>
      <c r="AU6" s="17"/>
      <c r="AV6" s="17"/>
      <c r="AW6" s="17"/>
    </row>
    <row r="7" spans="1:49" ht="30" customHeight="1" x14ac:dyDescent="0.3">
      <c r="A7" s="17"/>
      <c r="B7" s="17"/>
      <c r="C7" s="17"/>
      <c r="D7" s="17"/>
      <c r="E7" s="17"/>
      <c r="F7" s="17"/>
      <c r="G7" s="17"/>
      <c r="H7" s="189" t="s">
        <v>885</v>
      </c>
      <c r="I7" s="189"/>
      <c r="J7" s="189"/>
      <c r="K7" s="189"/>
      <c r="L7" s="189"/>
      <c r="M7" s="189"/>
      <c r="N7" s="189"/>
      <c r="O7" s="189"/>
      <c r="P7" s="190" t="s">
        <v>1133</v>
      </c>
      <c r="Q7" s="190"/>
      <c r="R7" s="190"/>
      <c r="S7" s="190"/>
      <c r="T7" s="190"/>
      <c r="U7" s="190"/>
      <c r="V7" s="190"/>
      <c r="W7" s="190"/>
      <c r="X7" s="190"/>
      <c r="Y7" s="190"/>
      <c r="Z7" s="190"/>
      <c r="AA7" s="190"/>
      <c r="AB7" s="190"/>
      <c r="AC7" s="190"/>
      <c r="AD7" s="190"/>
      <c r="AE7" s="190"/>
      <c r="AF7" s="17"/>
      <c r="AG7" s="177" t="s">
        <v>1239</v>
      </c>
      <c r="AH7" s="178"/>
      <c r="AI7" s="178"/>
      <c r="AJ7" s="178"/>
      <c r="AK7" s="178"/>
      <c r="AL7" s="178"/>
      <c r="AM7" s="178"/>
      <c r="AN7" s="178"/>
      <c r="AO7" s="178"/>
      <c r="AP7" s="179"/>
      <c r="AQ7" s="17"/>
      <c r="AR7" s="17"/>
      <c r="AS7" s="17"/>
      <c r="AT7" s="17"/>
      <c r="AU7" s="17"/>
      <c r="AV7" s="17"/>
      <c r="AW7" s="17"/>
    </row>
    <row r="8" spans="1:49" ht="30" customHeight="1" x14ac:dyDescent="0.3">
      <c r="A8" s="17"/>
      <c r="B8" s="17"/>
      <c r="C8" s="17"/>
      <c r="D8" s="17"/>
      <c r="E8" s="17"/>
      <c r="F8" s="17"/>
      <c r="G8" s="17"/>
      <c r="H8" s="189"/>
      <c r="I8" s="189"/>
      <c r="J8" s="189"/>
      <c r="K8" s="189"/>
      <c r="L8" s="189"/>
      <c r="M8" s="189"/>
      <c r="N8" s="189"/>
      <c r="O8" s="189"/>
      <c r="P8" s="190"/>
      <c r="Q8" s="190"/>
      <c r="R8" s="190"/>
      <c r="S8" s="190"/>
      <c r="T8" s="190"/>
      <c r="U8" s="190"/>
      <c r="V8" s="190"/>
      <c r="W8" s="190"/>
      <c r="X8" s="190"/>
      <c r="Y8" s="190"/>
      <c r="Z8" s="190"/>
      <c r="AA8" s="190"/>
      <c r="AB8" s="190"/>
      <c r="AC8" s="190"/>
      <c r="AD8" s="190"/>
      <c r="AE8" s="190"/>
      <c r="AF8" s="17"/>
      <c r="AG8" s="174" t="s">
        <v>1286</v>
      </c>
      <c r="AH8" s="175"/>
      <c r="AI8" s="175"/>
      <c r="AJ8" s="175"/>
      <c r="AK8" s="175"/>
      <c r="AL8" s="175"/>
      <c r="AM8" s="175"/>
      <c r="AN8" s="175"/>
      <c r="AO8" s="175"/>
      <c r="AP8" s="176"/>
      <c r="AQ8" s="17"/>
      <c r="AR8" s="17"/>
      <c r="AS8" s="17"/>
      <c r="AT8" s="17"/>
      <c r="AU8" s="17"/>
      <c r="AV8" s="17"/>
      <c r="AW8" s="17"/>
    </row>
    <row r="9" spans="1:49" ht="30" customHeight="1" x14ac:dyDescent="0.3">
      <c r="A9" s="17"/>
      <c r="B9" s="17"/>
      <c r="C9" s="17"/>
      <c r="D9" s="17"/>
      <c r="E9" s="17"/>
      <c r="F9" s="17"/>
      <c r="G9" s="17"/>
      <c r="H9" s="187" t="s">
        <v>1134</v>
      </c>
      <c r="I9" s="187"/>
      <c r="J9" s="187"/>
      <c r="K9" s="187"/>
      <c r="L9" s="187"/>
      <c r="M9" s="187"/>
      <c r="N9" s="187"/>
      <c r="O9" s="187"/>
      <c r="P9" s="188" t="s">
        <v>1135</v>
      </c>
      <c r="Q9" s="188"/>
      <c r="R9" s="188"/>
      <c r="S9" s="188"/>
      <c r="T9" s="188"/>
      <c r="U9" s="188"/>
      <c r="V9" s="188"/>
      <c r="W9" s="188"/>
      <c r="X9" s="188"/>
      <c r="Y9" s="188"/>
      <c r="Z9" s="188"/>
      <c r="AA9" s="188"/>
      <c r="AB9" s="188"/>
      <c r="AC9" s="188"/>
      <c r="AD9" s="188"/>
      <c r="AE9" s="188"/>
      <c r="AF9" s="17"/>
      <c r="AG9" s="223" t="s">
        <v>1287</v>
      </c>
      <c r="AH9" s="224"/>
      <c r="AI9" s="224"/>
      <c r="AJ9" s="224"/>
      <c r="AK9" s="224"/>
      <c r="AL9" s="224"/>
      <c r="AM9" s="224"/>
      <c r="AN9" s="224"/>
      <c r="AO9" s="224"/>
      <c r="AP9" s="225"/>
      <c r="AQ9" s="17"/>
      <c r="AR9" s="17"/>
      <c r="AS9" s="17"/>
      <c r="AT9" s="17"/>
      <c r="AU9" s="17"/>
      <c r="AV9" s="17"/>
      <c r="AW9" s="17"/>
    </row>
    <row r="10" spans="1:49" ht="30" customHeight="1" x14ac:dyDescent="0.3">
      <c r="A10" s="17"/>
      <c r="B10" s="17"/>
      <c r="C10" s="17"/>
      <c r="D10" s="17"/>
      <c r="E10" s="17"/>
      <c r="F10" s="17"/>
      <c r="G10" s="17"/>
      <c r="H10" s="187"/>
      <c r="I10" s="187"/>
      <c r="J10" s="187"/>
      <c r="K10" s="187"/>
      <c r="L10" s="187"/>
      <c r="M10" s="187"/>
      <c r="N10" s="187"/>
      <c r="O10" s="187"/>
      <c r="P10" s="188"/>
      <c r="Q10" s="188"/>
      <c r="R10" s="188"/>
      <c r="S10" s="188"/>
      <c r="T10" s="188"/>
      <c r="U10" s="188"/>
      <c r="V10" s="188"/>
      <c r="W10" s="188"/>
      <c r="X10" s="188"/>
      <c r="Y10" s="188"/>
      <c r="Z10" s="188"/>
      <c r="AA10" s="188"/>
      <c r="AB10" s="188"/>
      <c r="AC10" s="188"/>
      <c r="AD10" s="188"/>
      <c r="AE10" s="188"/>
      <c r="AF10" s="17"/>
      <c r="AG10" s="180"/>
      <c r="AH10" s="181"/>
      <c r="AI10" s="181"/>
      <c r="AJ10" s="181"/>
      <c r="AK10" s="181"/>
      <c r="AL10" s="181"/>
      <c r="AM10" s="181"/>
      <c r="AN10" s="181"/>
      <c r="AO10" s="181"/>
      <c r="AP10" s="182"/>
      <c r="AQ10" s="17"/>
      <c r="AR10" s="17"/>
      <c r="AS10" s="17"/>
      <c r="AT10" s="17"/>
      <c r="AU10" s="17"/>
      <c r="AV10" s="17"/>
      <c r="AW10" s="17"/>
    </row>
    <row r="11" spans="1:49" ht="30" customHeight="1" x14ac:dyDescent="0.3">
      <c r="A11" s="17"/>
      <c r="B11" s="17"/>
      <c r="C11" s="17"/>
      <c r="D11" s="17"/>
      <c r="E11" s="17"/>
      <c r="F11" s="17"/>
      <c r="G11" s="17"/>
      <c r="H11" s="192" t="s">
        <v>887</v>
      </c>
      <c r="I11" s="192"/>
      <c r="J11" s="192"/>
      <c r="K11" s="192"/>
      <c r="L11" s="192"/>
      <c r="M11" s="192"/>
      <c r="N11" s="192"/>
      <c r="O11" s="192"/>
      <c r="P11" s="190" t="s">
        <v>1136</v>
      </c>
      <c r="Q11" s="190"/>
      <c r="R11" s="190"/>
      <c r="S11" s="190"/>
      <c r="T11" s="190"/>
      <c r="U11" s="190"/>
      <c r="V11" s="190"/>
      <c r="W11" s="190"/>
      <c r="X11" s="190" t="s">
        <v>1137</v>
      </c>
      <c r="Y11" s="190"/>
      <c r="Z11" s="190"/>
      <c r="AA11" s="190"/>
      <c r="AB11" s="190"/>
      <c r="AC11" s="190"/>
      <c r="AD11" s="190"/>
      <c r="AE11" s="190"/>
      <c r="AF11" s="17"/>
      <c r="AG11" s="183" t="s">
        <v>1284</v>
      </c>
      <c r="AH11" s="184"/>
      <c r="AI11" s="184"/>
      <c r="AJ11" s="184"/>
      <c r="AK11" s="184"/>
      <c r="AL11" s="184"/>
      <c r="AM11" s="184"/>
      <c r="AN11" s="184"/>
      <c r="AO11" s="184"/>
      <c r="AP11" s="185"/>
      <c r="AQ11" s="17"/>
      <c r="AR11" s="17"/>
      <c r="AS11" s="17"/>
      <c r="AT11" s="17"/>
      <c r="AU11" s="17"/>
      <c r="AV11" s="17"/>
      <c r="AW11" s="17"/>
    </row>
    <row r="12" spans="1:49" ht="30" customHeight="1" x14ac:dyDescent="0.3">
      <c r="A12" s="17"/>
      <c r="B12" s="17"/>
      <c r="C12" s="17"/>
      <c r="D12" s="17"/>
      <c r="E12" s="17"/>
      <c r="F12" s="17"/>
      <c r="G12" s="17"/>
      <c r="H12" s="192"/>
      <c r="I12" s="192"/>
      <c r="J12" s="192"/>
      <c r="K12" s="192"/>
      <c r="L12" s="192"/>
      <c r="M12" s="192"/>
      <c r="N12" s="192"/>
      <c r="O12" s="192"/>
      <c r="P12" s="190"/>
      <c r="Q12" s="190"/>
      <c r="R12" s="190"/>
      <c r="S12" s="190"/>
      <c r="T12" s="190"/>
      <c r="U12" s="190"/>
      <c r="V12" s="190"/>
      <c r="W12" s="190"/>
      <c r="X12" s="190"/>
      <c r="Y12" s="190"/>
      <c r="Z12" s="190"/>
      <c r="AA12" s="190"/>
      <c r="AB12" s="190"/>
      <c r="AC12" s="190"/>
      <c r="AD12" s="190"/>
      <c r="AE12" s="190"/>
      <c r="AF12" s="17"/>
      <c r="AG12" s="220" t="s">
        <v>1285</v>
      </c>
      <c r="AH12" s="221"/>
      <c r="AI12" s="221"/>
      <c r="AJ12" s="221"/>
      <c r="AK12" s="221"/>
      <c r="AL12" s="221"/>
      <c r="AM12" s="221"/>
      <c r="AN12" s="221"/>
      <c r="AO12" s="221"/>
      <c r="AP12" s="222"/>
      <c r="AQ12" s="17"/>
      <c r="AR12" s="17"/>
      <c r="AS12" s="17"/>
      <c r="AT12" s="17"/>
      <c r="AU12" s="17"/>
      <c r="AV12" s="17"/>
      <c r="AW12" s="17"/>
    </row>
    <row r="13" spans="1:49" ht="30" customHeight="1" x14ac:dyDescent="0.3">
      <c r="A13" s="17"/>
      <c r="B13" s="17"/>
      <c r="C13" s="17"/>
      <c r="D13" s="17"/>
      <c r="E13" s="17"/>
      <c r="F13" s="17"/>
      <c r="G13" s="17"/>
      <c r="H13" s="192"/>
      <c r="I13" s="192"/>
      <c r="J13" s="192"/>
      <c r="K13" s="192"/>
      <c r="L13" s="192"/>
      <c r="M13" s="192"/>
      <c r="N13" s="192"/>
      <c r="O13" s="192"/>
      <c r="P13" s="190"/>
      <c r="Q13" s="190"/>
      <c r="R13" s="190"/>
      <c r="S13" s="190"/>
      <c r="T13" s="190"/>
      <c r="U13" s="190"/>
      <c r="V13" s="190"/>
      <c r="W13" s="190"/>
      <c r="X13" s="190"/>
      <c r="Y13" s="190"/>
      <c r="Z13" s="190"/>
      <c r="AA13" s="190"/>
      <c r="AB13" s="190"/>
      <c r="AC13" s="190"/>
      <c r="AD13" s="190"/>
      <c r="AE13" s="190"/>
      <c r="AF13" s="17"/>
      <c r="AG13" s="177"/>
      <c r="AH13" s="178"/>
      <c r="AI13" s="178"/>
      <c r="AJ13" s="178"/>
      <c r="AK13" s="178"/>
      <c r="AL13" s="178"/>
      <c r="AM13" s="178"/>
      <c r="AN13" s="178"/>
      <c r="AO13" s="178"/>
      <c r="AP13" s="179"/>
      <c r="AQ13" s="17"/>
      <c r="AR13" s="17"/>
      <c r="AS13" s="17"/>
      <c r="AT13" s="17"/>
      <c r="AU13" s="17"/>
      <c r="AV13" s="17"/>
      <c r="AW13" s="17"/>
    </row>
    <row r="14" spans="1:49" ht="30" customHeight="1" x14ac:dyDescent="0.3">
      <c r="A14" s="17"/>
      <c r="B14" s="17"/>
      <c r="C14" s="17"/>
      <c r="D14" s="17"/>
      <c r="E14" s="17"/>
      <c r="F14" s="17"/>
      <c r="G14" s="17"/>
      <c r="H14" s="192"/>
      <c r="I14" s="192"/>
      <c r="J14" s="192"/>
      <c r="K14" s="192"/>
      <c r="L14" s="192"/>
      <c r="M14" s="192"/>
      <c r="N14" s="192"/>
      <c r="O14" s="192"/>
      <c r="P14" s="190"/>
      <c r="Q14" s="190"/>
      <c r="R14" s="190"/>
      <c r="S14" s="190"/>
      <c r="T14" s="190"/>
      <c r="U14" s="190"/>
      <c r="V14" s="190"/>
      <c r="W14" s="190"/>
      <c r="X14" s="190"/>
      <c r="Y14" s="190"/>
      <c r="Z14" s="190"/>
      <c r="AA14" s="190"/>
      <c r="AB14" s="190"/>
      <c r="AC14" s="190"/>
      <c r="AD14" s="190"/>
      <c r="AE14" s="190"/>
      <c r="AF14" s="17"/>
      <c r="AG14" s="174" t="s">
        <v>1294</v>
      </c>
      <c r="AH14" s="175"/>
      <c r="AI14" s="175"/>
      <c r="AJ14" s="175"/>
      <c r="AK14" s="175"/>
      <c r="AL14" s="175"/>
      <c r="AM14" s="175"/>
      <c r="AN14" s="175"/>
      <c r="AO14" s="175"/>
      <c r="AP14" s="176"/>
      <c r="AQ14" s="17"/>
      <c r="AR14" s="17"/>
      <c r="AS14" s="17"/>
      <c r="AT14" s="17"/>
      <c r="AU14" s="17"/>
      <c r="AV14" s="17"/>
      <c r="AW14" s="17"/>
    </row>
    <row r="15" spans="1:49" ht="30" customHeight="1" x14ac:dyDescent="0.3">
      <c r="A15" s="17"/>
      <c r="B15" s="17"/>
      <c r="C15" s="17"/>
      <c r="D15" s="17"/>
      <c r="E15" s="17"/>
      <c r="F15" s="17"/>
      <c r="G15" s="17"/>
      <c r="H15" s="192"/>
      <c r="I15" s="192"/>
      <c r="J15" s="192"/>
      <c r="K15" s="192"/>
      <c r="L15" s="192"/>
      <c r="M15" s="192"/>
      <c r="N15" s="192"/>
      <c r="O15" s="192"/>
      <c r="P15" s="190"/>
      <c r="Q15" s="190"/>
      <c r="R15" s="190"/>
      <c r="S15" s="190"/>
      <c r="T15" s="190"/>
      <c r="U15" s="190"/>
      <c r="V15" s="190"/>
      <c r="W15" s="190"/>
      <c r="X15" s="190"/>
      <c r="Y15" s="190"/>
      <c r="Z15" s="190"/>
      <c r="AA15" s="190"/>
      <c r="AB15" s="190"/>
      <c r="AC15" s="190"/>
      <c r="AD15" s="190"/>
      <c r="AE15" s="190"/>
      <c r="AF15" s="17"/>
      <c r="AG15" s="180" t="s">
        <v>1244</v>
      </c>
      <c r="AH15" s="181"/>
      <c r="AI15" s="181"/>
      <c r="AJ15" s="181"/>
      <c r="AK15" s="181"/>
      <c r="AL15" s="181"/>
      <c r="AM15" s="181"/>
      <c r="AN15" s="181"/>
      <c r="AO15" s="181"/>
      <c r="AP15" s="182"/>
      <c r="AQ15" s="17"/>
      <c r="AR15" s="17"/>
      <c r="AS15" s="17"/>
      <c r="AT15" s="17"/>
      <c r="AU15" s="17"/>
      <c r="AV15" s="17"/>
      <c r="AW15" s="17"/>
    </row>
    <row r="16" spans="1:49" ht="30" customHeight="1" x14ac:dyDescent="0.3">
      <c r="A16" s="17"/>
      <c r="B16" s="17"/>
      <c r="C16" s="17"/>
      <c r="D16" s="17"/>
      <c r="E16" s="17"/>
      <c r="F16" s="17"/>
      <c r="G16" s="17"/>
      <c r="H16" s="187" t="s">
        <v>1138</v>
      </c>
      <c r="I16" s="187"/>
      <c r="J16" s="187"/>
      <c r="K16" s="187"/>
      <c r="L16" s="187"/>
      <c r="M16" s="187"/>
      <c r="N16" s="187"/>
      <c r="O16" s="187"/>
      <c r="P16" s="188" t="s">
        <v>1139</v>
      </c>
      <c r="Q16" s="188"/>
      <c r="R16" s="188"/>
      <c r="S16" s="188"/>
      <c r="T16" s="188"/>
      <c r="U16" s="188"/>
      <c r="V16" s="188"/>
      <c r="W16" s="188"/>
      <c r="X16" s="188"/>
      <c r="Y16" s="188"/>
      <c r="Z16" s="188"/>
      <c r="AA16" s="188"/>
      <c r="AB16" s="188"/>
      <c r="AC16" s="188"/>
      <c r="AD16" s="188"/>
      <c r="AE16" s="188"/>
      <c r="AF16" s="17"/>
      <c r="AG16" s="183" t="s">
        <v>1282</v>
      </c>
      <c r="AH16" s="184"/>
      <c r="AI16" s="184"/>
      <c r="AJ16" s="184"/>
      <c r="AK16" s="184"/>
      <c r="AL16" s="184"/>
      <c r="AM16" s="184"/>
      <c r="AN16" s="184"/>
      <c r="AO16" s="184"/>
      <c r="AP16" s="185"/>
      <c r="AQ16" s="17"/>
      <c r="AR16" s="17"/>
      <c r="AS16" s="17"/>
      <c r="AT16" s="17"/>
      <c r="AU16" s="17"/>
      <c r="AV16" s="17"/>
      <c r="AW16" s="17"/>
    </row>
    <row r="17" spans="1:49" ht="30" customHeight="1" x14ac:dyDescent="0.3">
      <c r="A17" s="17"/>
      <c r="B17" s="17"/>
      <c r="C17" s="17"/>
      <c r="D17" s="17"/>
      <c r="E17" s="17"/>
      <c r="F17" s="17"/>
      <c r="G17" s="17"/>
      <c r="H17" s="187"/>
      <c r="I17" s="187"/>
      <c r="J17" s="187"/>
      <c r="K17" s="187"/>
      <c r="L17" s="187"/>
      <c r="M17" s="187"/>
      <c r="N17" s="187"/>
      <c r="O17" s="187"/>
      <c r="P17" s="188"/>
      <c r="Q17" s="188"/>
      <c r="R17" s="188"/>
      <c r="S17" s="188"/>
      <c r="T17" s="188"/>
      <c r="U17" s="188"/>
      <c r="V17" s="188"/>
      <c r="W17" s="188"/>
      <c r="X17" s="188"/>
      <c r="Y17" s="188"/>
      <c r="Z17" s="188"/>
      <c r="AA17" s="188"/>
      <c r="AB17" s="188"/>
      <c r="AC17" s="188"/>
      <c r="AD17" s="188"/>
      <c r="AE17" s="188"/>
      <c r="AF17" s="17"/>
      <c r="AG17" s="177" t="s">
        <v>1283</v>
      </c>
      <c r="AH17" s="178"/>
      <c r="AI17" s="178"/>
      <c r="AJ17" s="178"/>
      <c r="AK17" s="178"/>
      <c r="AL17" s="178"/>
      <c r="AM17" s="178"/>
      <c r="AN17" s="178"/>
      <c r="AO17" s="178"/>
      <c r="AP17" s="179"/>
      <c r="AQ17" s="17"/>
      <c r="AR17" s="17"/>
      <c r="AS17" s="17"/>
      <c r="AT17" s="17"/>
      <c r="AU17" s="17"/>
      <c r="AV17" s="17"/>
      <c r="AW17" s="17"/>
    </row>
    <row r="18" spans="1:49" ht="30" customHeight="1" x14ac:dyDescent="0.3">
      <c r="A18" s="17"/>
      <c r="B18" s="17"/>
      <c r="C18" s="17"/>
      <c r="D18" s="17"/>
      <c r="E18" s="17"/>
      <c r="F18" s="17"/>
      <c r="G18" s="17"/>
      <c r="H18" s="187"/>
      <c r="I18" s="187"/>
      <c r="J18" s="187"/>
      <c r="K18" s="187"/>
      <c r="L18" s="187"/>
      <c r="M18" s="187"/>
      <c r="N18" s="187"/>
      <c r="O18" s="187"/>
      <c r="P18" s="188"/>
      <c r="Q18" s="188"/>
      <c r="R18" s="188"/>
      <c r="S18" s="188"/>
      <c r="T18" s="188"/>
      <c r="U18" s="188"/>
      <c r="V18" s="188"/>
      <c r="W18" s="188"/>
      <c r="X18" s="188"/>
      <c r="Y18" s="188"/>
      <c r="Z18" s="188"/>
      <c r="AA18" s="188"/>
      <c r="AB18" s="188"/>
      <c r="AC18" s="188"/>
      <c r="AD18" s="188"/>
      <c r="AE18" s="188"/>
      <c r="AF18" s="17"/>
      <c r="AG18" s="174" t="s">
        <v>1281</v>
      </c>
      <c r="AH18" s="175"/>
      <c r="AI18" s="175"/>
      <c r="AJ18" s="175"/>
      <c r="AK18" s="175"/>
      <c r="AL18" s="175"/>
      <c r="AM18" s="175"/>
      <c r="AN18" s="175"/>
      <c r="AO18" s="175"/>
      <c r="AP18" s="176"/>
      <c r="AQ18" s="17"/>
      <c r="AR18" s="17"/>
      <c r="AS18" s="17"/>
      <c r="AT18" s="17"/>
      <c r="AU18" s="17"/>
      <c r="AV18" s="17"/>
      <c r="AW18" s="17"/>
    </row>
    <row r="19" spans="1:49" ht="30" customHeight="1" x14ac:dyDescent="0.3">
      <c r="A19" s="17"/>
      <c r="B19" s="17"/>
      <c r="C19" s="17"/>
      <c r="D19" s="17"/>
      <c r="E19" s="17"/>
      <c r="F19" s="17"/>
      <c r="G19" s="17"/>
      <c r="H19" s="187"/>
      <c r="I19" s="187"/>
      <c r="J19" s="187"/>
      <c r="K19" s="187"/>
      <c r="L19" s="187"/>
      <c r="M19" s="187"/>
      <c r="N19" s="187"/>
      <c r="O19" s="187"/>
      <c r="P19" s="188"/>
      <c r="Q19" s="188"/>
      <c r="R19" s="188"/>
      <c r="S19" s="188"/>
      <c r="T19" s="188"/>
      <c r="U19" s="188"/>
      <c r="V19" s="188"/>
      <c r="W19" s="188"/>
      <c r="X19" s="188"/>
      <c r="Y19" s="188"/>
      <c r="Z19" s="188"/>
      <c r="AA19" s="188"/>
      <c r="AB19" s="188"/>
      <c r="AC19" s="188"/>
      <c r="AD19" s="188"/>
      <c r="AE19" s="188"/>
      <c r="AF19" s="17"/>
      <c r="AG19" s="180" t="s">
        <v>1280</v>
      </c>
      <c r="AH19" s="181"/>
      <c r="AI19" s="181"/>
      <c r="AJ19" s="181"/>
      <c r="AK19" s="181"/>
      <c r="AL19" s="181"/>
      <c r="AM19" s="181"/>
      <c r="AN19" s="181"/>
      <c r="AO19" s="181"/>
      <c r="AP19" s="182"/>
      <c r="AQ19" s="17"/>
      <c r="AR19" s="17"/>
      <c r="AS19" s="17"/>
      <c r="AT19" s="17"/>
      <c r="AU19" s="17"/>
      <c r="AV19" s="17"/>
      <c r="AW19" s="17"/>
    </row>
    <row r="20" spans="1:49" ht="30" customHeight="1" x14ac:dyDescent="0.3">
      <c r="A20" s="17"/>
      <c r="B20" s="17"/>
      <c r="C20" s="17"/>
      <c r="D20" s="17"/>
      <c r="E20" s="17"/>
      <c r="F20" s="17"/>
      <c r="G20" s="17"/>
      <c r="H20" s="186" t="s">
        <v>1140</v>
      </c>
      <c r="I20" s="186"/>
      <c r="J20" s="186"/>
      <c r="K20" s="186"/>
      <c r="L20" s="186"/>
      <c r="M20" s="186"/>
      <c r="N20" s="186"/>
      <c r="O20" s="186"/>
      <c r="P20" s="186" t="s">
        <v>1131</v>
      </c>
      <c r="Q20" s="186"/>
      <c r="R20" s="186"/>
      <c r="S20" s="186"/>
      <c r="T20" s="186"/>
      <c r="U20" s="186"/>
      <c r="V20" s="186"/>
      <c r="W20" s="186"/>
      <c r="X20" s="186" t="s">
        <v>1132</v>
      </c>
      <c r="Y20" s="186"/>
      <c r="Z20" s="186"/>
      <c r="AA20" s="186"/>
      <c r="AB20" s="186"/>
      <c r="AC20" s="186"/>
      <c r="AD20" s="186"/>
      <c r="AE20" s="186"/>
      <c r="AF20" s="17"/>
      <c r="AG20" s="229" t="s">
        <v>1295</v>
      </c>
      <c r="AH20" s="184"/>
      <c r="AI20" s="184"/>
      <c r="AJ20" s="184"/>
      <c r="AK20" s="184"/>
      <c r="AL20" s="184"/>
      <c r="AM20" s="184"/>
      <c r="AN20" s="184"/>
      <c r="AO20" s="184"/>
      <c r="AP20" s="185"/>
      <c r="AQ20" s="17"/>
      <c r="AR20" s="17"/>
      <c r="AS20" s="17"/>
      <c r="AT20" s="17"/>
      <c r="AU20" s="17"/>
      <c r="AV20" s="17"/>
      <c r="AW20" s="17"/>
    </row>
    <row r="21" spans="1:49" ht="30" customHeight="1" x14ac:dyDescent="0.3">
      <c r="A21" s="17"/>
      <c r="B21" s="17"/>
      <c r="C21" s="17"/>
      <c r="D21" s="17"/>
      <c r="E21" s="17"/>
      <c r="F21" s="17"/>
      <c r="G21" s="17"/>
      <c r="H21" s="189" t="s">
        <v>1141</v>
      </c>
      <c r="I21" s="189"/>
      <c r="J21" s="189"/>
      <c r="K21" s="189"/>
      <c r="L21" s="189"/>
      <c r="M21" s="189"/>
      <c r="N21" s="189"/>
      <c r="O21" s="189"/>
      <c r="P21" s="190" t="s">
        <v>1142</v>
      </c>
      <c r="Q21" s="190"/>
      <c r="R21" s="190"/>
      <c r="S21" s="190"/>
      <c r="T21" s="190"/>
      <c r="U21" s="190"/>
      <c r="V21" s="190"/>
      <c r="W21" s="190"/>
      <c r="X21" s="190" t="s">
        <v>1143</v>
      </c>
      <c r="Y21" s="190"/>
      <c r="Z21" s="190"/>
      <c r="AA21" s="190"/>
      <c r="AB21" s="190"/>
      <c r="AC21" s="190"/>
      <c r="AD21" s="190"/>
      <c r="AE21" s="190"/>
      <c r="AF21" s="17"/>
      <c r="AG21" s="226"/>
      <c r="AH21" s="230"/>
      <c r="AI21" s="230"/>
      <c r="AJ21" s="230"/>
      <c r="AK21" s="230"/>
      <c r="AL21" s="230"/>
      <c r="AM21" s="230"/>
      <c r="AN21" s="230"/>
      <c r="AO21" s="230"/>
      <c r="AP21" s="228"/>
      <c r="AQ21" s="17"/>
      <c r="AR21" s="17"/>
      <c r="AS21" s="17"/>
      <c r="AT21" s="17"/>
      <c r="AU21" s="17"/>
      <c r="AV21" s="17"/>
      <c r="AW21" s="17"/>
    </row>
    <row r="22" spans="1:49" ht="30" customHeight="1" x14ac:dyDescent="0.3">
      <c r="A22" s="17"/>
      <c r="B22" s="17"/>
      <c r="C22" s="17"/>
      <c r="D22" s="17"/>
      <c r="E22" s="17"/>
      <c r="F22" s="17"/>
      <c r="G22" s="17"/>
      <c r="H22" s="189"/>
      <c r="I22" s="189"/>
      <c r="J22" s="189"/>
      <c r="K22" s="189"/>
      <c r="L22" s="189"/>
      <c r="M22" s="189"/>
      <c r="N22" s="189"/>
      <c r="O22" s="189"/>
      <c r="P22" s="190"/>
      <c r="Q22" s="190"/>
      <c r="R22" s="190"/>
      <c r="S22" s="190"/>
      <c r="T22" s="190"/>
      <c r="U22" s="190"/>
      <c r="V22" s="190"/>
      <c r="W22" s="190"/>
      <c r="X22" s="190"/>
      <c r="Y22" s="190"/>
      <c r="Z22" s="190"/>
      <c r="AA22" s="190"/>
      <c r="AB22" s="190"/>
      <c r="AC22" s="190"/>
      <c r="AD22" s="190"/>
      <c r="AE22" s="190"/>
      <c r="AF22" s="17"/>
      <c r="AG22" s="177" t="s">
        <v>1288</v>
      </c>
      <c r="AH22" s="178"/>
      <c r="AI22" s="178"/>
      <c r="AJ22" s="178"/>
      <c r="AK22" s="178"/>
      <c r="AL22" s="178"/>
      <c r="AM22" s="178"/>
      <c r="AN22" s="178"/>
      <c r="AO22" s="178"/>
      <c r="AP22" s="179"/>
      <c r="AQ22" s="17"/>
      <c r="AR22" s="17"/>
      <c r="AS22" s="17"/>
      <c r="AT22" s="17"/>
      <c r="AU22" s="17"/>
      <c r="AV22" s="17"/>
      <c r="AW22" s="17"/>
    </row>
    <row r="23" spans="1:49" ht="30" customHeight="1" x14ac:dyDescent="0.3">
      <c r="A23" s="17"/>
      <c r="B23" s="17"/>
      <c r="C23" s="17"/>
      <c r="D23" s="17"/>
      <c r="E23" s="17"/>
      <c r="F23" s="17"/>
      <c r="G23" s="17"/>
      <c r="H23" s="189"/>
      <c r="I23" s="189"/>
      <c r="J23" s="189"/>
      <c r="K23" s="189"/>
      <c r="L23" s="189"/>
      <c r="M23" s="189"/>
      <c r="N23" s="189"/>
      <c r="O23" s="189"/>
      <c r="P23" s="190"/>
      <c r="Q23" s="190"/>
      <c r="R23" s="190"/>
      <c r="S23" s="190"/>
      <c r="T23" s="190"/>
      <c r="U23" s="190"/>
      <c r="V23" s="190"/>
      <c r="W23" s="190"/>
      <c r="X23" s="190"/>
      <c r="Y23" s="190"/>
      <c r="Z23" s="190"/>
      <c r="AA23" s="190"/>
      <c r="AB23" s="190"/>
      <c r="AC23" s="190"/>
      <c r="AD23" s="190"/>
      <c r="AE23" s="190"/>
      <c r="AF23" s="17"/>
      <c r="AG23" s="174" t="s">
        <v>1289</v>
      </c>
      <c r="AH23" s="175"/>
      <c r="AI23" s="175"/>
      <c r="AJ23" s="175"/>
      <c r="AK23" s="175"/>
      <c r="AL23" s="175"/>
      <c r="AM23" s="175"/>
      <c r="AN23" s="175"/>
      <c r="AO23" s="175"/>
      <c r="AP23" s="176"/>
      <c r="AQ23" s="17"/>
      <c r="AR23" s="17"/>
      <c r="AS23" s="17"/>
      <c r="AT23" s="17"/>
      <c r="AU23" s="17"/>
      <c r="AV23" s="17"/>
      <c r="AW23" s="17"/>
    </row>
    <row r="24" spans="1:49" ht="30" customHeight="1" x14ac:dyDescent="0.3">
      <c r="A24" s="17"/>
      <c r="B24" s="17"/>
      <c r="C24" s="17"/>
      <c r="D24" s="17"/>
      <c r="E24" s="17"/>
      <c r="F24" s="17"/>
      <c r="G24" s="17"/>
      <c r="H24" s="187" t="s">
        <v>1144</v>
      </c>
      <c r="I24" s="187"/>
      <c r="J24" s="187"/>
      <c r="K24" s="187"/>
      <c r="L24" s="187"/>
      <c r="M24" s="187"/>
      <c r="N24" s="187"/>
      <c r="O24" s="187"/>
      <c r="P24" s="188" t="s">
        <v>1145</v>
      </c>
      <c r="Q24" s="188"/>
      <c r="R24" s="188"/>
      <c r="S24" s="188"/>
      <c r="T24" s="188"/>
      <c r="U24" s="188"/>
      <c r="V24" s="188"/>
      <c r="W24" s="188"/>
      <c r="X24" s="188"/>
      <c r="Y24" s="188"/>
      <c r="Z24" s="188"/>
      <c r="AA24" s="188"/>
      <c r="AB24" s="188"/>
      <c r="AC24" s="188"/>
      <c r="AD24" s="188"/>
      <c r="AE24" s="188"/>
      <c r="AF24" s="17"/>
      <c r="AG24" s="223" t="s">
        <v>1291</v>
      </c>
      <c r="AH24" s="224"/>
      <c r="AI24" s="224"/>
      <c r="AJ24" s="224"/>
      <c r="AK24" s="224"/>
      <c r="AL24" s="224"/>
      <c r="AM24" s="224"/>
      <c r="AN24" s="224"/>
      <c r="AO24" s="224"/>
      <c r="AP24" s="225"/>
      <c r="AQ24" s="17"/>
      <c r="AR24" s="17"/>
      <c r="AS24" s="17"/>
      <c r="AT24" s="17"/>
      <c r="AU24" s="17"/>
      <c r="AV24" s="17"/>
      <c r="AW24" s="17"/>
    </row>
    <row r="25" spans="1:49" ht="30" customHeight="1" x14ac:dyDescent="0.3">
      <c r="A25" s="17"/>
      <c r="B25" s="17"/>
      <c r="C25" s="17"/>
      <c r="D25" s="17"/>
      <c r="E25" s="17"/>
      <c r="F25" s="17"/>
      <c r="G25" s="17"/>
      <c r="H25" s="187"/>
      <c r="I25" s="187"/>
      <c r="J25" s="187"/>
      <c r="K25" s="187"/>
      <c r="L25" s="187"/>
      <c r="M25" s="187"/>
      <c r="N25" s="187"/>
      <c r="O25" s="187"/>
      <c r="P25" s="188"/>
      <c r="Q25" s="188"/>
      <c r="R25" s="188"/>
      <c r="S25" s="188"/>
      <c r="T25" s="188"/>
      <c r="U25" s="188"/>
      <c r="V25" s="188"/>
      <c r="W25" s="188"/>
      <c r="X25" s="188"/>
      <c r="Y25" s="188"/>
      <c r="Z25" s="188"/>
      <c r="AA25" s="188"/>
      <c r="AB25" s="188"/>
      <c r="AC25" s="188"/>
      <c r="AD25" s="188"/>
      <c r="AE25" s="188"/>
      <c r="AF25" s="17"/>
      <c r="AG25" s="180"/>
      <c r="AH25" s="181"/>
      <c r="AI25" s="181"/>
      <c r="AJ25" s="181"/>
      <c r="AK25" s="181"/>
      <c r="AL25" s="181"/>
      <c r="AM25" s="181"/>
      <c r="AN25" s="181"/>
      <c r="AO25" s="181"/>
      <c r="AP25" s="182"/>
      <c r="AQ25" s="17"/>
      <c r="AR25" s="17"/>
      <c r="AS25" s="17"/>
      <c r="AT25" s="17"/>
      <c r="AU25" s="17"/>
      <c r="AV25" s="17"/>
      <c r="AW25" s="17"/>
    </row>
    <row r="26" spans="1:49" ht="30" customHeight="1" x14ac:dyDescent="0.3">
      <c r="A26" s="17"/>
      <c r="B26" s="17"/>
      <c r="C26" s="17"/>
      <c r="D26" s="17"/>
      <c r="E26" s="17"/>
      <c r="F26" s="17"/>
      <c r="G26" s="17"/>
      <c r="H26" s="187"/>
      <c r="I26" s="187"/>
      <c r="J26" s="187"/>
      <c r="K26" s="187"/>
      <c r="L26" s="187"/>
      <c r="M26" s="187"/>
      <c r="N26" s="187"/>
      <c r="O26" s="187"/>
      <c r="P26" s="188"/>
      <c r="Q26" s="188"/>
      <c r="R26" s="188"/>
      <c r="S26" s="188"/>
      <c r="T26" s="188"/>
      <c r="U26" s="188"/>
      <c r="V26" s="188"/>
      <c r="W26" s="188"/>
      <c r="X26" s="188"/>
      <c r="Y26" s="188"/>
      <c r="Z26" s="188"/>
      <c r="AA26" s="188"/>
      <c r="AB26" s="188"/>
      <c r="AC26" s="188"/>
      <c r="AD26" s="188"/>
      <c r="AE26" s="188"/>
      <c r="AF26" s="17"/>
      <c r="AG26" s="226" t="s">
        <v>1290</v>
      </c>
      <c r="AH26" s="227"/>
      <c r="AI26" s="227"/>
      <c r="AJ26" s="227"/>
      <c r="AK26" s="227"/>
      <c r="AL26" s="227"/>
      <c r="AM26" s="227"/>
      <c r="AN26" s="227"/>
      <c r="AO26" s="227"/>
      <c r="AP26" s="228"/>
      <c r="AQ26" s="17"/>
      <c r="AR26" s="17"/>
      <c r="AS26" s="17"/>
      <c r="AT26" s="17"/>
      <c r="AU26" s="17"/>
      <c r="AV26" s="17"/>
      <c r="AW26" s="17"/>
    </row>
    <row r="27" spans="1:49" ht="30" customHeight="1" x14ac:dyDescent="0.3">
      <c r="A27" s="17"/>
      <c r="B27" s="17"/>
      <c r="C27" s="17"/>
      <c r="D27" s="17"/>
      <c r="E27" s="17"/>
      <c r="F27" s="17"/>
      <c r="G27" s="17"/>
      <c r="H27" s="189" t="s">
        <v>1146</v>
      </c>
      <c r="I27" s="189"/>
      <c r="J27" s="189"/>
      <c r="K27" s="189"/>
      <c r="L27" s="189"/>
      <c r="M27" s="189"/>
      <c r="N27" s="189"/>
      <c r="O27" s="189"/>
      <c r="P27" s="190" t="s">
        <v>1147</v>
      </c>
      <c r="Q27" s="190"/>
      <c r="R27" s="190"/>
      <c r="S27" s="190"/>
      <c r="T27" s="190"/>
      <c r="U27" s="190"/>
      <c r="V27" s="190"/>
      <c r="W27" s="190"/>
      <c r="X27" s="190"/>
      <c r="Y27" s="190"/>
      <c r="Z27" s="190"/>
      <c r="AA27" s="190"/>
      <c r="AB27" s="190"/>
      <c r="AC27" s="190"/>
      <c r="AD27" s="190"/>
      <c r="AE27" s="190"/>
      <c r="AF27" s="17"/>
      <c r="AG27" s="220" t="s">
        <v>1292</v>
      </c>
      <c r="AH27" s="221"/>
      <c r="AI27" s="221"/>
      <c r="AJ27" s="221"/>
      <c r="AK27" s="221"/>
      <c r="AL27" s="221"/>
      <c r="AM27" s="221"/>
      <c r="AN27" s="221"/>
      <c r="AO27" s="221"/>
      <c r="AP27" s="222"/>
      <c r="AQ27" s="17"/>
      <c r="AR27" s="17"/>
      <c r="AS27" s="17"/>
      <c r="AT27" s="17"/>
      <c r="AU27" s="17"/>
      <c r="AV27" s="17"/>
      <c r="AW27" s="17"/>
    </row>
    <row r="28" spans="1:49" ht="30" customHeight="1" x14ac:dyDescent="0.3">
      <c r="A28" s="17"/>
      <c r="B28" s="17"/>
      <c r="C28" s="17"/>
      <c r="D28" s="17"/>
      <c r="E28" s="17"/>
      <c r="F28" s="17"/>
      <c r="G28" s="17"/>
      <c r="H28" s="189"/>
      <c r="I28" s="189"/>
      <c r="J28" s="189"/>
      <c r="K28" s="189"/>
      <c r="L28" s="189"/>
      <c r="M28" s="189"/>
      <c r="N28" s="189"/>
      <c r="O28" s="189"/>
      <c r="P28" s="190"/>
      <c r="Q28" s="190"/>
      <c r="R28" s="190"/>
      <c r="S28" s="190"/>
      <c r="T28" s="190"/>
      <c r="U28" s="190"/>
      <c r="V28" s="190"/>
      <c r="W28" s="190"/>
      <c r="X28" s="190"/>
      <c r="Y28" s="190"/>
      <c r="Z28" s="190"/>
      <c r="AA28" s="190"/>
      <c r="AB28" s="190"/>
      <c r="AC28" s="190"/>
      <c r="AD28" s="190"/>
      <c r="AE28" s="190"/>
      <c r="AF28" s="17"/>
      <c r="AG28" s="177"/>
      <c r="AH28" s="178"/>
      <c r="AI28" s="178"/>
      <c r="AJ28" s="178"/>
      <c r="AK28" s="178"/>
      <c r="AL28" s="178"/>
      <c r="AM28" s="178"/>
      <c r="AN28" s="178"/>
      <c r="AO28" s="178"/>
      <c r="AP28" s="179"/>
      <c r="AQ28" s="17"/>
      <c r="AR28" s="17"/>
      <c r="AS28" s="17"/>
      <c r="AT28" s="17"/>
      <c r="AU28" s="17"/>
      <c r="AV28" s="17"/>
      <c r="AW28" s="17"/>
    </row>
    <row r="29" spans="1:49" ht="30" customHeight="1" x14ac:dyDescent="0.3">
      <c r="A29" s="17"/>
      <c r="B29" s="17"/>
      <c r="C29" s="17"/>
      <c r="D29" s="17"/>
      <c r="E29" s="17"/>
      <c r="F29" s="17"/>
      <c r="G29" s="17"/>
      <c r="H29" s="189"/>
      <c r="I29" s="189"/>
      <c r="J29" s="189"/>
      <c r="K29" s="189"/>
      <c r="L29" s="189"/>
      <c r="M29" s="189"/>
      <c r="N29" s="189"/>
      <c r="O29" s="189"/>
      <c r="P29" s="190"/>
      <c r="Q29" s="190"/>
      <c r="R29" s="190"/>
      <c r="S29" s="190"/>
      <c r="T29" s="190"/>
      <c r="U29" s="190"/>
      <c r="V29" s="190"/>
      <c r="W29" s="190"/>
      <c r="X29" s="190"/>
      <c r="Y29" s="190"/>
      <c r="Z29" s="190"/>
      <c r="AA29" s="190"/>
      <c r="AB29" s="190"/>
      <c r="AC29" s="190"/>
      <c r="AD29" s="190"/>
      <c r="AE29" s="190"/>
      <c r="AF29" s="17"/>
      <c r="AG29" s="17"/>
      <c r="AH29" s="17"/>
      <c r="AI29" s="17"/>
      <c r="AJ29" s="17"/>
      <c r="AK29" s="17"/>
      <c r="AL29" s="17"/>
      <c r="AM29" s="17"/>
      <c r="AN29" s="17"/>
      <c r="AO29" s="17"/>
      <c r="AP29" s="17"/>
      <c r="AQ29" s="17"/>
      <c r="AR29" s="17"/>
      <c r="AS29" s="17"/>
      <c r="AT29" s="17"/>
      <c r="AU29" s="17"/>
      <c r="AV29" s="17"/>
      <c r="AW29" s="17"/>
    </row>
    <row r="30" spans="1:49" ht="30" customHeight="1" x14ac:dyDescent="0.3">
      <c r="A30" s="17"/>
      <c r="B30" s="17"/>
      <c r="C30" s="17"/>
      <c r="D30" s="17"/>
      <c r="E30" s="17"/>
      <c r="F30" s="17"/>
      <c r="G30" s="17"/>
      <c r="H30" s="189"/>
      <c r="I30" s="189"/>
      <c r="J30" s="189"/>
      <c r="K30" s="189"/>
      <c r="L30" s="189"/>
      <c r="M30" s="189"/>
      <c r="N30" s="189"/>
      <c r="O30" s="189"/>
      <c r="P30" s="190"/>
      <c r="Q30" s="190"/>
      <c r="R30" s="190"/>
      <c r="S30" s="190"/>
      <c r="T30" s="190"/>
      <c r="U30" s="190"/>
      <c r="V30" s="190"/>
      <c r="W30" s="190"/>
      <c r="X30" s="190"/>
      <c r="Y30" s="190"/>
      <c r="Z30" s="190"/>
      <c r="AA30" s="190"/>
      <c r="AB30" s="190"/>
      <c r="AC30" s="190"/>
      <c r="AD30" s="190"/>
      <c r="AE30" s="190"/>
      <c r="AF30" s="17"/>
      <c r="AG30" s="17"/>
      <c r="AH30" s="17"/>
      <c r="AI30" s="17"/>
      <c r="AJ30" s="17"/>
      <c r="AK30" s="17"/>
      <c r="AL30" s="17"/>
      <c r="AM30" s="17"/>
      <c r="AN30" s="17"/>
      <c r="AO30" s="17"/>
      <c r="AP30" s="17"/>
      <c r="AQ30" s="17"/>
      <c r="AR30" s="17"/>
      <c r="AS30" s="17"/>
      <c r="AT30" s="17"/>
      <c r="AU30" s="17"/>
      <c r="AV30" s="17"/>
      <c r="AW30" s="17"/>
    </row>
    <row r="31" spans="1:49" ht="30" customHeight="1" x14ac:dyDescent="0.3">
      <c r="A31" s="17"/>
      <c r="B31" s="17"/>
      <c r="C31" s="17"/>
      <c r="D31" s="17"/>
      <c r="E31" s="17"/>
      <c r="F31" s="17"/>
      <c r="G31" s="17"/>
      <c r="H31" s="187" t="s">
        <v>1148</v>
      </c>
      <c r="I31" s="187"/>
      <c r="J31" s="187"/>
      <c r="K31" s="187"/>
      <c r="L31" s="187"/>
      <c r="M31" s="187"/>
      <c r="N31" s="187"/>
      <c r="O31" s="187"/>
      <c r="P31" s="188" t="s">
        <v>1149</v>
      </c>
      <c r="Q31" s="188"/>
      <c r="R31" s="188"/>
      <c r="S31" s="188"/>
      <c r="T31" s="188"/>
      <c r="U31" s="188"/>
      <c r="V31" s="188"/>
      <c r="W31" s="188"/>
      <c r="X31" s="188"/>
      <c r="Y31" s="188"/>
      <c r="Z31" s="188"/>
      <c r="AA31" s="188"/>
      <c r="AB31" s="188"/>
      <c r="AC31" s="188"/>
      <c r="AD31" s="188"/>
      <c r="AE31" s="188"/>
      <c r="AF31" s="17"/>
      <c r="AG31" s="199" t="s">
        <v>1210</v>
      </c>
      <c r="AH31" s="200"/>
      <c r="AI31" s="200"/>
      <c r="AJ31" s="200"/>
      <c r="AK31" s="200"/>
      <c r="AL31" s="200"/>
      <c r="AM31" s="200"/>
      <c r="AN31" s="200"/>
      <c r="AO31" s="200"/>
      <c r="AP31" s="201"/>
      <c r="AQ31" s="17"/>
      <c r="AR31" s="17"/>
      <c r="AS31" s="17"/>
      <c r="AT31" s="17"/>
      <c r="AU31" s="17"/>
      <c r="AV31" s="17"/>
      <c r="AW31" s="17"/>
    </row>
    <row r="32" spans="1:49" ht="30" customHeight="1" x14ac:dyDescent="0.3">
      <c r="A32" s="17"/>
      <c r="B32" s="17"/>
      <c r="C32" s="17"/>
      <c r="D32" s="17"/>
      <c r="E32" s="17"/>
      <c r="F32" s="17"/>
      <c r="G32" s="17"/>
      <c r="H32" s="187"/>
      <c r="I32" s="187"/>
      <c r="J32" s="187"/>
      <c r="K32" s="187"/>
      <c r="L32" s="187"/>
      <c r="M32" s="187"/>
      <c r="N32" s="187"/>
      <c r="O32" s="187"/>
      <c r="P32" s="188"/>
      <c r="Q32" s="188"/>
      <c r="R32" s="188"/>
      <c r="S32" s="188"/>
      <c r="T32" s="188"/>
      <c r="U32" s="188"/>
      <c r="V32" s="188"/>
      <c r="W32" s="188"/>
      <c r="X32" s="188"/>
      <c r="Y32" s="188"/>
      <c r="Z32" s="188"/>
      <c r="AA32" s="188"/>
      <c r="AB32" s="188"/>
      <c r="AC32" s="188"/>
      <c r="AD32" s="188"/>
      <c r="AE32" s="188"/>
      <c r="AF32" s="17"/>
      <c r="AG32" s="206" t="s">
        <v>1211</v>
      </c>
      <c r="AH32" s="206"/>
      <c r="AI32" s="207" t="s">
        <v>1212</v>
      </c>
      <c r="AJ32" s="206"/>
      <c r="AK32" s="206"/>
      <c r="AL32" s="206"/>
      <c r="AM32" s="206"/>
      <c r="AN32" s="206"/>
      <c r="AO32" s="206"/>
      <c r="AP32" s="206"/>
      <c r="AQ32" s="17"/>
      <c r="AR32" s="17"/>
      <c r="AS32" s="17"/>
      <c r="AT32" s="17"/>
      <c r="AU32" s="17"/>
      <c r="AV32" s="17"/>
      <c r="AW32" s="17"/>
    </row>
    <row r="33" spans="1:49" ht="30" customHeight="1" x14ac:dyDescent="0.3">
      <c r="A33" s="17"/>
      <c r="B33" s="17"/>
      <c r="C33" s="17"/>
      <c r="D33" s="17"/>
      <c r="E33" s="17"/>
      <c r="F33" s="17"/>
      <c r="G33" s="17"/>
      <c r="H33" s="187"/>
      <c r="I33" s="187"/>
      <c r="J33" s="187"/>
      <c r="K33" s="187"/>
      <c r="L33" s="187"/>
      <c r="M33" s="187"/>
      <c r="N33" s="187"/>
      <c r="O33" s="187"/>
      <c r="P33" s="188"/>
      <c r="Q33" s="188"/>
      <c r="R33" s="188"/>
      <c r="S33" s="188"/>
      <c r="T33" s="188"/>
      <c r="U33" s="188"/>
      <c r="V33" s="188"/>
      <c r="W33" s="188"/>
      <c r="X33" s="188"/>
      <c r="Y33" s="188"/>
      <c r="Z33" s="188"/>
      <c r="AA33" s="188"/>
      <c r="AB33" s="188"/>
      <c r="AC33" s="188"/>
      <c r="AD33" s="188"/>
      <c r="AE33" s="188"/>
      <c r="AF33" s="17"/>
      <c r="AG33" s="208" t="s">
        <v>1213</v>
      </c>
      <c r="AH33" s="209"/>
      <c r="AI33" s="210" t="s">
        <v>1214</v>
      </c>
      <c r="AJ33" s="210"/>
      <c r="AK33" s="210"/>
      <c r="AL33" s="210"/>
      <c r="AM33" s="210"/>
      <c r="AN33" s="210"/>
      <c r="AO33" s="210"/>
      <c r="AP33" s="211"/>
      <c r="AQ33" s="17"/>
      <c r="AR33" s="17"/>
      <c r="AS33" s="17"/>
      <c r="AT33" s="17"/>
      <c r="AU33" s="17"/>
      <c r="AV33" s="17"/>
      <c r="AW33" s="17"/>
    </row>
    <row r="34" spans="1:49" ht="30" customHeight="1" x14ac:dyDescent="0.3">
      <c r="A34" s="17"/>
      <c r="B34" s="17"/>
      <c r="C34" s="17"/>
      <c r="D34" s="17"/>
      <c r="E34" s="17"/>
      <c r="F34" s="17"/>
      <c r="G34" s="17"/>
      <c r="H34" s="189" t="s">
        <v>1150</v>
      </c>
      <c r="I34" s="189"/>
      <c r="J34" s="189"/>
      <c r="K34" s="189"/>
      <c r="L34" s="189"/>
      <c r="M34" s="189"/>
      <c r="N34" s="189"/>
      <c r="O34" s="189"/>
      <c r="P34" s="190" t="s">
        <v>1151</v>
      </c>
      <c r="Q34" s="190"/>
      <c r="R34" s="190"/>
      <c r="S34" s="190"/>
      <c r="T34" s="190"/>
      <c r="U34" s="190"/>
      <c r="V34" s="190"/>
      <c r="W34" s="190"/>
      <c r="X34" s="190"/>
      <c r="Y34" s="190"/>
      <c r="Z34" s="190"/>
      <c r="AA34" s="190"/>
      <c r="AB34" s="190"/>
      <c r="AC34" s="190"/>
      <c r="AD34" s="190"/>
      <c r="AE34" s="190"/>
      <c r="AF34" s="17"/>
      <c r="AG34" s="204" t="s">
        <v>1215</v>
      </c>
      <c r="AH34" s="205"/>
      <c r="AI34" s="212" t="s">
        <v>1216</v>
      </c>
      <c r="AJ34" s="212"/>
      <c r="AK34" s="212"/>
      <c r="AL34" s="212"/>
      <c r="AM34" s="212"/>
      <c r="AN34" s="212"/>
      <c r="AO34" s="212"/>
      <c r="AP34" s="213"/>
      <c r="AQ34" s="17"/>
      <c r="AR34" s="17"/>
      <c r="AS34" s="17"/>
      <c r="AT34" s="17"/>
      <c r="AU34" s="17"/>
      <c r="AV34" s="17"/>
      <c r="AW34" s="17"/>
    </row>
    <row r="35" spans="1:49" ht="30" customHeight="1" x14ac:dyDescent="0.3">
      <c r="A35" s="17"/>
      <c r="B35" s="17"/>
      <c r="C35" s="17"/>
      <c r="D35" s="17"/>
      <c r="E35" s="17"/>
      <c r="F35" s="17"/>
      <c r="G35" s="17"/>
      <c r="H35" s="189"/>
      <c r="I35" s="189"/>
      <c r="J35" s="189"/>
      <c r="K35" s="189"/>
      <c r="L35" s="189"/>
      <c r="M35" s="189"/>
      <c r="N35" s="189"/>
      <c r="O35" s="189"/>
      <c r="P35" s="190"/>
      <c r="Q35" s="190"/>
      <c r="R35" s="190"/>
      <c r="S35" s="190"/>
      <c r="T35" s="190"/>
      <c r="U35" s="190"/>
      <c r="V35" s="190"/>
      <c r="W35" s="190"/>
      <c r="X35" s="190"/>
      <c r="Y35" s="190"/>
      <c r="Z35" s="190"/>
      <c r="AA35" s="190"/>
      <c r="AB35" s="190"/>
      <c r="AC35" s="190"/>
      <c r="AD35" s="190"/>
      <c r="AE35" s="190"/>
      <c r="AF35" s="17"/>
      <c r="AG35" s="202" t="s">
        <v>1217</v>
      </c>
      <c r="AH35" s="203"/>
      <c r="AI35" s="218" t="s">
        <v>1218</v>
      </c>
      <c r="AJ35" s="218"/>
      <c r="AK35" s="218"/>
      <c r="AL35" s="218"/>
      <c r="AM35" s="218"/>
      <c r="AN35" s="218"/>
      <c r="AO35" s="218"/>
      <c r="AP35" s="219"/>
      <c r="AQ35" s="17"/>
      <c r="AR35" s="17"/>
      <c r="AS35" s="17"/>
      <c r="AT35" s="17"/>
      <c r="AU35" s="17"/>
      <c r="AV35" s="17"/>
      <c r="AW35" s="17"/>
    </row>
    <row r="36" spans="1:49" ht="30" customHeight="1" x14ac:dyDescent="0.3">
      <c r="A36" s="17"/>
      <c r="B36" s="17"/>
      <c r="C36" s="17"/>
      <c r="D36" s="17"/>
      <c r="E36" s="17"/>
      <c r="F36" s="17"/>
      <c r="G36" s="17"/>
      <c r="H36" s="187" t="s">
        <v>1015</v>
      </c>
      <c r="I36" s="187"/>
      <c r="J36" s="187"/>
      <c r="K36" s="187"/>
      <c r="L36" s="187"/>
      <c r="M36" s="187"/>
      <c r="N36" s="187"/>
      <c r="O36" s="187"/>
      <c r="P36" s="188" t="s">
        <v>1152</v>
      </c>
      <c r="Q36" s="188"/>
      <c r="R36" s="188"/>
      <c r="S36" s="188"/>
      <c r="T36" s="188"/>
      <c r="U36" s="188"/>
      <c r="V36" s="188"/>
      <c r="W36" s="188"/>
      <c r="X36" s="188" t="s">
        <v>1143</v>
      </c>
      <c r="Y36" s="188"/>
      <c r="Z36" s="188"/>
      <c r="AA36" s="188"/>
      <c r="AB36" s="188"/>
      <c r="AC36" s="188"/>
      <c r="AD36" s="188"/>
      <c r="AE36" s="188"/>
      <c r="AF36" s="17"/>
      <c r="AG36" s="204" t="s">
        <v>1219</v>
      </c>
      <c r="AH36" s="205"/>
      <c r="AI36" s="212" t="s">
        <v>1220</v>
      </c>
      <c r="AJ36" s="212"/>
      <c r="AK36" s="212"/>
      <c r="AL36" s="212"/>
      <c r="AM36" s="212"/>
      <c r="AN36" s="212"/>
      <c r="AO36" s="212"/>
      <c r="AP36" s="213"/>
      <c r="AQ36" s="17"/>
      <c r="AR36" s="17"/>
      <c r="AS36" s="17"/>
      <c r="AT36" s="17"/>
      <c r="AU36" s="17"/>
      <c r="AV36" s="17"/>
      <c r="AW36" s="17"/>
    </row>
    <row r="37" spans="1:49" ht="30" customHeight="1" x14ac:dyDescent="0.3">
      <c r="A37" s="17"/>
      <c r="B37" s="17"/>
      <c r="C37" s="17"/>
      <c r="D37" s="17"/>
      <c r="E37" s="17"/>
      <c r="F37" s="17"/>
      <c r="G37" s="17"/>
      <c r="H37" s="187"/>
      <c r="I37" s="187"/>
      <c r="J37" s="187"/>
      <c r="K37" s="187"/>
      <c r="L37" s="187"/>
      <c r="M37" s="187"/>
      <c r="N37" s="187"/>
      <c r="O37" s="187"/>
      <c r="P37" s="188"/>
      <c r="Q37" s="188"/>
      <c r="R37" s="188"/>
      <c r="S37" s="188"/>
      <c r="T37" s="188"/>
      <c r="U37" s="188"/>
      <c r="V37" s="188"/>
      <c r="W37" s="188"/>
      <c r="X37" s="188"/>
      <c r="Y37" s="188"/>
      <c r="Z37" s="188"/>
      <c r="AA37" s="188"/>
      <c r="AB37" s="188"/>
      <c r="AC37" s="188"/>
      <c r="AD37" s="188"/>
      <c r="AE37" s="188"/>
      <c r="AF37" s="17"/>
      <c r="AG37" s="202" t="s">
        <v>1221</v>
      </c>
      <c r="AH37" s="203"/>
      <c r="AI37" s="218" t="s">
        <v>1138</v>
      </c>
      <c r="AJ37" s="218"/>
      <c r="AK37" s="218"/>
      <c r="AL37" s="218"/>
      <c r="AM37" s="218"/>
      <c r="AN37" s="218"/>
      <c r="AO37" s="218"/>
      <c r="AP37" s="219"/>
      <c r="AQ37" s="17"/>
      <c r="AR37" s="17"/>
      <c r="AS37" s="17"/>
      <c r="AT37" s="17"/>
      <c r="AU37" s="17"/>
      <c r="AV37" s="17"/>
      <c r="AW37" s="17"/>
    </row>
    <row r="38" spans="1:49" ht="30" customHeight="1" x14ac:dyDescent="0.3">
      <c r="A38" s="17"/>
      <c r="B38" s="17"/>
      <c r="C38" s="17"/>
      <c r="D38" s="17"/>
      <c r="E38" s="17"/>
      <c r="F38" s="17"/>
      <c r="G38" s="17"/>
      <c r="H38" s="192" t="s">
        <v>1153</v>
      </c>
      <c r="I38" s="192"/>
      <c r="J38" s="192"/>
      <c r="K38" s="192"/>
      <c r="L38" s="192"/>
      <c r="M38" s="192"/>
      <c r="N38" s="192"/>
      <c r="O38" s="192"/>
      <c r="P38" s="190" t="s">
        <v>1154</v>
      </c>
      <c r="Q38" s="190"/>
      <c r="R38" s="190"/>
      <c r="S38" s="190"/>
      <c r="T38" s="190"/>
      <c r="U38" s="190"/>
      <c r="V38" s="190"/>
      <c r="W38" s="190"/>
      <c r="X38" s="190" t="s">
        <v>1155</v>
      </c>
      <c r="Y38" s="190"/>
      <c r="Z38" s="190"/>
      <c r="AA38" s="190"/>
      <c r="AB38" s="190"/>
      <c r="AC38" s="190"/>
      <c r="AD38" s="190"/>
      <c r="AE38" s="190"/>
      <c r="AF38" s="17"/>
      <c r="AG38" s="204" t="s">
        <v>1222</v>
      </c>
      <c r="AH38" s="205"/>
      <c r="AI38" s="212" t="s">
        <v>1223</v>
      </c>
      <c r="AJ38" s="212"/>
      <c r="AK38" s="212"/>
      <c r="AL38" s="212"/>
      <c r="AM38" s="212"/>
      <c r="AN38" s="212"/>
      <c r="AO38" s="212"/>
      <c r="AP38" s="213"/>
      <c r="AQ38" s="17"/>
      <c r="AR38" s="17"/>
      <c r="AS38" s="17"/>
      <c r="AT38" s="17"/>
      <c r="AU38" s="17"/>
      <c r="AV38" s="17"/>
      <c r="AW38" s="17"/>
    </row>
    <row r="39" spans="1:49" ht="30" customHeight="1" x14ac:dyDescent="0.3">
      <c r="A39" s="17"/>
      <c r="B39" s="17"/>
      <c r="C39" s="17"/>
      <c r="D39" s="17"/>
      <c r="E39" s="17"/>
      <c r="F39" s="17"/>
      <c r="G39" s="17"/>
      <c r="H39" s="192"/>
      <c r="I39" s="192"/>
      <c r="J39" s="192"/>
      <c r="K39" s="192"/>
      <c r="L39" s="192"/>
      <c r="M39" s="192"/>
      <c r="N39" s="192"/>
      <c r="O39" s="192"/>
      <c r="P39" s="190"/>
      <c r="Q39" s="190"/>
      <c r="R39" s="190"/>
      <c r="S39" s="190"/>
      <c r="T39" s="190"/>
      <c r="U39" s="190"/>
      <c r="V39" s="190"/>
      <c r="W39" s="190"/>
      <c r="X39" s="190"/>
      <c r="Y39" s="190"/>
      <c r="Z39" s="190"/>
      <c r="AA39" s="190"/>
      <c r="AB39" s="190"/>
      <c r="AC39" s="190"/>
      <c r="AD39" s="190"/>
      <c r="AE39" s="190"/>
      <c r="AF39" s="17"/>
      <c r="AG39" s="202" t="s">
        <v>1224</v>
      </c>
      <c r="AH39" s="203"/>
      <c r="AI39" s="218" t="s">
        <v>1225</v>
      </c>
      <c r="AJ39" s="218"/>
      <c r="AK39" s="218"/>
      <c r="AL39" s="218"/>
      <c r="AM39" s="218"/>
      <c r="AN39" s="218"/>
      <c r="AO39" s="218"/>
      <c r="AP39" s="219"/>
      <c r="AQ39" s="17"/>
      <c r="AR39" s="17"/>
      <c r="AS39" s="17"/>
      <c r="AT39" s="17"/>
      <c r="AU39" s="17"/>
      <c r="AV39" s="17"/>
      <c r="AW39" s="17"/>
    </row>
    <row r="40" spans="1:49" ht="30" customHeight="1" x14ac:dyDescent="0.3">
      <c r="A40" s="17"/>
      <c r="B40" s="17"/>
      <c r="C40" s="17"/>
      <c r="D40" s="17"/>
      <c r="E40" s="17"/>
      <c r="F40" s="17"/>
      <c r="G40" s="17"/>
      <c r="H40" s="192"/>
      <c r="I40" s="192"/>
      <c r="J40" s="192"/>
      <c r="K40" s="192"/>
      <c r="L40" s="192"/>
      <c r="M40" s="192"/>
      <c r="N40" s="192"/>
      <c r="O40" s="192"/>
      <c r="P40" s="190"/>
      <c r="Q40" s="190"/>
      <c r="R40" s="190"/>
      <c r="S40" s="190"/>
      <c r="T40" s="190"/>
      <c r="U40" s="190"/>
      <c r="V40" s="190"/>
      <c r="W40" s="190"/>
      <c r="X40" s="190"/>
      <c r="Y40" s="190"/>
      <c r="Z40" s="190"/>
      <c r="AA40" s="190"/>
      <c r="AB40" s="190"/>
      <c r="AC40" s="190"/>
      <c r="AD40" s="190"/>
      <c r="AE40" s="190"/>
      <c r="AF40" s="17"/>
      <c r="AG40" s="204" t="s">
        <v>1226</v>
      </c>
      <c r="AH40" s="205"/>
      <c r="AI40" s="212" t="s">
        <v>887</v>
      </c>
      <c r="AJ40" s="212"/>
      <c r="AK40" s="212"/>
      <c r="AL40" s="212"/>
      <c r="AM40" s="212"/>
      <c r="AN40" s="212"/>
      <c r="AO40" s="212"/>
      <c r="AP40" s="213"/>
      <c r="AQ40" s="17"/>
      <c r="AR40" s="17"/>
      <c r="AS40" s="17"/>
      <c r="AT40" s="17"/>
      <c r="AU40" s="17"/>
      <c r="AV40" s="17"/>
      <c r="AW40" s="17"/>
    </row>
    <row r="41" spans="1:49" ht="30" customHeight="1" x14ac:dyDescent="0.3">
      <c r="A41" s="17"/>
      <c r="B41" s="17"/>
      <c r="C41" s="17"/>
      <c r="D41" s="17"/>
      <c r="E41" s="17"/>
      <c r="F41" s="17"/>
      <c r="G41" s="17"/>
      <c r="H41" s="192"/>
      <c r="I41" s="192"/>
      <c r="J41" s="192"/>
      <c r="K41" s="192"/>
      <c r="L41" s="192"/>
      <c r="M41" s="192"/>
      <c r="N41" s="192"/>
      <c r="O41" s="192"/>
      <c r="P41" s="190"/>
      <c r="Q41" s="190"/>
      <c r="R41" s="190"/>
      <c r="S41" s="190"/>
      <c r="T41" s="190"/>
      <c r="U41" s="190"/>
      <c r="V41" s="190"/>
      <c r="W41" s="190"/>
      <c r="X41" s="190"/>
      <c r="Y41" s="190"/>
      <c r="Z41" s="190"/>
      <c r="AA41" s="190"/>
      <c r="AB41" s="190"/>
      <c r="AC41" s="190"/>
      <c r="AD41" s="190"/>
      <c r="AE41" s="190"/>
      <c r="AF41" s="17"/>
      <c r="AG41" s="202" t="s">
        <v>117</v>
      </c>
      <c r="AH41" s="203"/>
      <c r="AI41" s="218" t="s">
        <v>116</v>
      </c>
      <c r="AJ41" s="218"/>
      <c r="AK41" s="218"/>
      <c r="AL41" s="218"/>
      <c r="AM41" s="218"/>
      <c r="AN41" s="218"/>
      <c r="AO41" s="218"/>
      <c r="AP41" s="219"/>
      <c r="AQ41" s="17"/>
      <c r="AR41" s="17"/>
      <c r="AS41" s="17"/>
      <c r="AT41" s="17"/>
      <c r="AU41" s="17"/>
      <c r="AV41" s="17"/>
      <c r="AW41" s="17"/>
    </row>
    <row r="42" spans="1:49" ht="30" customHeight="1" x14ac:dyDescent="0.3">
      <c r="A42" s="17"/>
      <c r="B42" s="17"/>
      <c r="C42" s="17"/>
      <c r="D42" s="17"/>
      <c r="E42" s="17"/>
      <c r="F42" s="17"/>
      <c r="G42" s="17"/>
      <c r="H42" s="192"/>
      <c r="I42" s="192"/>
      <c r="J42" s="192"/>
      <c r="K42" s="192"/>
      <c r="L42" s="192"/>
      <c r="M42" s="192"/>
      <c r="N42" s="192"/>
      <c r="O42" s="192"/>
      <c r="P42" s="190"/>
      <c r="Q42" s="190"/>
      <c r="R42" s="190"/>
      <c r="S42" s="190"/>
      <c r="T42" s="190"/>
      <c r="U42" s="190"/>
      <c r="V42" s="190"/>
      <c r="W42" s="190"/>
      <c r="X42" s="190"/>
      <c r="Y42" s="190"/>
      <c r="Z42" s="190"/>
      <c r="AA42" s="190"/>
      <c r="AB42" s="190"/>
      <c r="AC42" s="190"/>
      <c r="AD42" s="190"/>
      <c r="AE42" s="190"/>
      <c r="AF42" s="17"/>
      <c r="AG42" s="204" t="s">
        <v>1227</v>
      </c>
      <c r="AH42" s="205"/>
      <c r="AI42" s="212" t="s">
        <v>1228</v>
      </c>
      <c r="AJ42" s="212"/>
      <c r="AK42" s="212"/>
      <c r="AL42" s="212"/>
      <c r="AM42" s="212"/>
      <c r="AN42" s="212"/>
      <c r="AO42" s="212"/>
      <c r="AP42" s="213"/>
      <c r="AQ42" s="17"/>
      <c r="AR42" s="17"/>
      <c r="AS42" s="17"/>
      <c r="AT42" s="17"/>
      <c r="AU42" s="17"/>
      <c r="AV42" s="17"/>
      <c r="AW42" s="17"/>
    </row>
    <row r="43" spans="1:49" ht="30" customHeight="1" x14ac:dyDescent="0.3">
      <c r="A43" s="17"/>
      <c r="B43" s="17"/>
      <c r="C43" s="17"/>
      <c r="D43" s="17"/>
      <c r="E43" s="17"/>
      <c r="F43" s="17"/>
      <c r="G43" s="17"/>
      <c r="H43" s="186" t="s">
        <v>1156</v>
      </c>
      <c r="I43" s="186"/>
      <c r="J43" s="186"/>
      <c r="K43" s="186"/>
      <c r="L43" s="186"/>
      <c r="M43" s="186"/>
      <c r="N43" s="186"/>
      <c r="O43" s="186"/>
      <c r="P43" s="186" t="s">
        <v>1131</v>
      </c>
      <c r="Q43" s="186"/>
      <c r="R43" s="186"/>
      <c r="S43" s="186"/>
      <c r="T43" s="186"/>
      <c r="U43" s="186"/>
      <c r="V43" s="186"/>
      <c r="W43" s="186"/>
      <c r="X43" s="186" t="s">
        <v>1132</v>
      </c>
      <c r="Y43" s="186"/>
      <c r="Z43" s="186"/>
      <c r="AA43" s="186"/>
      <c r="AB43" s="186"/>
      <c r="AC43" s="186"/>
      <c r="AD43" s="186"/>
      <c r="AE43" s="186"/>
      <c r="AF43" s="17"/>
      <c r="AG43" s="202" t="s">
        <v>1229</v>
      </c>
      <c r="AH43" s="203"/>
      <c r="AI43" s="218" t="s">
        <v>1203</v>
      </c>
      <c r="AJ43" s="218"/>
      <c r="AK43" s="218"/>
      <c r="AL43" s="218"/>
      <c r="AM43" s="218"/>
      <c r="AN43" s="218"/>
      <c r="AO43" s="218"/>
      <c r="AP43" s="219"/>
      <c r="AQ43" s="17"/>
      <c r="AR43" s="17"/>
      <c r="AS43" s="17"/>
      <c r="AT43" s="17"/>
      <c r="AU43" s="17"/>
      <c r="AV43" s="17"/>
      <c r="AW43" s="17"/>
    </row>
    <row r="44" spans="1:49" ht="30" customHeight="1" x14ac:dyDescent="0.3">
      <c r="A44" s="17"/>
      <c r="B44" s="17"/>
      <c r="C44" s="17"/>
      <c r="D44" s="17"/>
      <c r="E44" s="17"/>
      <c r="F44" s="17"/>
      <c r="G44" s="17"/>
      <c r="H44" s="187" t="s">
        <v>1157</v>
      </c>
      <c r="I44" s="187"/>
      <c r="J44" s="187"/>
      <c r="K44" s="187"/>
      <c r="L44" s="187"/>
      <c r="M44" s="187"/>
      <c r="N44" s="187"/>
      <c r="O44" s="187"/>
      <c r="P44" s="188" t="s">
        <v>1158</v>
      </c>
      <c r="Q44" s="188"/>
      <c r="R44" s="188"/>
      <c r="S44" s="188"/>
      <c r="T44" s="188"/>
      <c r="U44" s="188"/>
      <c r="V44" s="188"/>
      <c r="W44" s="188"/>
      <c r="X44" s="188" t="s">
        <v>1159</v>
      </c>
      <c r="Y44" s="188"/>
      <c r="Z44" s="188"/>
      <c r="AA44" s="188"/>
      <c r="AB44" s="188"/>
      <c r="AC44" s="188"/>
      <c r="AD44" s="188"/>
      <c r="AE44" s="188"/>
      <c r="AF44" s="17"/>
      <c r="AG44" s="204" t="s">
        <v>1230</v>
      </c>
      <c r="AH44" s="205"/>
      <c r="AI44" s="212" t="s">
        <v>1231</v>
      </c>
      <c r="AJ44" s="212"/>
      <c r="AK44" s="212"/>
      <c r="AL44" s="212"/>
      <c r="AM44" s="212"/>
      <c r="AN44" s="212"/>
      <c r="AO44" s="212"/>
      <c r="AP44" s="213"/>
      <c r="AQ44" s="17"/>
      <c r="AR44" s="17"/>
      <c r="AS44" s="17"/>
      <c r="AT44" s="17"/>
      <c r="AU44" s="17"/>
      <c r="AV44" s="17"/>
      <c r="AW44" s="17"/>
    </row>
    <row r="45" spans="1:49" ht="30" customHeight="1" x14ac:dyDescent="0.3">
      <c r="A45" s="17"/>
      <c r="B45" s="17"/>
      <c r="C45" s="17"/>
      <c r="D45" s="17"/>
      <c r="E45" s="17"/>
      <c r="F45" s="17"/>
      <c r="G45" s="17"/>
      <c r="H45" s="187"/>
      <c r="I45" s="187"/>
      <c r="J45" s="187"/>
      <c r="K45" s="187"/>
      <c r="L45" s="187"/>
      <c r="M45" s="187"/>
      <c r="N45" s="187"/>
      <c r="O45" s="187"/>
      <c r="P45" s="188"/>
      <c r="Q45" s="188"/>
      <c r="R45" s="188"/>
      <c r="S45" s="188"/>
      <c r="T45" s="188"/>
      <c r="U45" s="188"/>
      <c r="V45" s="188"/>
      <c r="W45" s="188"/>
      <c r="X45" s="188"/>
      <c r="Y45" s="188"/>
      <c r="Z45" s="188"/>
      <c r="AA45" s="188"/>
      <c r="AB45" s="188"/>
      <c r="AC45" s="188"/>
      <c r="AD45" s="188"/>
      <c r="AE45" s="188"/>
      <c r="AF45" s="17"/>
      <c r="AG45" s="202" t="s">
        <v>1232</v>
      </c>
      <c r="AH45" s="203"/>
      <c r="AI45" s="218" t="s">
        <v>1233</v>
      </c>
      <c r="AJ45" s="218"/>
      <c r="AK45" s="218"/>
      <c r="AL45" s="218"/>
      <c r="AM45" s="218"/>
      <c r="AN45" s="218"/>
      <c r="AO45" s="218"/>
      <c r="AP45" s="219"/>
      <c r="AQ45" s="17"/>
      <c r="AR45" s="17"/>
      <c r="AS45" s="17"/>
      <c r="AT45" s="17"/>
      <c r="AU45" s="17"/>
      <c r="AV45" s="17"/>
      <c r="AW45" s="17"/>
    </row>
    <row r="46" spans="1:49" ht="30" customHeight="1" x14ac:dyDescent="0.3">
      <c r="A46" s="17"/>
      <c r="B46" s="17"/>
      <c r="C46" s="17"/>
      <c r="D46" s="17"/>
      <c r="E46" s="17"/>
      <c r="F46" s="17"/>
      <c r="G46" s="17"/>
      <c r="H46" s="187"/>
      <c r="I46" s="187"/>
      <c r="J46" s="187"/>
      <c r="K46" s="187"/>
      <c r="L46" s="187"/>
      <c r="M46" s="187"/>
      <c r="N46" s="187"/>
      <c r="O46" s="187"/>
      <c r="P46" s="188"/>
      <c r="Q46" s="188"/>
      <c r="R46" s="188"/>
      <c r="S46" s="188"/>
      <c r="T46" s="188"/>
      <c r="U46" s="188"/>
      <c r="V46" s="188"/>
      <c r="W46" s="188"/>
      <c r="X46" s="188"/>
      <c r="Y46" s="188"/>
      <c r="Z46" s="188"/>
      <c r="AA46" s="188"/>
      <c r="AB46" s="188"/>
      <c r="AC46" s="188"/>
      <c r="AD46" s="188"/>
      <c r="AE46" s="188"/>
      <c r="AF46" s="17"/>
      <c r="AG46" s="204" t="s">
        <v>1234</v>
      </c>
      <c r="AH46" s="205"/>
      <c r="AI46" s="212" t="s">
        <v>1235</v>
      </c>
      <c r="AJ46" s="212"/>
      <c r="AK46" s="212"/>
      <c r="AL46" s="212"/>
      <c r="AM46" s="212"/>
      <c r="AN46" s="212"/>
      <c r="AO46" s="212"/>
      <c r="AP46" s="213"/>
      <c r="AQ46" s="17"/>
      <c r="AR46" s="17"/>
      <c r="AS46" s="17"/>
      <c r="AT46" s="17"/>
      <c r="AU46" s="17"/>
      <c r="AV46" s="17"/>
      <c r="AW46" s="17"/>
    </row>
    <row r="47" spans="1:49" ht="30" customHeight="1" x14ac:dyDescent="0.3">
      <c r="A47" s="17"/>
      <c r="B47" s="17"/>
      <c r="C47" s="17"/>
      <c r="D47" s="17"/>
      <c r="E47" s="17"/>
      <c r="F47" s="17"/>
      <c r="G47" s="17"/>
      <c r="H47" s="187"/>
      <c r="I47" s="187"/>
      <c r="J47" s="187"/>
      <c r="K47" s="187"/>
      <c r="L47" s="187"/>
      <c r="M47" s="187"/>
      <c r="N47" s="187"/>
      <c r="O47" s="187"/>
      <c r="P47" s="188"/>
      <c r="Q47" s="188"/>
      <c r="R47" s="188"/>
      <c r="S47" s="188"/>
      <c r="T47" s="188"/>
      <c r="U47" s="188"/>
      <c r="V47" s="188"/>
      <c r="W47" s="188"/>
      <c r="X47" s="188"/>
      <c r="Y47" s="188"/>
      <c r="Z47" s="188"/>
      <c r="AA47" s="188"/>
      <c r="AB47" s="188"/>
      <c r="AC47" s="188"/>
      <c r="AD47" s="188"/>
      <c r="AE47" s="188"/>
      <c r="AF47" s="17"/>
      <c r="AG47" s="216" t="s">
        <v>110</v>
      </c>
      <c r="AH47" s="217"/>
      <c r="AI47" s="214" t="s">
        <v>108</v>
      </c>
      <c r="AJ47" s="214"/>
      <c r="AK47" s="214"/>
      <c r="AL47" s="214"/>
      <c r="AM47" s="214"/>
      <c r="AN47" s="214"/>
      <c r="AO47" s="214"/>
      <c r="AP47" s="215"/>
      <c r="AQ47" s="17"/>
      <c r="AR47" s="17"/>
      <c r="AS47" s="17"/>
      <c r="AT47" s="17"/>
      <c r="AU47" s="17"/>
      <c r="AV47" s="17"/>
      <c r="AW47" s="17"/>
    </row>
    <row r="48" spans="1:49" ht="30" customHeight="1" x14ac:dyDescent="0.3">
      <c r="A48" s="17"/>
      <c r="B48" s="17"/>
      <c r="C48" s="17"/>
      <c r="D48" s="17"/>
      <c r="E48" s="17"/>
      <c r="F48" s="17"/>
      <c r="G48" s="17"/>
      <c r="H48" s="189" t="s">
        <v>907</v>
      </c>
      <c r="I48" s="189"/>
      <c r="J48" s="189"/>
      <c r="K48" s="189"/>
      <c r="L48" s="189"/>
      <c r="M48" s="189"/>
      <c r="N48" s="189"/>
      <c r="O48" s="189"/>
      <c r="P48" s="190" t="s">
        <v>1160</v>
      </c>
      <c r="Q48" s="190"/>
      <c r="R48" s="190"/>
      <c r="S48" s="190"/>
      <c r="T48" s="190"/>
      <c r="U48" s="190"/>
      <c r="V48" s="190"/>
      <c r="W48" s="190"/>
      <c r="X48" s="190" t="s">
        <v>1161</v>
      </c>
      <c r="Y48" s="190"/>
      <c r="Z48" s="190"/>
      <c r="AA48" s="190"/>
      <c r="AB48" s="190"/>
      <c r="AC48" s="190"/>
      <c r="AD48" s="190"/>
      <c r="AE48" s="190"/>
      <c r="AF48" s="17"/>
      <c r="AG48" s="17"/>
      <c r="AH48" s="17"/>
      <c r="AI48" s="17"/>
      <c r="AJ48" s="17"/>
      <c r="AK48" s="17"/>
      <c r="AL48" s="17"/>
      <c r="AM48" s="17"/>
      <c r="AN48" s="17"/>
      <c r="AO48" s="17"/>
      <c r="AP48" s="17"/>
      <c r="AQ48" s="17"/>
      <c r="AR48" s="17"/>
      <c r="AS48" s="17"/>
      <c r="AT48" s="17"/>
      <c r="AU48" s="17"/>
      <c r="AV48" s="17"/>
      <c r="AW48" s="17"/>
    </row>
    <row r="49" spans="1:49" ht="30" customHeight="1" x14ac:dyDescent="0.3">
      <c r="A49" s="17"/>
      <c r="B49" s="17"/>
      <c r="C49" s="17"/>
      <c r="D49" s="17"/>
      <c r="E49" s="17"/>
      <c r="F49" s="17"/>
      <c r="G49" s="17"/>
      <c r="H49" s="189"/>
      <c r="I49" s="189"/>
      <c r="J49" s="189"/>
      <c r="K49" s="189"/>
      <c r="L49" s="189"/>
      <c r="M49" s="189"/>
      <c r="N49" s="189"/>
      <c r="O49" s="189"/>
      <c r="P49" s="190"/>
      <c r="Q49" s="190"/>
      <c r="R49" s="190"/>
      <c r="S49" s="190"/>
      <c r="T49" s="190"/>
      <c r="U49" s="190"/>
      <c r="V49" s="190"/>
      <c r="W49" s="190"/>
      <c r="X49" s="190"/>
      <c r="Y49" s="190"/>
      <c r="Z49" s="190"/>
      <c r="AA49" s="190"/>
      <c r="AB49" s="190"/>
      <c r="AC49" s="190"/>
      <c r="AD49" s="190"/>
      <c r="AE49" s="190"/>
      <c r="AF49" s="17"/>
      <c r="AG49" s="17"/>
      <c r="AH49" s="17"/>
      <c r="AI49" s="17"/>
      <c r="AJ49" s="17"/>
      <c r="AK49" s="17"/>
      <c r="AL49" s="17"/>
      <c r="AM49" s="17"/>
      <c r="AN49" s="17"/>
      <c r="AO49" s="17"/>
      <c r="AP49" s="17"/>
      <c r="AQ49" s="17"/>
      <c r="AR49" s="17"/>
      <c r="AS49" s="17"/>
      <c r="AT49" s="17"/>
      <c r="AU49" s="17"/>
      <c r="AV49" s="17"/>
      <c r="AW49" s="17"/>
    </row>
    <row r="50" spans="1:49" ht="30" customHeight="1" x14ac:dyDescent="0.3">
      <c r="A50" s="17"/>
      <c r="B50" s="17"/>
      <c r="C50" s="17"/>
      <c r="D50" s="17"/>
      <c r="E50" s="17"/>
      <c r="F50" s="17"/>
      <c r="G50" s="17"/>
      <c r="H50" s="189"/>
      <c r="I50" s="189"/>
      <c r="J50" s="189"/>
      <c r="K50" s="189"/>
      <c r="L50" s="189"/>
      <c r="M50" s="189"/>
      <c r="N50" s="189"/>
      <c r="O50" s="189"/>
      <c r="P50" s="190"/>
      <c r="Q50" s="190"/>
      <c r="R50" s="190"/>
      <c r="S50" s="190"/>
      <c r="T50" s="190"/>
      <c r="U50" s="190"/>
      <c r="V50" s="190"/>
      <c r="W50" s="190"/>
      <c r="X50" s="190"/>
      <c r="Y50" s="190"/>
      <c r="Z50" s="190"/>
      <c r="AA50" s="190"/>
      <c r="AB50" s="190"/>
      <c r="AC50" s="190"/>
      <c r="AD50" s="190"/>
      <c r="AE50" s="190"/>
      <c r="AF50" s="17"/>
      <c r="AG50" s="17"/>
      <c r="AH50" s="17"/>
      <c r="AI50" s="17"/>
      <c r="AJ50" s="17"/>
      <c r="AK50" s="17"/>
      <c r="AL50" s="17"/>
      <c r="AM50" s="17"/>
      <c r="AN50" s="17"/>
      <c r="AO50" s="17"/>
      <c r="AP50" s="17"/>
      <c r="AQ50" s="17"/>
      <c r="AR50" s="17"/>
      <c r="AS50" s="17"/>
      <c r="AT50" s="17"/>
      <c r="AU50" s="17"/>
      <c r="AV50" s="17"/>
      <c r="AW50" s="17"/>
    </row>
    <row r="51" spans="1:49" ht="30" customHeight="1" x14ac:dyDescent="0.3">
      <c r="A51" s="17"/>
      <c r="B51" s="17"/>
      <c r="C51" s="17"/>
      <c r="D51" s="17"/>
      <c r="E51" s="17"/>
      <c r="F51" s="17"/>
      <c r="G51" s="17"/>
      <c r="H51" s="187" t="s">
        <v>909</v>
      </c>
      <c r="I51" s="187"/>
      <c r="J51" s="187"/>
      <c r="K51" s="187"/>
      <c r="L51" s="187"/>
      <c r="M51" s="187"/>
      <c r="N51" s="187"/>
      <c r="O51" s="187"/>
      <c r="P51" s="188" t="s">
        <v>1162</v>
      </c>
      <c r="Q51" s="188"/>
      <c r="R51" s="188"/>
      <c r="S51" s="188"/>
      <c r="T51" s="188"/>
      <c r="U51" s="188"/>
      <c r="V51" s="188"/>
      <c r="W51" s="188"/>
      <c r="X51" s="188"/>
      <c r="Y51" s="188"/>
      <c r="Z51" s="188"/>
      <c r="AA51" s="188"/>
      <c r="AB51" s="188"/>
      <c r="AC51" s="188"/>
      <c r="AD51" s="188"/>
      <c r="AE51" s="188"/>
      <c r="AF51" s="17"/>
      <c r="AG51" s="17"/>
      <c r="AH51" s="17"/>
      <c r="AI51" s="17"/>
      <c r="AJ51" s="17"/>
      <c r="AK51" s="17"/>
      <c r="AL51" s="17"/>
      <c r="AM51" s="17"/>
      <c r="AN51" s="17"/>
      <c r="AO51" s="17"/>
      <c r="AP51" s="17"/>
      <c r="AQ51" s="17"/>
      <c r="AR51" s="17"/>
      <c r="AS51" s="17"/>
      <c r="AT51" s="17"/>
      <c r="AU51" s="17"/>
      <c r="AV51" s="17"/>
      <c r="AW51" s="17"/>
    </row>
    <row r="52" spans="1:49" ht="30" customHeight="1" x14ac:dyDescent="0.3">
      <c r="A52" s="17"/>
      <c r="B52" s="17"/>
      <c r="C52" s="17"/>
      <c r="D52" s="17"/>
      <c r="E52" s="17"/>
      <c r="F52" s="17"/>
      <c r="G52" s="17"/>
      <c r="H52" s="187"/>
      <c r="I52" s="187"/>
      <c r="J52" s="187"/>
      <c r="K52" s="187"/>
      <c r="L52" s="187"/>
      <c r="M52" s="187"/>
      <c r="N52" s="187"/>
      <c r="O52" s="187"/>
      <c r="P52" s="188"/>
      <c r="Q52" s="188"/>
      <c r="R52" s="188"/>
      <c r="S52" s="188"/>
      <c r="T52" s="188"/>
      <c r="U52" s="188"/>
      <c r="V52" s="188"/>
      <c r="W52" s="188"/>
      <c r="X52" s="188"/>
      <c r="Y52" s="188"/>
      <c r="Z52" s="188"/>
      <c r="AA52" s="188"/>
      <c r="AB52" s="188"/>
      <c r="AC52" s="188"/>
      <c r="AD52" s="188"/>
      <c r="AE52" s="188"/>
      <c r="AF52" s="17"/>
      <c r="AG52" s="17"/>
      <c r="AH52" s="17"/>
      <c r="AI52" s="17"/>
      <c r="AJ52" s="17"/>
      <c r="AK52" s="17"/>
      <c r="AL52" s="17"/>
      <c r="AM52" s="17"/>
      <c r="AN52" s="17"/>
      <c r="AO52" s="17"/>
      <c r="AP52" s="17"/>
      <c r="AQ52" s="17"/>
      <c r="AR52" s="17"/>
      <c r="AS52" s="17"/>
      <c r="AT52" s="17"/>
      <c r="AU52" s="17"/>
      <c r="AV52" s="17"/>
      <c r="AW52" s="17"/>
    </row>
    <row r="53" spans="1:49" ht="30" customHeight="1" x14ac:dyDescent="0.3">
      <c r="A53" s="17"/>
      <c r="B53" s="17"/>
      <c r="C53" s="17"/>
      <c r="D53" s="17"/>
      <c r="E53" s="17"/>
      <c r="F53" s="17"/>
      <c r="G53" s="17"/>
      <c r="H53" s="186" t="s">
        <v>910</v>
      </c>
      <c r="I53" s="186"/>
      <c r="J53" s="186"/>
      <c r="K53" s="186"/>
      <c r="L53" s="186"/>
      <c r="M53" s="186"/>
      <c r="N53" s="186"/>
      <c r="O53" s="186"/>
      <c r="P53" s="186" t="s">
        <v>1131</v>
      </c>
      <c r="Q53" s="186"/>
      <c r="R53" s="186"/>
      <c r="S53" s="186"/>
      <c r="T53" s="186"/>
      <c r="U53" s="186"/>
      <c r="V53" s="186"/>
      <c r="W53" s="186"/>
      <c r="X53" s="186" t="s">
        <v>1132</v>
      </c>
      <c r="Y53" s="186"/>
      <c r="Z53" s="186"/>
      <c r="AA53" s="186"/>
      <c r="AB53" s="186"/>
      <c r="AC53" s="186"/>
      <c r="AD53" s="186"/>
      <c r="AE53" s="186"/>
      <c r="AF53" s="17"/>
      <c r="AG53" s="17"/>
      <c r="AH53" s="17"/>
      <c r="AI53" s="17"/>
      <c r="AJ53" s="17"/>
      <c r="AK53" s="17"/>
      <c r="AL53" s="17"/>
      <c r="AM53" s="17"/>
      <c r="AN53" s="17"/>
      <c r="AO53" s="17"/>
      <c r="AP53" s="17"/>
      <c r="AQ53" s="17"/>
      <c r="AR53" s="17"/>
      <c r="AS53" s="17"/>
      <c r="AT53" s="17"/>
      <c r="AU53" s="17"/>
      <c r="AV53" s="17"/>
      <c r="AW53" s="17"/>
    </row>
    <row r="54" spans="1:49" ht="30" customHeight="1" x14ac:dyDescent="0.3">
      <c r="A54" s="17"/>
      <c r="B54" s="17"/>
      <c r="C54" s="17"/>
      <c r="D54" s="17"/>
      <c r="E54" s="17"/>
      <c r="F54" s="17"/>
      <c r="G54" s="17"/>
      <c r="H54" s="187" t="s">
        <v>1163</v>
      </c>
      <c r="I54" s="187"/>
      <c r="J54" s="187"/>
      <c r="K54" s="187"/>
      <c r="L54" s="187"/>
      <c r="M54" s="187"/>
      <c r="N54" s="187"/>
      <c r="O54" s="187"/>
      <c r="P54" s="188" t="s">
        <v>1164</v>
      </c>
      <c r="Q54" s="188"/>
      <c r="R54" s="188"/>
      <c r="S54" s="188"/>
      <c r="T54" s="188"/>
      <c r="U54" s="188"/>
      <c r="V54" s="188"/>
      <c r="W54" s="188"/>
      <c r="X54" s="188"/>
      <c r="Y54" s="188"/>
      <c r="Z54" s="188"/>
      <c r="AA54" s="188"/>
      <c r="AB54" s="188"/>
      <c r="AC54" s="188"/>
      <c r="AD54" s="188"/>
      <c r="AE54" s="188"/>
      <c r="AF54" s="17"/>
      <c r="AG54" s="17"/>
      <c r="AH54" s="17"/>
      <c r="AI54" s="17"/>
      <c r="AJ54" s="17"/>
      <c r="AK54" s="17"/>
      <c r="AL54" s="17"/>
      <c r="AM54" s="17"/>
      <c r="AN54" s="17"/>
      <c r="AO54" s="17"/>
      <c r="AP54" s="17"/>
      <c r="AQ54" s="17"/>
      <c r="AR54" s="17"/>
      <c r="AS54" s="17"/>
      <c r="AT54" s="17"/>
      <c r="AU54" s="17"/>
      <c r="AV54" s="17"/>
      <c r="AW54" s="17"/>
    </row>
    <row r="55" spans="1:49" ht="30" customHeight="1" x14ac:dyDescent="0.3">
      <c r="A55" s="17"/>
      <c r="B55" s="17"/>
      <c r="C55" s="17"/>
      <c r="D55" s="17"/>
      <c r="E55" s="17"/>
      <c r="F55" s="17"/>
      <c r="G55" s="17"/>
      <c r="H55" s="187"/>
      <c r="I55" s="187"/>
      <c r="J55" s="187"/>
      <c r="K55" s="187"/>
      <c r="L55" s="187"/>
      <c r="M55" s="187"/>
      <c r="N55" s="187"/>
      <c r="O55" s="187"/>
      <c r="P55" s="188"/>
      <c r="Q55" s="188"/>
      <c r="R55" s="188"/>
      <c r="S55" s="188"/>
      <c r="T55" s="188"/>
      <c r="U55" s="188"/>
      <c r="V55" s="188"/>
      <c r="W55" s="188"/>
      <c r="X55" s="188"/>
      <c r="Y55" s="188"/>
      <c r="Z55" s="188"/>
      <c r="AA55" s="188"/>
      <c r="AB55" s="188"/>
      <c r="AC55" s="188"/>
      <c r="AD55" s="188"/>
      <c r="AE55" s="188"/>
      <c r="AF55" s="17"/>
      <c r="AG55" s="17"/>
      <c r="AH55" s="17"/>
      <c r="AI55" s="17"/>
      <c r="AJ55" s="17"/>
      <c r="AK55" s="17"/>
      <c r="AL55" s="17"/>
      <c r="AM55" s="17"/>
      <c r="AN55" s="17"/>
      <c r="AO55" s="17"/>
      <c r="AP55" s="17"/>
      <c r="AQ55" s="17"/>
      <c r="AR55" s="17"/>
      <c r="AS55" s="17"/>
      <c r="AT55" s="17"/>
      <c r="AU55" s="17"/>
      <c r="AV55" s="17"/>
      <c r="AW55" s="17"/>
    </row>
    <row r="56" spans="1:49" ht="30" customHeight="1" x14ac:dyDescent="0.3">
      <c r="A56" s="17"/>
      <c r="B56" s="17"/>
      <c r="C56" s="17"/>
      <c r="D56" s="17"/>
      <c r="E56" s="17"/>
      <c r="F56" s="17"/>
      <c r="G56" s="17"/>
      <c r="H56" s="189" t="s">
        <v>912</v>
      </c>
      <c r="I56" s="189"/>
      <c r="J56" s="189"/>
      <c r="K56" s="189"/>
      <c r="L56" s="189"/>
      <c r="M56" s="189"/>
      <c r="N56" s="189"/>
      <c r="O56" s="189"/>
      <c r="P56" s="190" t="s">
        <v>1165</v>
      </c>
      <c r="Q56" s="190"/>
      <c r="R56" s="190"/>
      <c r="S56" s="190"/>
      <c r="T56" s="190"/>
      <c r="U56" s="190"/>
      <c r="V56" s="190"/>
      <c r="W56" s="190"/>
      <c r="X56" s="190"/>
      <c r="Y56" s="190"/>
      <c r="Z56" s="190"/>
      <c r="AA56" s="190"/>
      <c r="AB56" s="190"/>
      <c r="AC56" s="190"/>
      <c r="AD56" s="190"/>
      <c r="AE56" s="190"/>
      <c r="AF56" s="17"/>
      <c r="AG56" s="17"/>
      <c r="AH56" s="17"/>
      <c r="AI56" s="17"/>
      <c r="AJ56" s="17"/>
      <c r="AK56" s="17"/>
      <c r="AL56" s="17"/>
      <c r="AM56" s="17"/>
      <c r="AN56" s="17"/>
      <c r="AO56" s="17"/>
      <c r="AP56" s="17"/>
      <c r="AQ56" s="17"/>
      <c r="AR56" s="17"/>
      <c r="AS56" s="17"/>
      <c r="AT56" s="17"/>
      <c r="AU56" s="17"/>
      <c r="AV56" s="17"/>
      <c r="AW56" s="17"/>
    </row>
    <row r="57" spans="1:49" ht="30" customHeight="1" x14ac:dyDescent="0.3">
      <c r="A57" s="17"/>
      <c r="B57" s="17"/>
      <c r="C57" s="17"/>
      <c r="D57" s="17"/>
      <c r="E57" s="17"/>
      <c r="F57" s="17"/>
      <c r="G57" s="17"/>
      <c r="H57" s="189"/>
      <c r="I57" s="189"/>
      <c r="J57" s="189"/>
      <c r="K57" s="189"/>
      <c r="L57" s="189"/>
      <c r="M57" s="189"/>
      <c r="N57" s="189"/>
      <c r="O57" s="189"/>
      <c r="P57" s="190"/>
      <c r="Q57" s="190"/>
      <c r="R57" s="190"/>
      <c r="S57" s="190"/>
      <c r="T57" s="190"/>
      <c r="U57" s="190"/>
      <c r="V57" s="190"/>
      <c r="W57" s="190"/>
      <c r="X57" s="190"/>
      <c r="Y57" s="190"/>
      <c r="Z57" s="190"/>
      <c r="AA57" s="190"/>
      <c r="AB57" s="190"/>
      <c r="AC57" s="190"/>
      <c r="AD57" s="190"/>
      <c r="AE57" s="190"/>
      <c r="AF57" s="17"/>
      <c r="AG57" s="17"/>
      <c r="AH57" s="17"/>
      <c r="AI57" s="17"/>
      <c r="AJ57" s="17"/>
      <c r="AK57" s="17"/>
      <c r="AL57" s="17"/>
      <c r="AM57" s="17"/>
      <c r="AN57" s="17"/>
      <c r="AO57" s="17"/>
      <c r="AP57" s="17"/>
      <c r="AQ57" s="17"/>
      <c r="AR57" s="17"/>
      <c r="AS57" s="17"/>
      <c r="AT57" s="17"/>
      <c r="AU57" s="17"/>
      <c r="AV57" s="17"/>
      <c r="AW57" s="17"/>
    </row>
    <row r="58" spans="1:49" ht="30" customHeight="1" x14ac:dyDescent="0.3">
      <c r="A58" s="17"/>
      <c r="B58" s="17"/>
      <c r="C58" s="17"/>
      <c r="D58" s="17"/>
      <c r="E58" s="17"/>
      <c r="F58" s="17"/>
      <c r="G58" s="17"/>
      <c r="H58" s="187" t="s">
        <v>913</v>
      </c>
      <c r="I58" s="187"/>
      <c r="J58" s="187"/>
      <c r="K58" s="187"/>
      <c r="L58" s="187"/>
      <c r="M58" s="187"/>
      <c r="N58" s="187"/>
      <c r="O58" s="187"/>
      <c r="P58" s="188" t="s">
        <v>1166</v>
      </c>
      <c r="Q58" s="188"/>
      <c r="R58" s="188"/>
      <c r="S58" s="188"/>
      <c r="T58" s="188"/>
      <c r="U58" s="188"/>
      <c r="V58" s="188"/>
      <c r="W58" s="188"/>
      <c r="X58" s="188"/>
      <c r="Y58" s="188"/>
      <c r="Z58" s="188"/>
      <c r="AA58" s="188"/>
      <c r="AB58" s="188"/>
      <c r="AC58" s="188"/>
      <c r="AD58" s="188"/>
      <c r="AE58" s="188"/>
      <c r="AF58" s="17"/>
      <c r="AG58" s="17"/>
      <c r="AH58" s="17"/>
      <c r="AI58" s="17"/>
      <c r="AJ58" s="17"/>
      <c r="AK58" s="17"/>
      <c r="AL58" s="17"/>
      <c r="AM58" s="17"/>
      <c r="AN58" s="17"/>
      <c r="AO58" s="17"/>
      <c r="AP58" s="17"/>
      <c r="AQ58" s="17"/>
      <c r="AR58" s="17"/>
      <c r="AS58" s="17"/>
      <c r="AT58" s="17"/>
      <c r="AU58" s="17"/>
      <c r="AV58" s="17"/>
      <c r="AW58" s="17"/>
    </row>
    <row r="59" spans="1:49" ht="30" customHeight="1" x14ac:dyDescent="0.3">
      <c r="A59" s="17"/>
      <c r="B59" s="17"/>
      <c r="C59" s="17"/>
      <c r="D59" s="17"/>
      <c r="E59" s="17"/>
      <c r="F59" s="17"/>
      <c r="G59" s="17"/>
      <c r="H59" s="187"/>
      <c r="I59" s="187"/>
      <c r="J59" s="187"/>
      <c r="K59" s="187"/>
      <c r="L59" s="187"/>
      <c r="M59" s="187"/>
      <c r="N59" s="187"/>
      <c r="O59" s="187"/>
      <c r="P59" s="188"/>
      <c r="Q59" s="188"/>
      <c r="R59" s="188"/>
      <c r="S59" s="188"/>
      <c r="T59" s="188"/>
      <c r="U59" s="188"/>
      <c r="V59" s="188"/>
      <c r="W59" s="188"/>
      <c r="X59" s="188"/>
      <c r="Y59" s="188"/>
      <c r="Z59" s="188"/>
      <c r="AA59" s="188"/>
      <c r="AB59" s="188"/>
      <c r="AC59" s="188"/>
      <c r="AD59" s="188"/>
      <c r="AE59" s="188"/>
      <c r="AF59" s="17"/>
      <c r="AG59" s="17"/>
      <c r="AH59" s="17"/>
      <c r="AI59" s="17"/>
      <c r="AJ59" s="17"/>
      <c r="AK59" s="17"/>
      <c r="AL59" s="17"/>
      <c r="AM59" s="17"/>
      <c r="AN59" s="17"/>
      <c r="AO59" s="17"/>
      <c r="AP59" s="17"/>
      <c r="AQ59" s="17"/>
      <c r="AR59" s="17"/>
      <c r="AS59" s="17"/>
      <c r="AT59" s="17"/>
      <c r="AU59" s="17"/>
      <c r="AV59" s="17"/>
      <c r="AW59" s="17"/>
    </row>
    <row r="60" spans="1:49" ht="30" customHeight="1" x14ac:dyDescent="0.3">
      <c r="A60" s="17"/>
      <c r="B60" s="17"/>
      <c r="C60" s="17"/>
      <c r="D60" s="17"/>
      <c r="E60" s="17"/>
      <c r="F60" s="17"/>
      <c r="G60" s="17"/>
      <c r="H60" s="187"/>
      <c r="I60" s="187"/>
      <c r="J60" s="187"/>
      <c r="K60" s="187"/>
      <c r="L60" s="187"/>
      <c r="M60" s="187"/>
      <c r="N60" s="187"/>
      <c r="O60" s="187"/>
      <c r="P60" s="188"/>
      <c r="Q60" s="188"/>
      <c r="R60" s="188"/>
      <c r="S60" s="188"/>
      <c r="T60" s="188"/>
      <c r="U60" s="188"/>
      <c r="V60" s="188"/>
      <c r="W60" s="188"/>
      <c r="X60" s="188"/>
      <c r="Y60" s="188"/>
      <c r="Z60" s="188"/>
      <c r="AA60" s="188"/>
      <c r="AB60" s="188"/>
      <c r="AC60" s="188"/>
      <c r="AD60" s="188"/>
      <c r="AE60" s="188"/>
      <c r="AF60" s="17"/>
      <c r="AG60" s="17"/>
      <c r="AH60" s="17"/>
      <c r="AI60" s="17"/>
      <c r="AJ60" s="17"/>
      <c r="AK60" s="17"/>
      <c r="AL60" s="17"/>
      <c r="AM60" s="17"/>
      <c r="AN60" s="17"/>
      <c r="AO60" s="17"/>
      <c r="AP60" s="17"/>
      <c r="AQ60" s="17"/>
      <c r="AR60" s="17"/>
      <c r="AS60" s="17"/>
      <c r="AT60" s="17"/>
      <c r="AU60" s="17"/>
      <c r="AV60" s="17"/>
      <c r="AW60" s="17"/>
    </row>
    <row r="61" spans="1:49" ht="30" customHeight="1" x14ac:dyDescent="0.3">
      <c r="A61" s="17"/>
      <c r="B61" s="17"/>
      <c r="C61" s="17"/>
      <c r="D61" s="17"/>
      <c r="E61" s="17"/>
      <c r="F61" s="17"/>
      <c r="G61" s="17"/>
      <c r="H61" s="189" t="s">
        <v>914</v>
      </c>
      <c r="I61" s="189"/>
      <c r="J61" s="189"/>
      <c r="K61" s="189"/>
      <c r="L61" s="189"/>
      <c r="M61" s="189"/>
      <c r="N61" s="189"/>
      <c r="O61" s="189"/>
      <c r="P61" s="190" t="s">
        <v>1167</v>
      </c>
      <c r="Q61" s="190"/>
      <c r="R61" s="190"/>
      <c r="S61" s="190"/>
      <c r="T61" s="190"/>
      <c r="U61" s="190"/>
      <c r="V61" s="190"/>
      <c r="W61" s="190"/>
      <c r="X61" s="190" t="s">
        <v>1168</v>
      </c>
      <c r="Y61" s="190"/>
      <c r="Z61" s="190"/>
      <c r="AA61" s="190"/>
      <c r="AB61" s="190"/>
      <c r="AC61" s="190"/>
      <c r="AD61" s="190"/>
      <c r="AE61" s="190"/>
      <c r="AF61" s="17"/>
      <c r="AG61" s="17"/>
      <c r="AH61" s="17"/>
      <c r="AI61" s="17"/>
      <c r="AJ61" s="17"/>
      <c r="AK61" s="17"/>
      <c r="AL61" s="17"/>
      <c r="AM61" s="17"/>
      <c r="AN61" s="17"/>
      <c r="AO61" s="17"/>
      <c r="AP61" s="17"/>
      <c r="AQ61" s="17"/>
      <c r="AR61" s="17"/>
      <c r="AS61" s="17"/>
      <c r="AT61" s="17"/>
      <c r="AU61" s="17"/>
      <c r="AV61" s="17"/>
      <c r="AW61" s="17"/>
    </row>
    <row r="62" spans="1:49" ht="30" customHeight="1" x14ac:dyDescent="0.3">
      <c r="A62" s="17"/>
      <c r="B62" s="17"/>
      <c r="C62" s="17"/>
      <c r="D62" s="17"/>
      <c r="E62" s="17"/>
      <c r="F62" s="17"/>
      <c r="G62" s="17"/>
      <c r="H62" s="189"/>
      <c r="I62" s="189"/>
      <c r="J62" s="189"/>
      <c r="K62" s="189"/>
      <c r="L62" s="189"/>
      <c r="M62" s="189"/>
      <c r="N62" s="189"/>
      <c r="O62" s="189"/>
      <c r="P62" s="190"/>
      <c r="Q62" s="190"/>
      <c r="R62" s="190"/>
      <c r="S62" s="190"/>
      <c r="T62" s="190"/>
      <c r="U62" s="190"/>
      <c r="V62" s="190"/>
      <c r="W62" s="190"/>
      <c r="X62" s="190"/>
      <c r="Y62" s="190"/>
      <c r="Z62" s="190"/>
      <c r="AA62" s="190"/>
      <c r="AB62" s="190"/>
      <c r="AC62" s="190"/>
      <c r="AD62" s="190"/>
      <c r="AE62" s="190"/>
      <c r="AF62" s="17"/>
      <c r="AG62" s="17"/>
      <c r="AH62" s="17"/>
      <c r="AI62" s="17"/>
      <c r="AJ62" s="17"/>
      <c r="AK62" s="17"/>
      <c r="AL62" s="17"/>
      <c r="AM62" s="17"/>
      <c r="AN62" s="17"/>
      <c r="AO62" s="17"/>
      <c r="AP62" s="17"/>
      <c r="AQ62" s="17"/>
      <c r="AR62" s="17"/>
      <c r="AS62" s="17"/>
      <c r="AT62" s="17"/>
      <c r="AU62" s="17"/>
      <c r="AV62" s="17"/>
      <c r="AW62" s="17"/>
    </row>
    <row r="63" spans="1:49" ht="30" customHeight="1" x14ac:dyDescent="0.3">
      <c r="A63" s="17"/>
      <c r="B63" s="17"/>
      <c r="C63" s="17"/>
      <c r="D63" s="17"/>
      <c r="E63" s="17"/>
      <c r="F63" s="17"/>
      <c r="G63" s="17"/>
      <c r="H63" s="189"/>
      <c r="I63" s="189"/>
      <c r="J63" s="189"/>
      <c r="K63" s="189"/>
      <c r="L63" s="189"/>
      <c r="M63" s="189"/>
      <c r="N63" s="189"/>
      <c r="O63" s="189"/>
      <c r="P63" s="190"/>
      <c r="Q63" s="190"/>
      <c r="R63" s="190"/>
      <c r="S63" s="190"/>
      <c r="T63" s="190"/>
      <c r="U63" s="190"/>
      <c r="V63" s="190"/>
      <c r="W63" s="190"/>
      <c r="X63" s="190"/>
      <c r="Y63" s="190"/>
      <c r="Z63" s="190"/>
      <c r="AA63" s="190"/>
      <c r="AB63" s="190"/>
      <c r="AC63" s="190"/>
      <c r="AD63" s="190"/>
      <c r="AE63" s="190"/>
      <c r="AF63" s="17"/>
      <c r="AG63" s="17"/>
      <c r="AH63" s="17"/>
      <c r="AI63" s="17"/>
      <c r="AJ63" s="17"/>
      <c r="AK63" s="17"/>
      <c r="AL63" s="17"/>
      <c r="AM63" s="17"/>
      <c r="AN63" s="17"/>
      <c r="AO63" s="17"/>
      <c r="AP63" s="17"/>
      <c r="AQ63" s="17"/>
      <c r="AR63" s="17"/>
      <c r="AS63" s="17"/>
      <c r="AT63" s="17"/>
      <c r="AU63" s="17"/>
      <c r="AV63" s="17"/>
      <c r="AW63" s="17"/>
    </row>
    <row r="64" spans="1:49" ht="30" customHeight="1" x14ac:dyDescent="0.3">
      <c r="A64" s="17"/>
      <c r="B64" s="17"/>
      <c r="C64" s="17"/>
      <c r="D64" s="17"/>
      <c r="E64" s="17"/>
      <c r="F64" s="17"/>
      <c r="G64" s="17"/>
      <c r="H64" s="189"/>
      <c r="I64" s="189"/>
      <c r="J64" s="189"/>
      <c r="K64" s="189"/>
      <c r="L64" s="189"/>
      <c r="M64" s="189"/>
      <c r="N64" s="189"/>
      <c r="O64" s="189"/>
      <c r="P64" s="190"/>
      <c r="Q64" s="190"/>
      <c r="R64" s="190"/>
      <c r="S64" s="190"/>
      <c r="T64" s="190"/>
      <c r="U64" s="190"/>
      <c r="V64" s="190"/>
      <c r="W64" s="190"/>
      <c r="X64" s="190"/>
      <c r="Y64" s="190"/>
      <c r="Z64" s="190"/>
      <c r="AA64" s="190"/>
      <c r="AB64" s="190"/>
      <c r="AC64" s="190"/>
      <c r="AD64" s="190"/>
      <c r="AE64" s="190"/>
      <c r="AF64" s="17"/>
      <c r="AG64" s="17"/>
      <c r="AH64" s="17"/>
      <c r="AI64" s="17"/>
      <c r="AJ64" s="17"/>
      <c r="AK64" s="17"/>
      <c r="AL64" s="17"/>
      <c r="AM64" s="17"/>
      <c r="AN64" s="17"/>
      <c r="AO64" s="17"/>
      <c r="AP64" s="17"/>
      <c r="AQ64" s="17"/>
      <c r="AR64" s="17"/>
      <c r="AS64" s="17"/>
      <c r="AT64" s="17"/>
      <c r="AU64" s="17"/>
      <c r="AV64" s="17"/>
      <c r="AW64" s="17"/>
    </row>
    <row r="65" spans="1:49" ht="30" customHeight="1" x14ac:dyDescent="0.3">
      <c r="A65" s="17"/>
      <c r="B65" s="17"/>
      <c r="C65" s="17"/>
      <c r="D65" s="17"/>
      <c r="E65" s="17"/>
      <c r="F65" s="17"/>
      <c r="G65" s="17"/>
      <c r="H65" s="187" t="s">
        <v>915</v>
      </c>
      <c r="I65" s="187"/>
      <c r="J65" s="187"/>
      <c r="K65" s="187"/>
      <c r="L65" s="187"/>
      <c r="M65" s="187"/>
      <c r="N65" s="187"/>
      <c r="O65" s="187"/>
      <c r="P65" s="188" t="s">
        <v>1169</v>
      </c>
      <c r="Q65" s="188"/>
      <c r="R65" s="188"/>
      <c r="S65" s="188"/>
      <c r="T65" s="188"/>
      <c r="U65" s="188"/>
      <c r="V65" s="188"/>
      <c r="W65" s="188"/>
      <c r="X65" s="188" t="s">
        <v>1199</v>
      </c>
      <c r="Y65" s="188"/>
      <c r="Z65" s="188"/>
      <c r="AA65" s="188"/>
      <c r="AB65" s="188"/>
      <c r="AC65" s="188"/>
      <c r="AD65" s="188"/>
      <c r="AE65" s="188"/>
      <c r="AF65" s="17"/>
      <c r="AG65" s="17"/>
      <c r="AH65" s="17"/>
      <c r="AI65" s="17"/>
      <c r="AJ65" s="17"/>
      <c r="AK65" s="17"/>
      <c r="AL65" s="17"/>
      <c r="AM65" s="17"/>
      <c r="AN65" s="17"/>
      <c r="AO65" s="17"/>
      <c r="AP65" s="17"/>
      <c r="AQ65" s="17"/>
      <c r="AR65" s="17"/>
      <c r="AS65" s="17"/>
      <c r="AT65" s="17"/>
      <c r="AU65" s="17"/>
      <c r="AV65" s="17"/>
      <c r="AW65" s="17"/>
    </row>
    <row r="66" spans="1:49" ht="30" customHeight="1" x14ac:dyDescent="0.3">
      <c r="A66" s="17"/>
      <c r="B66" s="17"/>
      <c r="C66" s="17"/>
      <c r="D66" s="17"/>
      <c r="E66" s="17"/>
      <c r="F66" s="17"/>
      <c r="G66" s="17"/>
      <c r="H66" s="187"/>
      <c r="I66" s="187"/>
      <c r="J66" s="187"/>
      <c r="K66" s="187"/>
      <c r="L66" s="187"/>
      <c r="M66" s="187"/>
      <c r="N66" s="187"/>
      <c r="O66" s="187"/>
      <c r="P66" s="188"/>
      <c r="Q66" s="188"/>
      <c r="R66" s="188"/>
      <c r="S66" s="188"/>
      <c r="T66" s="188"/>
      <c r="U66" s="188"/>
      <c r="V66" s="188"/>
      <c r="W66" s="188"/>
      <c r="X66" s="188"/>
      <c r="Y66" s="188"/>
      <c r="Z66" s="188"/>
      <c r="AA66" s="188"/>
      <c r="AB66" s="188"/>
      <c r="AC66" s="188"/>
      <c r="AD66" s="188"/>
      <c r="AE66" s="188"/>
      <c r="AF66" s="17"/>
      <c r="AG66" s="17"/>
      <c r="AH66" s="17"/>
      <c r="AI66" s="17"/>
      <c r="AJ66" s="17"/>
      <c r="AK66" s="17"/>
      <c r="AL66" s="17"/>
      <c r="AM66" s="17"/>
      <c r="AN66" s="17"/>
      <c r="AO66" s="17"/>
      <c r="AP66" s="17"/>
      <c r="AQ66" s="17"/>
      <c r="AR66" s="17"/>
      <c r="AS66" s="17"/>
      <c r="AT66" s="17"/>
      <c r="AU66" s="17"/>
      <c r="AV66" s="17"/>
      <c r="AW66" s="17"/>
    </row>
    <row r="67" spans="1:49" ht="30" customHeight="1" x14ac:dyDescent="0.3">
      <c r="A67" s="17"/>
      <c r="B67" s="17"/>
      <c r="C67" s="17"/>
      <c r="D67" s="17"/>
      <c r="E67" s="17"/>
      <c r="F67" s="17"/>
      <c r="G67" s="17"/>
      <c r="H67" s="187"/>
      <c r="I67" s="187"/>
      <c r="J67" s="187"/>
      <c r="K67" s="187"/>
      <c r="L67" s="187"/>
      <c r="M67" s="187"/>
      <c r="N67" s="187"/>
      <c r="O67" s="187"/>
      <c r="P67" s="188"/>
      <c r="Q67" s="188"/>
      <c r="R67" s="188"/>
      <c r="S67" s="188"/>
      <c r="T67" s="188"/>
      <c r="U67" s="188"/>
      <c r="V67" s="188"/>
      <c r="W67" s="188"/>
      <c r="X67" s="188"/>
      <c r="Y67" s="188"/>
      <c r="Z67" s="188"/>
      <c r="AA67" s="188"/>
      <c r="AB67" s="188"/>
      <c r="AC67" s="188"/>
      <c r="AD67" s="188"/>
      <c r="AE67" s="188"/>
      <c r="AF67" s="17"/>
      <c r="AG67" s="17"/>
      <c r="AH67" s="17"/>
      <c r="AI67" s="17"/>
      <c r="AJ67" s="17"/>
      <c r="AK67" s="17"/>
      <c r="AL67" s="17"/>
      <c r="AM67" s="17"/>
      <c r="AN67" s="17"/>
      <c r="AO67" s="17"/>
      <c r="AP67" s="17"/>
      <c r="AQ67" s="17"/>
      <c r="AR67" s="17"/>
      <c r="AS67" s="17"/>
      <c r="AT67" s="17"/>
      <c r="AU67" s="17"/>
      <c r="AV67" s="17"/>
      <c r="AW67" s="17"/>
    </row>
    <row r="68" spans="1:49" ht="30" customHeight="1" x14ac:dyDescent="0.3">
      <c r="A68" s="17"/>
      <c r="B68" s="17"/>
      <c r="C68" s="17"/>
      <c r="D68" s="17"/>
      <c r="E68" s="17"/>
      <c r="F68" s="17"/>
      <c r="G68" s="17"/>
      <c r="H68" s="187"/>
      <c r="I68" s="187"/>
      <c r="J68" s="187"/>
      <c r="K68" s="187"/>
      <c r="L68" s="187"/>
      <c r="M68" s="187"/>
      <c r="N68" s="187"/>
      <c r="O68" s="187"/>
      <c r="P68" s="188"/>
      <c r="Q68" s="188"/>
      <c r="R68" s="188"/>
      <c r="S68" s="188"/>
      <c r="T68" s="188"/>
      <c r="U68" s="188"/>
      <c r="V68" s="188"/>
      <c r="W68" s="188"/>
      <c r="X68" s="188"/>
      <c r="Y68" s="188"/>
      <c r="Z68" s="188"/>
      <c r="AA68" s="188"/>
      <c r="AB68" s="188"/>
      <c r="AC68" s="188"/>
      <c r="AD68" s="188"/>
      <c r="AE68" s="188"/>
      <c r="AF68" s="17"/>
      <c r="AG68" s="17"/>
      <c r="AH68" s="17"/>
      <c r="AI68" s="17"/>
      <c r="AJ68" s="17"/>
      <c r="AK68" s="17"/>
      <c r="AL68" s="17"/>
      <c r="AM68" s="17"/>
      <c r="AN68" s="17"/>
      <c r="AO68" s="17"/>
      <c r="AP68" s="17"/>
      <c r="AQ68" s="17"/>
      <c r="AR68" s="17"/>
      <c r="AS68" s="17"/>
      <c r="AT68" s="17"/>
      <c r="AU68" s="17"/>
      <c r="AV68" s="17"/>
      <c r="AW68" s="17"/>
    </row>
    <row r="69" spans="1:49" ht="30" customHeight="1" x14ac:dyDescent="0.3">
      <c r="A69" s="17"/>
      <c r="B69" s="17"/>
      <c r="C69" s="17"/>
      <c r="D69" s="17"/>
      <c r="E69" s="17"/>
      <c r="F69" s="17"/>
      <c r="G69" s="17"/>
      <c r="H69" s="189" t="s">
        <v>916</v>
      </c>
      <c r="I69" s="189"/>
      <c r="J69" s="189"/>
      <c r="K69" s="189"/>
      <c r="L69" s="189"/>
      <c r="M69" s="189"/>
      <c r="N69" s="189"/>
      <c r="O69" s="189"/>
      <c r="P69" s="190" t="s">
        <v>1170</v>
      </c>
      <c r="Q69" s="190"/>
      <c r="R69" s="190"/>
      <c r="S69" s="190"/>
      <c r="T69" s="190"/>
      <c r="U69" s="190"/>
      <c r="V69" s="190"/>
      <c r="W69" s="190"/>
      <c r="X69" s="190" t="s">
        <v>1171</v>
      </c>
      <c r="Y69" s="190"/>
      <c r="Z69" s="190"/>
      <c r="AA69" s="190"/>
      <c r="AB69" s="190"/>
      <c r="AC69" s="190"/>
      <c r="AD69" s="190"/>
      <c r="AE69" s="190"/>
      <c r="AF69" s="17"/>
      <c r="AG69" s="17"/>
      <c r="AH69" s="17"/>
      <c r="AI69" s="17"/>
      <c r="AJ69" s="17"/>
      <c r="AK69" s="17"/>
      <c r="AL69" s="17"/>
      <c r="AM69" s="17"/>
      <c r="AN69" s="17"/>
      <c r="AO69" s="17"/>
      <c r="AP69" s="17"/>
      <c r="AQ69" s="17"/>
      <c r="AR69" s="17"/>
      <c r="AS69" s="17"/>
      <c r="AT69" s="17"/>
      <c r="AU69" s="17"/>
      <c r="AV69" s="17"/>
      <c r="AW69" s="17"/>
    </row>
    <row r="70" spans="1:49" ht="30" customHeight="1" x14ac:dyDescent="0.3">
      <c r="A70" s="17"/>
      <c r="B70" s="17"/>
      <c r="C70" s="17"/>
      <c r="D70" s="17"/>
      <c r="E70" s="17"/>
      <c r="F70" s="17"/>
      <c r="G70" s="17"/>
      <c r="H70" s="189"/>
      <c r="I70" s="189"/>
      <c r="J70" s="189"/>
      <c r="K70" s="189"/>
      <c r="L70" s="189"/>
      <c r="M70" s="189"/>
      <c r="N70" s="189"/>
      <c r="O70" s="189"/>
      <c r="P70" s="190"/>
      <c r="Q70" s="190"/>
      <c r="R70" s="190"/>
      <c r="S70" s="190"/>
      <c r="T70" s="190"/>
      <c r="U70" s="190"/>
      <c r="V70" s="190"/>
      <c r="W70" s="190"/>
      <c r="X70" s="190"/>
      <c r="Y70" s="190"/>
      <c r="Z70" s="190"/>
      <c r="AA70" s="190"/>
      <c r="AB70" s="190"/>
      <c r="AC70" s="190"/>
      <c r="AD70" s="190"/>
      <c r="AE70" s="190"/>
      <c r="AF70" s="17"/>
      <c r="AG70" s="17"/>
      <c r="AH70" s="17"/>
      <c r="AI70" s="17"/>
      <c r="AJ70" s="17"/>
      <c r="AK70" s="17"/>
      <c r="AL70" s="17"/>
      <c r="AM70" s="17"/>
      <c r="AN70" s="17"/>
      <c r="AO70" s="17"/>
      <c r="AP70" s="17"/>
      <c r="AQ70" s="17"/>
      <c r="AR70" s="17"/>
      <c r="AS70" s="17"/>
      <c r="AT70" s="17"/>
      <c r="AU70" s="17"/>
      <c r="AV70" s="17"/>
      <c r="AW70" s="17"/>
    </row>
    <row r="71" spans="1:49" ht="30" customHeight="1" x14ac:dyDescent="0.3">
      <c r="A71" s="17"/>
      <c r="B71" s="17"/>
      <c r="C71" s="17"/>
      <c r="D71" s="17"/>
      <c r="E71" s="17"/>
      <c r="F71" s="17"/>
      <c r="G71" s="17"/>
      <c r="H71" s="191" t="s">
        <v>1172</v>
      </c>
      <c r="I71" s="191"/>
      <c r="J71" s="191"/>
      <c r="K71" s="191"/>
      <c r="L71" s="191"/>
      <c r="M71" s="191"/>
      <c r="N71" s="191"/>
      <c r="O71" s="191"/>
      <c r="P71" s="191"/>
      <c r="Q71" s="191"/>
      <c r="R71" s="191"/>
      <c r="S71" s="191"/>
      <c r="T71" s="191"/>
      <c r="U71" s="191"/>
      <c r="V71" s="191"/>
      <c r="W71" s="191"/>
      <c r="X71" s="191"/>
      <c r="Y71" s="191"/>
      <c r="Z71" s="191"/>
      <c r="AA71" s="191"/>
      <c r="AB71" s="191"/>
      <c r="AC71" s="191"/>
      <c r="AD71" s="191"/>
      <c r="AE71" s="191"/>
      <c r="AF71" s="17"/>
      <c r="AG71" s="17"/>
      <c r="AH71" s="17"/>
      <c r="AI71" s="17"/>
      <c r="AJ71" s="17"/>
      <c r="AK71" s="17"/>
      <c r="AL71" s="17"/>
      <c r="AM71" s="17"/>
      <c r="AN71" s="17"/>
      <c r="AO71" s="17"/>
      <c r="AP71" s="17"/>
      <c r="AQ71" s="17"/>
      <c r="AR71" s="17"/>
      <c r="AS71" s="17"/>
      <c r="AT71" s="17"/>
      <c r="AU71" s="17"/>
      <c r="AV71" s="17"/>
      <c r="AW71" s="17"/>
    </row>
    <row r="72" spans="1:49" ht="30" customHeight="1" x14ac:dyDescent="0.3">
      <c r="A72" s="17"/>
      <c r="B72" s="17"/>
      <c r="C72" s="17"/>
      <c r="D72" s="17"/>
      <c r="E72" s="17"/>
      <c r="F72" s="17"/>
      <c r="G72" s="17"/>
      <c r="H72" s="186" t="s">
        <v>1173</v>
      </c>
      <c r="I72" s="186"/>
      <c r="J72" s="186"/>
      <c r="K72" s="186"/>
      <c r="L72" s="186"/>
      <c r="M72" s="186"/>
      <c r="N72" s="186"/>
      <c r="O72" s="186"/>
      <c r="P72" s="186" t="s">
        <v>1131</v>
      </c>
      <c r="Q72" s="186"/>
      <c r="R72" s="186"/>
      <c r="S72" s="186"/>
      <c r="T72" s="186"/>
      <c r="U72" s="186"/>
      <c r="V72" s="186"/>
      <c r="W72" s="186"/>
      <c r="X72" s="186" t="s">
        <v>1132</v>
      </c>
      <c r="Y72" s="186"/>
      <c r="Z72" s="186"/>
      <c r="AA72" s="186"/>
      <c r="AB72" s="186"/>
      <c r="AC72" s="186"/>
      <c r="AD72" s="186"/>
      <c r="AE72" s="186"/>
      <c r="AF72" s="17"/>
      <c r="AG72" s="17"/>
      <c r="AH72" s="17"/>
      <c r="AI72" s="17"/>
      <c r="AJ72" s="17"/>
      <c r="AK72" s="17"/>
      <c r="AL72" s="17"/>
      <c r="AM72" s="17"/>
      <c r="AN72" s="17"/>
      <c r="AO72" s="17"/>
      <c r="AP72" s="17"/>
      <c r="AQ72" s="17"/>
      <c r="AR72" s="17"/>
      <c r="AS72" s="17"/>
      <c r="AT72" s="17"/>
      <c r="AU72" s="17"/>
      <c r="AV72" s="17"/>
      <c r="AW72" s="17"/>
    </row>
    <row r="73" spans="1:49" ht="30" customHeight="1" x14ac:dyDescent="0.3">
      <c r="A73" s="17"/>
      <c r="B73" s="17"/>
      <c r="C73" s="17"/>
      <c r="D73" s="17"/>
      <c r="E73" s="17"/>
      <c r="F73" s="17"/>
      <c r="G73" s="17"/>
      <c r="H73" s="187" t="s">
        <v>924</v>
      </c>
      <c r="I73" s="187"/>
      <c r="J73" s="187"/>
      <c r="K73" s="187"/>
      <c r="L73" s="187"/>
      <c r="M73" s="187"/>
      <c r="N73" s="187"/>
      <c r="O73" s="187"/>
      <c r="P73" s="188" t="s">
        <v>1174</v>
      </c>
      <c r="Q73" s="188"/>
      <c r="R73" s="188"/>
      <c r="S73" s="188"/>
      <c r="T73" s="188"/>
      <c r="U73" s="188"/>
      <c r="V73" s="188"/>
      <c r="W73" s="188"/>
      <c r="X73" s="188"/>
      <c r="Y73" s="188"/>
      <c r="Z73" s="188"/>
      <c r="AA73" s="188"/>
      <c r="AB73" s="188"/>
      <c r="AC73" s="188"/>
      <c r="AD73" s="188"/>
      <c r="AE73" s="188"/>
      <c r="AF73" s="17"/>
      <c r="AG73" s="17"/>
      <c r="AH73" s="17"/>
      <c r="AI73" s="17"/>
      <c r="AJ73" s="17"/>
      <c r="AK73" s="17"/>
      <c r="AL73" s="17"/>
      <c r="AM73" s="17"/>
      <c r="AN73" s="17"/>
      <c r="AO73" s="17"/>
      <c r="AP73" s="17"/>
      <c r="AQ73" s="17"/>
      <c r="AR73" s="17"/>
      <c r="AS73" s="17"/>
      <c r="AT73" s="17"/>
      <c r="AU73" s="17"/>
      <c r="AV73" s="17"/>
      <c r="AW73" s="17"/>
    </row>
    <row r="74" spans="1:49" ht="30" customHeight="1" x14ac:dyDescent="0.3">
      <c r="A74" s="17"/>
      <c r="B74" s="17"/>
      <c r="C74" s="17"/>
      <c r="D74" s="17"/>
      <c r="E74" s="17"/>
      <c r="F74" s="17"/>
      <c r="G74" s="17"/>
      <c r="H74" s="187"/>
      <c r="I74" s="187"/>
      <c r="J74" s="187"/>
      <c r="K74" s="187"/>
      <c r="L74" s="187"/>
      <c r="M74" s="187"/>
      <c r="N74" s="187"/>
      <c r="O74" s="187"/>
      <c r="P74" s="188"/>
      <c r="Q74" s="188"/>
      <c r="R74" s="188"/>
      <c r="S74" s="188"/>
      <c r="T74" s="188"/>
      <c r="U74" s="188"/>
      <c r="V74" s="188"/>
      <c r="W74" s="188"/>
      <c r="X74" s="188"/>
      <c r="Y74" s="188"/>
      <c r="Z74" s="188"/>
      <c r="AA74" s="188"/>
      <c r="AB74" s="188"/>
      <c r="AC74" s="188"/>
      <c r="AD74" s="188"/>
      <c r="AE74" s="188"/>
      <c r="AF74" s="17"/>
      <c r="AG74" s="17"/>
      <c r="AH74" s="17"/>
      <c r="AI74" s="17"/>
      <c r="AJ74" s="17"/>
      <c r="AK74" s="17"/>
      <c r="AL74" s="17"/>
      <c r="AM74" s="17"/>
      <c r="AN74" s="17"/>
      <c r="AO74" s="17"/>
      <c r="AP74" s="17"/>
      <c r="AQ74" s="17"/>
      <c r="AR74" s="17"/>
      <c r="AS74" s="17"/>
      <c r="AT74" s="17"/>
      <c r="AU74" s="17"/>
      <c r="AV74" s="17"/>
      <c r="AW74" s="17"/>
    </row>
    <row r="75" spans="1:49" ht="30" customHeight="1" x14ac:dyDescent="0.3">
      <c r="A75" s="17"/>
      <c r="B75" s="17"/>
      <c r="C75" s="17"/>
      <c r="D75" s="17"/>
      <c r="E75" s="17"/>
      <c r="F75" s="17"/>
      <c r="G75" s="17"/>
      <c r="H75" s="187"/>
      <c r="I75" s="187"/>
      <c r="J75" s="187"/>
      <c r="K75" s="187"/>
      <c r="L75" s="187"/>
      <c r="M75" s="187"/>
      <c r="N75" s="187"/>
      <c r="O75" s="187"/>
      <c r="P75" s="188"/>
      <c r="Q75" s="188"/>
      <c r="R75" s="188"/>
      <c r="S75" s="188"/>
      <c r="T75" s="188"/>
      <c r="U75" s="188"/>
      <c r="V75" s="188"/>
      <c r="W75" s="188"/>
      <c r="X75" s="188"/>
      <c r="Y75" s="188"/>
      <c r="Z75" s="188"/>
      <c r="AA75" s="188"/>
      <c r="AB75" s="188"/>
      <c r="AC75" s="188"/>
      <c r="AD75" s="188"/>
      <c r="AE75" s="188"/>
      <c r="AF75" s="17"/>
      <c r="AG75" s="17"/>
      <c r="AH75" s="17"/>
      <c r="AI75" s="17"/>
      <c r="AJ75" s="17"/>
      <c r="AK75" s="17"/>
      <c r="AL75" s="17"/>
      <c r="AM75" s="17"/>
      <c r="AN75" s="17"/>
      <c r="AO75" s="17"/>
      <c r="AP75" s="17"/>
      <c r="AQ75" s="17"/>
      <c r="AR75" s="17"/>
      <c r="AS75" s="17"/>
      <c r="AT75" s="17"/>
      <c r="AU75" s="17"/>
      <c r="AV75" s="17"/>
      <c r="AW75" s="17"/>
    </row>
    <row r="76" spans="1:49" ht="30" customHeight="1" x14ac:dyDescent="0.3">
      <c r="A76" s="17"/>
      <c r="B76" s="17"/>
      <c r="C76" s="17"/>
      <c r="D76" s="17"/>
      <c r="E76" s="17"/>
      <c r="F76" s="17"/>
      <c r="G76" s="17"/>
      <c r="H76" s="189" t="s">
        <v>929</v>
      </c>
      <c r="I76" s="189"/>
      <c r="J76" s="189"/>
      <c r="K76" s="189"/>
      <c r="L76" s="189"/>
      <c r="M76" s="189"/>
      <c r="N76" s="189"/>
      <c r="O76" s="189"/>
      <c r="P76" s="190" t="s">
        <v>1175</v>
      </c>
      <c r="Q76" s="190"/>
      <c r="R76" s="190"/>
      <c r="S76" s="190"/>
      <c r="T76" s="190"/>
      <c r="U76" s="190"/>
      <c r="V76" s="190"/>
      <c r="W76" s="190"/>
      <c r="X76" s="190" t="s">
        <v>1202</v>
      </c>
      <c r="Y76" s="190"/>
      <c r="Z76" s="190"/>
      <c r="AA76" s="190"/>
      <c r="AB76" s="190"/>
      <c r="AC76" s="190"/>
      <c r="AD76" s="190"/>
      <c r="AE76" s="190"/>
      <c r="AF76" s="17"/>
      <c r="AG76" s="17"/>
      <c r="AH76" s="17"/>
      <c r="AI76" s="17"/>
      <c r="AJ76" s="17"/>
      <c r="AK76" s="17"/>
      <c r="AL76" s="17"/>
      <c r="AM76" s="17"/>
      <c r="AN76" s="17"/>
      <c r="AO76" s="17"/>
      <c r="AP76" s="17"/>
      <c r="AQ76" s="17"/>
      <c r="AR76" s="17"/>
      <c r="AS76" s="17"/>
      <c r="AT76" s="17"/>
      <c r="AU76" s="17"/>
      <c r="AV76" s="17"/>
      <c r="AW76" s="17"/>
    </row>
    <row r="77" spans="1:49" ht="30" customHeight="1" x14ac:dyDescent="0.3">
      <c r="A77" s="17"/>
      <c r="B77" s="17"/>
      <c r="C77" s="17"/>
      <c r="D77" s="17"/>
      <c r="E77" s="17"/>
      <c r="F77" s="17"/>
      <c r="G77" s="17"/>
      <c r="H77" s="189"/>
      <c r="I77" s="189"/>
      <c r="J77" s="189"/>
      <c r="K77" s="189"/>
      <c r="L77" s="189"/>
      <c r="M77" s="189"/>
      <c r="N77" s="189"/>
      <c r="O77" s="189"/>
      <c r="P77" s="190"/>
      <c r="Q77" s="190"/>
      <c r="R77" s="190"/>
      <c r="S77" s="190"/>
      <c r="T77" s="190"/>
      <c r="U77" s="190"/>
      <c r="V77" s="190"/>
      <c r="W77" s="190"/>
      <c r="X77" s="190"/>
      <c r="Y77" s="190"/>
      <c r="Z77" s="190"/>
      <c r="AA77" s="190"/>
      <c r="AB77" s="190"/>
      <c r="AC77" s="190"/>
      <c r="AD77" s="190"/>
      <c r="AE77" s="190"/>
      <c r="AF77" s="17"/>
      <c r="AG77" s="17"/>
      <c r="AH77" s="17"/>
      <c r="AI77" s="17"/>
      <c r="AJ77" s="17"/>
      <c r="AK77" s="17"/>
      <c r="AL77" s="17"/>
      <c r="AM77" s="17"/>
      <c r="AN77" s="17"/>
      <c r="AO77" s="17"/>
      <c r="AP77" s="17"/>
      <c r="AQ77" s="17"/>
      <c r="AR77" s="17"/>
      <c r="AS77" s="17"/>
      <c r="AT77" s="17"/>
      <c r="AU77" s="17"/>
      <c r="AV77" s="17"/>
      <c r="AW77" s="17"/>
    </row>
    <row r="78" spans="1:49" ht="30" customHeight="1" x14ac:dyDescent="0.3">
      <c r="A78" s="17"/>
      <c r="B78" s="17"/>
      <c r="C78" s="17"/>
      <c r="D78" s="17"/>
      <c r="E78" s="17"/>
      <c r="F78" s="17"/>
      <c r="G78" s="17"/>
      <c r="H78" s="189"/>
      <c r="I78" s="189"/>
      <c r="J78" s="189"/>
      <c r="K78" s="189"/>
      <c r="L78" s="189"/>
      <c r="M78" s="189"/>
      <c r="N78" s="189"/>
      <c r="O78" s="189"/>
      <c r="P78" s="190"/>
      <c r="Q78" s="190"/>
      <c r="R78" s="190"/>
      <c r="S78" s="190"/>
      <c r="T78" s="190"/>
      <c r="U78" s="190"/>
      <c r="V78" s="190"/>
      <c r="W78" s="190"/>
      <c r="X78" s="190"/>
      <c r="Y78" s="190"/>
      <c r="Z78" s="190"/>
      <c r="AA78" s="190"/>
      <c r="AB78" s="190"/>
      <c r="AC78" s="190"/>
      <c r="AD78" s="190"/>
      <c r="AE78" s="190"/>
      <c r="AF78" s="17"/>
      <c r="AG78" s="17"/>
      <c r="AH78" s="17"/>
      <c r="AI78" s="17"/>
      <c r="AJ78" s="17"/>
      <c r="AK78" s="17"/>
      <c r="AL78" s="17"/>
      <c r="AM78" s="17"/>
      <c r="AN78" s="17"/>
      <c r="AO78" s="17"/>
      <c r="AP78" s="17"/>
      <c r="AQ78" s="17"/>
      <c r="AR78" s="17"/>
      <c r="AS78" s="17"/>
      <c r="AT78" s="17"/>
      <c r="AU78" s="17"/>
      <c r="AV78" s="17"/>
      <c r="AW78" s="17"/>
    </row>
    <row r="79" spans="1:49" ht="30" customHeight="1" x14ac:dyDescent="0.3">
      <c r="A79" s="17"/>
      <c r="B79" s="17"/>
      <c r="C79" s="17"/>
      <c r="D79" s="17"/>
      <c r="E79" s="17"/>
      <c r="F79" s="17"/>
      <c r="G79" s="17"/>
      <c r="H79" s="187" t="s">
        <v>1176</v>
      </c>
      <c r="I79" s="187"/>
      <c r="J79" s="187"/>
      <c r="K79" s="187"/>
      <c r="L79" s="187"/>
      <c r="M79" s="187"/>
      <c r="N79" s="187"/>
      <c r="O79" s="187"/>
      <c r="P79" s="188" t="s">
        <v>1177</v>
      </c>
      <c r="Q79" s="188"/>
      <c r="R79" s="188"/>
      <c r="S79" s="188"/>
      <c r="T79" s="188"/>
      <c r="U79" s="188"/>
      <c r="V79" s="188"/>
      <c r="W79" s="188"/>
      <c r="X79" s="188"/>
      <c r="Y79" s="188"/>
      <c r="Z79" s="188"/>
      <c r="AA79" s="188"/>
      <c r="AB79" s="188"/>
      <c r="AC79" s="188"/>
      <c r="AD79" s="188"/>
      <c r="AE79" s="188"/>
      <c r="AF79" s="17"/>
      <c r="AG79" s="17"/>
      <c r="AH79" s="17"/>
      <c r="AI79" s="17"/>
      <c r="AJ79" s="17"/>
      <c r="AK79" s="17"/>
      <c r="AL79" s="17"/>
      <c r="AM79" s="17"/>
      <c r="AN79" s="17"/>
      <c r="AO79" s="17"/>
      <c r="AP79" s="17"/>
      <c r="AQ79" s="17"/>
      <c r="AR79" s="17"/>
      <c r="AS79" s="17"/>
      <c r="AT79" s="17"/>
      <c r="AU79" s="17"/>
      <c r="AV79" s="17"/>
      <c r="AW79" s="17"/>
    </row>
    <row r="80" spans="1:49" ht="30" customHeight="1" x14ac:dyDescent="0.3">
      <c r="A80" s="17"/>
      <c r="B80" s="17"/>
      <c r="C80" s="17"/>
      <c r="D80" s="17"/>
      <c r="E80" s="17"/>
      <c r="F80" s="17"/>
      <c r="G80" s="17"/>
      <c r="H80" s="187"/>
      <c r="I80" s="187"/>
      <c r="J80" s="187"/>
      <c r="K80" s="187"/>
      <c r="L80" s="187"/>
      <c r="M80" s="187"/>
      <c r="N80" s="187"/>
      <c r="O80" s="187"/>
      <c r="P80" s="188"/>
      <c r="Q80" s="188"/>
      <c r="R80" s="188"/>
      <c r="S80" s="188"/>
      <c r="T80" s="188"/>
      <c r="U80" s="188"/>
      <c r="V80" s="188"/>
      <c r="W80" s="188"/>
      <c r="X80" s="188"/>
      <c r="Y80" s="188"/>
      <c r="Z80" s="188"/>
      <c r="AA80" s="188"/>
      <c r="AB80" s="188"/>
      <c r="AC80" s="188"/>
      <c r="AD80" s="188"/>
      <c r="AE80" s="188"/>
      <c r="AF80" s="17"/>
      <c r="AG80" s="17"/>
      <c r="AH80" s="17"/>
      <c r="AI80" s="17"/>
      <c r="AJ80" s="17"/>
      <c r="AK80" s="17"/>
      <c r="AL80" s="17"/>
      <c r="AM80" s="17"/>
      <c r="AN80" s="17"/>
      <c r="AO80" s="17"/>
      <c r="AP80" s="17"/>
      <c r="AQ80" s="17"/>
      <c r="AR80" s="17"/>
      <c r="AS80" s="17"/>
      <c r="AT80" s="17"/>
      <c r="AU80" s="17"/>
      <c r="AV80" s="17"/>
      <c r="AW80" s="17"/>
    </row>
    <row r="81" spans="1:49" ht="30" customHeight="1" x14ac:dyDescent="0.3">
      <c r="A81" s="17"/>
      <c r="B81" s="17"/>
      <c r="C81" s="17"/>
      <c r="D81" s="17"/>
      <c r="E81" s="17"/>
      <c r="F81" s="17"/>
      <c r="G81" s="17"/>
      <c r="H81" s="189" t="s">
        <v>926</v>
      </c>
      <c r="I81" s="189"/>
      <c r="J81" s="189"/>
      <c r="K81" s="189"/>
      <c r="L81" s="189"/>
      <c r="M81" s="189"/>
      <c r="N81" s="189"/>
      <c r="O81" s="189"/>
      <c r="P81" s="190" t="s">
        <v>1178</v>
      </c>
      <c r="Q81" s="190"/>
      <c r="R81" s="190"/>
      <c r="S81" s="190"/>
      <c r="T81" s="190"/>
      <c r="U81" s="190"/>
      <c r="V81" s="190"/>
      <c r="W81" s="190"/>
      <c r="X81" s="190"/>
      <c r="Y81" s="190"/>
      <c r="Z81" s="190"/>
      <c r="AA81" s="190"/>
      <c r="AB81" s="190"/>
      <c r="AC81" s="190"/>
      <c r="AD81" s="190"/>
      <c r="AE81" s="190"/>
      <c r="AF81" s="17"/>
      <c r="AG81" s="17"/>
      <c r="AH81" s="17"/>
      <c r="AI81" s="17"/>
      <c r="AJ81" s="17"/>
      <c r="AK81" s="17"/>
      <c r="AL81" s="17"/>
      <c r="AM81" s="17"/>
      <c r="AN81" s="17"/>
      <c r="AO81" s="17"/>
      <c r="AP81" s="17"/>
      <c r="AQ81" s="17"/>
      <c r="AR81" s="17"/>
      <c r="AS81" s="17"/>
      <c r="AT81" s="17"/>
      <c r="AU81" s="17"/>
      <c r="AV81" s="17"/>
      <c r="AW81" s="17"/>
    </row>
    <row r="82" spans="1:49" ht="30" customHeight="1" x14ac:dyDescent="0.3">
      <c r="A82" s="17"/>
      <c r="B82" s="17"/>
      <c r="C82" s="17"/>
      <c r="D82" s="17"/>
      <c r="E82" s="17"/>
      <c r="F82" s="17"/>
      <c r="G82" s="17"/>
      <c r="H82" s="189"/>
      <c r="I82" s="189"/>
      <c r="J82" s="189"/>
      <c r="K82" s="189"/>
      <c r="L82" s="189"/>
      <c r="M82" s="189"/>
      <c r="N82" s="189"/>
      <c r="O82" s="189"/>
      <c r="P82" s="190"/>
      <c r="Q82" s="190"/>
      <c r="R82" s="190"/>
      <c r="S82" s="190"/>
      <c r="T82" s="190"/>
      <c r="U82" s="190"/>
      <c r="V82" s="190"/>
      <c r="W82" s="190"/>
      <c r="X82" s="190"/>
      <c r="Y82" s="190"/>
      <c r="Z82" s="190"/>
      <c r="AA82" s="190"/>
      <c r="AB82" s="190"/>
      <c r="AC82" s="190"/>
      <c r="AD82" s="190"/>
      <c r="AE82" s="190"/>
      <c r="AF82" s="17"/>
      <c r="AG82" s="17"/>
      <c r="AH82" s="17"/>
      <c r="AI82" s="17"/>
      <c r="AJ82" s="17"/>
      <c r="AK82" s="17"/>
      <c r="AL82" s="17"/>
      <c r="AM82" s="17"/>
      <c r="AN82" s="17"/>
      <c r="AO82" s="17"/>
      <c r="AP82" s="17"/>
      <c r="AQ82" s="17"/>
      <c r="AR82" s="17"/>
      <c r="AS82" s="17"/>
      <c r="AT82" s="17"/>
      <c r="AU82" s="17"/>
      <c r="AV82" s="17"/>
      <c r="AW82" s="17"/>
    </row>
    <row r="83" spans="1:49" ht="30" customHeight="1" x14ac:dyDescent="0.3">
      <c r="A83" s="17"/>
      <c r="B83" s="17"/>
      <c r="C83" s="17"/>
      <c r="D83" s="17"/>
      <c r="E83" s="17"/>
      <c r="F83" s="17"/>
      <c r="G83" s="17"/>
      <c r="H83" s="189"/>
      <c r="I83" s="189"/>
      <c r="J83" s="189"/>
      <c r="K83" s="189"/>
      <c r="L83" s="189"/>
      <c r="M83" s="189"/>
      <c r="N83" s="189"/>
      <c r="O83" s="189"/>
      <c r="P83" s="190"/>
      <c r="Q83" s="190"/>
      <c r="R83" s="190"/>
      <c r="S83" s="190"/>
      <c r="T83" s="190"/>
      <c r="U83" s="190"/>
      <c r="V83" s="190"/>
      <c r="W83" s="190"/>
      <c r="X83" s="190"/>
      <c r="Y83" s="190"/>
      <c r="Z83" s="190"/>
      <c r="AA83" s="190"/>
      <c r="AB83" s="190"/>
      <c r="AC83" s="190"/>
      <c r="AD83" s="190"/>
      <c r="AE83" s="190"/>
      <c r="AF83" s="17"/>
      <c r="AG83" s="17"/>
      <c r="AH83" s="17"/>
      <c r="AI83" s="17"/>
      <c r="AJ83" s="17"/>
      <c r="AK83" s="17"/>
      <c r="AL83" s="17"/>
      <c r="AM83" s="17"/>
      <c r="AN83" s="17"/>
      <c r="AO83" s="17"/>
      <c r="AP83" s="17"/>
      <c r="AQ83" s="17"/>
      <c r="AR83" s="17"/>
      <c r="AS83" s="17"/>
      <c r="AT83" s="17"/>
      <c r="AU83" s="17"/>
      <c r="AV83" s="17"/>
      <c r="AW83" s="17"/>
    </row>
    <row r="84" spans="1:49" ht="30" customHeight="1" x14ac:dyDescent="0.3">
      <c r="A84" s="17"/>
      <c r="B84" s="17"/>
      <c r="C84" s="17"/>
      <c r="D84" s="17"/>
      <c r="E84" s="17"/>
      <c r="F84" s="17"/>
      <c r="G84" s="17"/>
      <c r="H84" s="187" t="s">
        <v>921</v>
      </c>
      <c r="I84" s="187"/>
      <c r="J84" s="187"/>
      <c r="K84" s="187"/>
      <c r="L84" s="187"/>
      <c r="M84" s="187"/>
      <c r="N84" s="187"/>
      <c r="O84" s="187"/>
      <c r="P84" s="188" t="s">
        <v>1179</v>
      </c>
      <c r="Q84" s="188"/>
      <c r="R84" s="188"/>
      <c r="S84" s="188"/>
      <c r="T84" s="188"/>
      <c r="U84" s="188"/>
      <c r="V84" s="188"/>
      <c r="W84" s="188"/>
      <c r="X84" s="188"/>
      <c r="Y84" s="188"/>
      <c r="Z84" s="188"/>
      <c r="AA84" s="188"/>
      <c r="AB84" s="188"/>
      <c r="AC84" s="188"/>
      <c r="AD84" s="188"/>
      <c r="AE84" s="188"/>
      <c r="AF84" s="17"/>
      <c r="AG84" s="17"/>
      <c r="AH84" s="17"/>
      <c r="AI84" s="17"/>
      <c r="AJ84" s="17"/>
      <c r="AK84" s="17"/>
      <c r="AL84" s="17"/>
      <c r="AM84" s="17"/>
      <c r="AN84" s="17"/>
      <c r="AO84" s="17"/>
      <c r="AP84" s="17"/>
      <c r="AQ84" s="17"/>
      <c r="AR84" s="17"/>
      <c r="AS84" s="17"/>
      <c r="AT84" s="17"/>
      <c r="AU84" s="17"/>
      <c r="AV84" s="17"/>
      <c r="AW84" s="17"/>
    </row>
    <row r="85" spans="1:49" ht="30" customHeight="1" x14ac:dyDescent="0.3">
      <c r="A85" s="17"/>
      <c r="B85" s="17"/>
      <c r="C85" s="17"/>
      <c r="D85" s="17"/>
      <c r="E85" s="17"/>
      <c r="F85" s="17"/>
      <c r="G85" s="17"/>
      <c r="H85" s="187"/>
      <c r="I85" s="187"/>
      <c r="J85" s="187"/>
      <c r="K85" s="187"/>
      <c r="L85" s="187"/>
      <c r="M85" s="187"/>
      <c r="N85" s="187"/>
      <c r="O85" s="187"/>
      <c r="P85" s="188"/>
      <c r="Q85" s="188"/>
      <c r="R85" s="188"/>
      <c r="S85" s="188"/>
      <c r="T85" s="188"/>
      <c r="U85" s="188"/>
      <c r="V85" s="188"/>
      <c r="W85" s="188"/>
      <c r="X85" s="188"/>
      <c r="Y85" s="188"/>
      <c r="Z85" s="188"/>
      <c r="AA85" s="188"/>
      <c r="AB85" s="188"/>
      <c r="AC85" s="188"/>
      <c r="AD85" s="188"/>
      <c r="AE85" s="188"/>
      <c r="AF85" s="17"/>
      <c r="AG85" s="17"/>
      <c r="AH85" s="17"/>
      <c r="AI85" s="17"/>
      <c r="AJ85" s="17"/>
      <c r="AK85" s="17"/>
      <c r="AL85" s="17"/>
      <c r="AM85" s="17"/>
      <c r="AN85" s="17"/>
      <c r="AO85" s="17"/>
      <c r="AP85" s="17"/>
      <c r="AQ85" s="17"/>
      <c r="AR85" s="17"/>
      <c r="AS85" s="17"/>
      <c r="AT85" s="17"/>
      <c r="AU85" s="17"/>
      <c r="AV85" s="17"/>
      <c r="AW85" s="17"/>
    </row>
    <row r="86" spans="1:49" ht="30" customHeight="1" x14ac:dyDescent="0.3">
      <c r="A86" s="17"/>
      <c r="B86" s="17"/>
      <c r="C86" s="17"/>
      <c r="D86" s="17"/>
      <c r="E86" s="17"/>
      <c r="F86" s="17"/>
      <c r="G86" s="17"/>
      <c r="H86" s="187"/>
      <c r="I86" s="187"/>
      <c r="J86" s="187"/>
      <c r="K86" s="187"/>
      <c r="L86" s="187"/>
      <c r="M86" s="187"/>
      <c r="N86" s="187"/>
      <c r="O86" s="187"/>
      <c r="P86" s="188"/>
      <c r="Q86" s="188"/>
      <c r="R86" s="188"/>
      <c r="S86" s="188"/>
      <c r="T86" s="188"/>
      <c r="U86" s="188"/>
      <c r="V86" s="188"/>
      <c r="W86" s="188"/>
      <c r="X86" s="188"/>
      <c r="Y86" s="188"/>
      <c r="Z86" s="188"/>
      <c r="AA86" s="188"/>
      <c r="AB86" s="188"/>
      <c r="AC86" s="188"/>
      <c r="AD86" s="188"/>
      <c r="AE86" s="188"/>
      <c r="AF86" s="17"/>
      <c r="AG86" s="17"/>
      <c r="AH86" s="17"/>
      <c r="AI86" s="17"/>
      <c r="AJ86" s="17"/>
      <c r="AK86" s="17"/>
      <c r="AL86" s="17"/>
      <c r="AM86" s="17"/>
      <c r="AN86" s="17"/>
      <c r="AO86" s="17"/>
      <c r="AP86" s="17"/>
      <c r="AQ86" s="17"/>
      <c r="AR86" s="17"/>
      <c r="AS86" s="17"/>
      <c r="AT86" s="17"/>
      <c r="AU86" s="17"/>
      <c r="AV86" s="17"/>
      <c r="AW86" s="17"/>
    </row>
    <row r="87" spans="1:49" ht="30" customHeight="1" x14ac:dyDescent="0.3">
      <c r="A87" s="17"/>
      <c r="B87" s="17"/>
      <c r="C87" s="17"/>
      <c r="D87" s="17"/>
      <c r="E87" s="17"/>
      <c r="F87" s="17"/>
      <c r="G87" s="17"/>
      <c r="H87" s="189" t="s">
        <v>1180</v>
      </c>
      <c r="I87" s="189"/>
      <c r="J87" s="189"/>
      <c r="K87" s="189"/>
      <c r="L87" s="189"/>
      <c r="M87" s="189"/>
      <c r="N87" s="189"/>
      <c r="O87" s="189"/>
      <c r="P87" s="190" t="s">
        <v>1181</v>
      </c>
      <c r="Q87" s="190"/>
      <c r="R87" s="190"/>
      <c r="S87" s="190"/>
      <c r="T87" s="190"/>
      <c r="U87" s="190"/>
      <c r="V87" s="190"/>
      <c r="W87" s="190"/>
      <c r="X87" s="190"/>
      <c r="Y87" s="190"/>
      <c r="Z87" s="190"/>
      <c r="AA87" s="190"/>
      <c r="AB87" s="190"/>
      <c r="AC87" s="190"/>
      <c r="AD87" s="190"/>
      <c r="AE87" s="190"/>
      <c r="AF87" s="17"/>
      <c r="AG87" s="17"/>
      <c r="AH87" s="17"/>
      <c r="AI87" s="17"/>
      <c r="AJ87" s="17"/>
      <c r="AK87" s="17"/>
      <c r="AL87" s="17"/>
      <c r="AM87" s="17"/>
      <c r="AN87" s="17"/>
      <c r="AO87" s="17"/>
      <c r="AP87" s="17"/>
      <c r="AQ87" s="17"/>
      <c r="AR87" s="17"/>
      <c r="AS87" s="17"/>
      <c r="AT87" s="17"/>
      <c r="AU87" s="17"/>
      <c r="AV87" s="17"/>
      <c r="AW87" s="17"/>
    </row>
    <row r="88" spans="1:49" ht="30" customHeight="1" x14ac:dyDescent="0.3">
      <c r="A88" s="17"/>
      <c r="B88" s="17"/>
      <c r="C88" s="17"/>
      <c r="D88" s="17"/>
      <c r="E88" s="17"/>
      <c r="F88" s="17"/>
      <c r="G88" s="17"/>
      <c r="H88" s="189"/>
      <c r="I88" s="189"/>
      <c r="J88" s="189"/>
      <c r="K88" s="189"/>
      <c r="L88" s="189"/>
      <c r="M88" s="189"/>
      <c r="N88" s="189"/>
      <c r="O88" s="189"/>
      <c r="P88" s="190"/>
      <c r="Q88" s="190"/>
      <c r="R88" s="190"/>
      <c r="S88" s="190"/>
      <c r="T88" s="190"/>
      <c r="U88" s="190"/>
      <c r="V88" s="190"/>
      <c r="W88" s="190"/>
      <c r="X88" s="190"/>
      <c r="Y88" s="190"/>
      <c r="Z88" s="190"/>
      <c r="AA88" s="190"/>
      <c r="AB88" s="190"/>
      <c r="AC88" s="190"/>
      <c r="AD88" s="190"/>
      <c r="AE88" s="190"/>
      <c r="AF88" s="17"/>
      <c r="AG88" s="17"/>
      <c r="AH88" s="17"/>
      <c r="AI88" s="17"/>
      <c r="AJ88" s="17"/>
      <c r="AK88" s="17"/>
      <c r="AL88" s="17"/>
      <c r="AM88" s="17"/>
      <c r="AN88" s="17"/>
      <c r="AO88" s="17"/>
      <c r="AP88" s="17"/>
      <c r="AQ88" s="17"/>
      <c r="AR88" s="17"/>
      <c r="AS88" s="17"/>
      <c r="AT88" s="17"/>
      <c r="AU88" s="17"/>
      <c r="AV88" s="17"/>
      <c r="AW88" s="17"/>
    </row>
    <row r="89" spans="1:49" ht="30" customHeight="1" x14ac:dyDescent="0.3">
      <c r="A89" s="17"/>
      <c r="B89" s="17"/>
      <c r="C89" s="17"/>
      <c r="D89" s="17"/>
      <c r="E89" s="17"/>
      <c r="F89" s="17"/>
      <c r="G89" s="17"/>
      <c r="H89" s="187" t="s">
        <v>931</v>
      </c>
      <c r="I89" s="187"/>
      <c r="J89" s="187"/>
      <c r="K89" s="187"/>
      <c r="L89" s="187"/>
      <c r="M89" s="187"/>
      <c r="N89" s="187"/>
      <c r="O89" s="187"/>
      <c r="P89" s="188" t="s">
        <v>1182</v>
      </c>
      <c r="Q89" s="188"/>
      <c r="R89" s="188"/>
      <c r="S89" s="188"/>
      <c r="T89" s="188"/>
      <c r="U89" s="188"/>
      <c r="V89" s="188"/>
      <c r="W89" s="188"/>
      <c r="X89" s="188"/>
      <c r="Y89" s="188"/>
      <c r="Z89" s="188"/>
      <c r="AA89" s="188"/>
      <c r="AB89" s="188"/>
      <c r="AC89" s="188"/>
      <c r="AD89" s="188"/>
      <c r="AE89" s="188"/>
      <c r="AF89" s="17"/>
      <c r="AG89" s="17"/>
      <c r="AH89" s="17"/>
      <c r="AI89" s="17"/>
      <c r="AJ89" s="17"/>
      <c r="AK89" s="17"/>
      <c r="AL89" s="17"/>
      <c r="AM89" s="17"/>
      <c r="AN89" s="17"/>
      <c r="AO89" s="17"/>
      <c r="AP89" s="17"/>
      <c r="AQ89" s="17"/>
      <c r="AR89" s="17"/>
      <c r="AS89" s="17"/>
      <c r="AT89" s="17"/>
      <c r="AU89" s="17"/>
      <c r="AV89" s="17"/>
      <c r="AW89" s="17"/>
    </row>
    <row r="90" spans="1:49" ht="30" customHeight="1" x14ac:dyDescent="0.3">
      <c r="A90" s="17"/>
      <c r="B90" s="17"/>
      <c r="C90" s="17"/>
      <c r="D90" s="17"/>
      <c r="E90" s="17"/>
      <c r="F90" s="17"/>
      <c r="G90" s="17"/>
      <c r="H90" s="187"/>
      <c r="I90" s="187"/>
      <c r="J90" s="187"/>
      <c r="K90" s="187"/>
      <c r="L90" s="187"/>
      <c r="M90" s="187"/>
      <c r="N90" s="187"/>
      <c r="O90" s="187"/>
      <c r="P90" s="188"/>
      <c r="Q90" s="188"/>
      <c r="R90" s="188"/>
      <c r="S90" s="188"/>
      <c r="T90" s="188"/>
      <c r="U90" s="188"/>
      <c r="V90" s="188"/>
      <c r="W90" s="188"/>
      <c r="X90" s="188"/>
      <c r="Y90" s="188"/>
      <c r="Z90" s="188"/>
      <c r="AA90" s="188"/>
      <c r="AB90" s="188"/>
      <c r="AC90" s="188"/>
      <c r="AD90" s="188"/>
      <c r="AE90" s="188"/>
      <c r="AF90" s="17"/>
      <c r="AG90" s="17"/>
      <c r="AH90" s="17"/>
      <c r="AI90" s="17"/>
      <c r="AJ90" s="17"/>
      <c r="AK90" s="17"/>
      <c r="AL90" s="17"/>
      <c r="AM90" s="17"/>
      <c r="AN90" s="17"/>
      <c r="AO90" s="17"/>
      <c r="AP90" s="17"/>
      <c r="AQ90" s="17"/>
      <c r="AR90" s="17"/>
      <c r="AS90" s="17"/>
      <c r="AT90" s="17"/>
      <c r="AU90" s="17"/>
      <c r="AV90" s="17"/>
      <c r="AW90" s="17"/>
    </row>
    <row r="91" spans="1:49" ht="30" customHeight="1" x14ac:dyDescent="0.3">
      <c r="A91" s="17"/>
      <c r="B91" s="17"/>
      <c r="C91" s="17"/>
      <c r="D91" s="17"/>
      <c r="E91" s="17"/>
      <c r="F91" s="17"/>
      <c r="G91" s="17"/>
      <c r="H91" s="189" t="s">
        <v>923</v>
      </c>
      <c r="I91" s="189"/>
      <c r="J91" s="189"/>
      <c r="K91" s="189"/>
      <c r="L91" s="189"/>
      <c r="M91" s="189"/>
      <c r="N91" s="189"/>
      <c r="O91" s="189"/>
      <c r="P91" s="190" t="s">
        <v>1183</v>
      </c>
      <c r="Q91" s="190"/>
      <c r="R91" s="190"/>
      <c r="S91" s="190"/>
      <c r="T91" s="190"/>
      <c r="U91" s="190"/>
      <c r="V91" s="190"/>
      <c r="W91" s="190"/>
      <c r="X91" s="190"/>
      <c r="Y91" s="190"/>
      <c r="Z91" s="190"/>
      <c r="AA91" s="190"/>
      <c r="AB91" s="190"/>
      <c r="AC91" s="190"/>
      <c r="AD91" s="190"/>
      <c r="AE91" s="190"/>
      <c r="AF91" s="17"/>
      <c r="AG91" s="17"/>
      <c r="AH91" s="17"/>
      <c r="AI91" s="17"/>
      <c r="AJ91" s="17"/>
      <c r="AK91" s="17"/>
      <c r="AL91" s="17"/>
      <c r="AM91" s="17"/>
      <c r="AN91" s="17"/>
      <c r="AO91" s="17"/>
      <c r="AP91" s="17"/>
      <c r="AQ91" s="17"/>
      <c r="AR91" s="17"/>
      <c r="AS91" s="17"/>
      <c r="AT91" s="17"/>
      <c r="AU91" s="17"/>
      <c r="AV91" s="17"/>
      <c r="AW91" s="17"/>
    </row>
    <row r="92" spans="1:49" ht="30" customHeight="1" x14ac:dyDescent="0.3">
      <c r="A92" s="17"/>
      <c r="B92" s="17"/>
      <c r="C92" s="17"/>
      <c r="D92" s="17"/>
      <c r="E92" s="17"/>
      <c r="F92" s="17"/>
      <c r="G92" s="17"/>
      <c r="H92" s="189"/>
      <c r="I92" s="189"/>
      <c r="J92" s="189"/>
      <c r="K92" s="189"/>
      <c r="L92" s="189"/>
      <c r="M92" s="189"/>
      <c r="N92" s="189"/>
      <c r="O92" s="189"/>
      <c r="P92" s="190"/>
      <c r="Q92" s="190"/>
      <c r="R92" s="190"/>
      <c r="S92" s="190"/>
      <c r="T92" s="190"/>
      <c r="U92" s="190"/>
      <c r="V92" s="190"/>
      <c r="W92" s="190"/>
      <c r="X92" s="190"/>
      <c r="Y92" s="190"/>
      <c r="Z92" s="190"/>
      <c r="AA92" s="190"/>
      <c r="AB92" s="190"/>
      <c r="AC92" s="190"/>
      <c r="AD92" s="190"/>
      <c r="AE92" s="190"/>
      <c r="AF92" s="17"/>
      <c r="AG92" s="17"/>
      <c r="AH92" s="17"/>
      <c r="AI92" s="17"/>
      <c r="AJ92" s="17"/>
      <c r="AK92" s="17"/>
      <c r="AL92" s="17"/>
      <c r="AM92" s="17"/>
      <c r="AN92" s="17"/>
      <c r="AO92" s="17"/>
      <c r="AP92" s="17"/>
      <c r="AQ92" s="17"/>
      <c r="AR92" s="17"/>
      <c r="AS92" s="17"/>
      <c r="AT92" s="17"/>
      <c r="AU92" s="17"/>
      <c r="AV92" s="17"/>
      <c r="AW92" s="17"/>
    </row>
    <row r="93" spans="1:49" ht="30" customHeight="1" x14ac:dyDescent="0.3">
      <c r="A93" s="17"/>
      <c r="B93" s="17"/>
      <c r="C93" s="17"/>
      <c r="D93" s="17"/>
      <c r="E93" s="17"/>
      <c r="F93" s="17"/>
      <c r="G93" s="17"/>
      <c r="H93" s="187" t="s">
        <v>922</v>
      </c>
      <c r="I93" s="187"/>
      <c r="J93" s="187"/>
      <c r="K93" s="187"/>
      <c r="L93" s="187"/>
      <c r="M93" s="187"/>
      <c r="N93" s="187"/>
      <c r="O93" s="187"/>
      <c r="P93" s="188" t="s">
        <v>1184</v>
      </c>
      <c r="Q93" s="188"/>
      <c r="R93" s="188"/>
      <c r="S93" s="188"/>
      <c r="T93" s="188"/>
      <c r="U93" s="188"/>
      <c r="V93" s="188"/>
      <c r="W93" s="188"/>
      <c r="X93" s="188"/>
      <c r="Y93" s="188"/>
      <c r="Z93" s="188"/>
      <c r="AA93" s="188"/>
      <c r="AB93" s="188"/>
      <c r="AC93" s="188"/>
      <c r="AD93" s="188"/>
      <c r="AE93" s="188"/>
      <c r="AF93" s="17"/>
      <c r="AG93" s="17"/>
      <c r="AH93" s="17"/>
      <c r="AI93" s="17"/>
      <c r="AJ93" s="17"/>
      <c r="AK93" s="17"/>
      <c r="AL93" s="17"/>
      <c r="AM93" s="17"/>
      <c r="AN93" s="17"/>
      <c r="AO93" s="17"/>
      <c r="AP93" s="17"/>
      <c r="AQ93" s="17"/>
      <c r="AR93" s="17"/>
      <c r="AS93" s="17"/>
      <c r="AT93" s="17"/>
      <c r="AU93" s="17"/>
      <c r="AV93" s="17"/>
      <c r="AW93" s="17"/>
    </row>
    <row r="94" spans="1:49" ht="30" customHeight="1" x14ac:dyDescent="0.3">
      <c r="A94" s="17"/>
      <c r="B94" s="17"/>
      <c r="C94" s="17"/>
      <c r="D94" s="17"/>
      <c r="E94" s="17"/>
      <c r="F94" s="17"/>
      <c r="G94" s="17"/>
      <c r="H94" s="187"/>
      <c r="I94" s="187"/>
      <c r="J94" s="187"/>
      <c r="K94" s="187"/>
      <c r="L94" s="187"/>
      <c r="M94" s="187"/>
      <c r="N94" s="187"/>
      <c r="O94" s="187"/>
      <c r="P94" s="188"/>
      <c r="Q94" s="188"/>
      <c r="R94" s="188"/>
      <c r="S94" s="188"/>
      <c r="T94" s="188"/>
      <c r="U94" s="188"/>
      <c r="V94" s="188"/>
      <c r="W94" s="188"/>
      <c r="X94" s="188"/>
      <c r="Y94" s="188"/>
      <c r="Z94" s="188"/>
      <c r="AA94" s="188"/>
      <c r="AB94" s="188"/>
      <c r="AC94" s="188"/>
      <c r="AD94" s="188"/>
      <c r="AE94" s="188"/>
      <c r="AF94" s="17"/>
      <c r="AG94" s="17"/>
      <c r="AH94" s="17"/>
      <c r="AI94" s="17"/>
      <c r="AJ94" s="17"/>
      <c r="AK94" s="17"/>
      <c r="AL94" s="17"/>
      <c r="AM94" s="17"/>
      <c r="AN94" s="17"/>
      <c r="AO94" s="17"/>
      <c r="AP94" s="17"/>
      <c r="AQ94" s="17"/>
      <c r="AR94" s="17"/>
      <c r="AS94" s="17"/>
      <c r="AT94" s="17"/>
      <c r="AU94" s="17"/>
      <c r="AV94" s="17"/>
      <c r="AW94" s="17"/>
    </row>
    <row r="95" spans="1:49" ht="30" customHeight="1" x14ac:dyDescent="0.3">
      <c r="A95" s="17"/>
      <c r="B95" s="17"/>
      <c r="C95" s="17"/>
      <c r="D95" s="17"/>
      <c r="E95" s="17"/>
      <c r="F95" s="17"/>
      <c r="G95" s="17"/>
      <c r="H95" s="189" t="s">
        <v>1185</v>
      </c>
      <c r="I95" s="189"/>
      <c r="J95" s="189"/>
      <c r="K95" s="189"/>
      <c r="L95" s="189"/>
      <c r="M95" s="189"/>
      <c r="N95" s="189"/>
      <c r="O95" s="189"/>
      <c r="P95" s="190" t="s">
        <v>1186</v>
      </c>
      <c r="Q95" s="190"/>
      <c r="R95" s="190"/>
      <c r="S95" s="190"/>
      <c r="T95" s="190"/>
      <c r="U95" s="190"/>
      <c r="V95" s="190"/>
      <c r="W95" s="190"/>
      <c r="X95" s="190"/>
      <c r="Y95" s="190"/>
      <c r="Z95" s="190"/>
      <c r="AA95" s="190"/>
      <c r="AB95" s="190"/>
      <c r="AC95" s="190"/>
      <c r="AD95" s="190"/>
      <c r="AE95" s="190"/>
      <c r="AF95" s="17"/>
      <c r="AG95" s="17"/>
      <c r="AH95" s="17"/>
      <c r="AI95" s="17"/>
      <c r="AJ95" s="17"/>
      <c r="AK95" s="17"/>
      <c r="AL95" s="17"/>
      <c r="AM95" s="17"/>
      <c r="AN95" s="17"/>
      <c r="AO95" s="17"/>
      <c r="AP95" s="17"/>
      <c r="AQ95" s="17"/>
      <c r="AR95" s="17"/>
      <c r="AS95" s="17"/>
      <c r="AT95" s="17"/>
      <c r="AU95" s="17"/>
      <c r="AV95" s="17"/>
      <c r="AW95" s="17"/>
    </row>
    <row r="96" spans="1:49" ht="30" customHeight="1" x14ac:dyDescent="0.3">
      <c r="A96" s="17"/>
      <c r="B96" s="17"/>
      <c r="C96" s="17"/>
      <c r="D96" s="17"/>
      <c r="E96" s="17"/>
      <c r="F96" s="17"/>
      <c r="G96" s="17"/>
      <c r="H96" s="189"/>
      <c r="I96" s="189"/>
      <c r="J96" s="189"/>
      <c r="K96" s="189"/>
      <c r="L96" s="189"/>
      <c r="M96" s="189"/>
      <c r="N96" s="189"/>
      <c r="O96" s="189"/>
      <c r="P96" s="190"/>
      <c r="Q96" s="190"/>
      <c r="R96" s="190"/>
      <c r="S96" s="190"/>
      <c r="T96" s="190"/>
      <c r="U96" s="190"/>
      <c r="V96" s="190"/>
      <c r="W96" s="190"/>
      <c r="X96" s="190"/>
      <c r="Y96" s="190"/>
      <c r="Z96" s="190"/>
      <c r="AA96" s="190"/>
      <c r="AB96" s="190"/>
      <c r="AC96" s="190"/>
      <c r="AD96" s="190"/>
      <c r="AE96" s="190"/>
      <c r="AF96" s="17"/>
      <c r="AG96" s="17"/>
      <c r="AH96" s="17"/>
      <c r="AI96" s="17"/>
      <c r="AJ96" s="17"/>
      <c r="AK96" s="17"/>
      <c r="AL96" s="17"/>
      <c r="AM96" s="17"/>
      <c r="AN96" s="17"/>
      <c r="AO96" s="17"/>
      <c r="AP96" s="17"/>
      <c r="AQ96" s="17"/>
      <c r="AR96" s="17"/>
      <c r="AS96" s="17"/>
      <c r="AT96" s="17"/>
      <c r="AU96" s="17"/>
      <c r="AV96" s="17"/>
      <c r="AW96" s="17"/>
    </row>
    <row r="97" spans="1:49" ht="30" customHeight="1" x14ac:dyDescent="0.3">
      <c r="A97" s="17"/>
      <c r="B97" s="17"/>
      <c r="C97" s="17"/>
      <c r="D97" s="17"/>
      <c r="E97" s="17"/>
      <c r="F97" s="17"/>
      <c r="G97" s="17"/>
      <c r="H97" s="189"/>
      <c r="I97" s="189"/>
      <c r="J97" s="189"/>
      <c r="K97" s="189"/>
      <c r="L97" s="189"/>
      <c r="M97" s="189"/>
      <c r="N97" s="189"/>
      <c r="O97" s="189"/>
      <c r="P97" s="190"/>
      <c r="Q97" s="190"/>
      <c r="R97" s="190"/>
      <c r="S97" s="190"/>
      <c r="T97" s="190"/>
      <c r="U97" s="190"/>
      <c r="V97" s="190"/>
      <c r="W97" s="190"/>
      <c r="X97" s="190"/>
      <c r="Y97" s="190"/>
      <c r="Z97" s="190"/>
      <c r="AA97" s="190"/>
      <c r="AB97" s="190"/>
      <c r="AC97" s="190"/>
      <c r="AD97" s="190"/>
      <c r="AE97" s="190"/>
      <c r="AF97" s="17"/>
      <c r="AG97" s="17"/>
      <c r="AH97" s="17"/>
      <c r="AI97" s="17"/>
      <c r="AJ97" s="17"/>
      <c r="AK97" s="17"/>
      <c r="AL97" s="17"/>
      <c r="AM97" s="17"/>
      <c r="AN97" s="17"/>
      <c r="AO97" s="17"/>
      <c r="AP97" s="17"/>
      <c r="AQ97" s="17"/>
      <c r="AR97" s="17"/>
      <c r="AS97" s="17"/>
      <c r="AT97" s="17"/>
      <c r="AU97" s="17"/>
      <c r="AV97" s="17"/>
      <c r="AW97" s="17"/>
    </row>
    <row r="98" spans="1:49" ht="30" customHeight="1" x14ac:dyDescent="0.3">
      <c r="A98" s="17"/>
      <c r="B98" s="17"/>
      <c r="C98" s="17"/>
      <c r="D98" s="17"/>
      <c r="E98" s="17"/>
      <c r="F98" s="17"/>
      <c r="G98" s="17"/>
      <c r="H98" s="187" t="s">
        <v>925</v>
      </c>
      <c r="I98" s="187"/>
      <c r="J98" s="187"/>
      <c r="K98" s="187"/>
      <c r="L98" s="187"/>
      <c r="M98" s="187"/>
      <c r="N98" s="187"/>
      <c r="O98" s="187"/>
      <c r="P98" s="188" t="s">
        <v>1187</v>
      </c>
      <c r="Q98" s="188"/>
      <c r="R98" s="188"/>
      <c r="S98" s="188"/>
      <c r="T98" s="188"/>
      <c r="U98" s="188"/>
      <c r="V98" s="188"/>
      <c r="W98" s="188"/>
      <c r="X98" s="188"/>
      <c r="Y98" s="188"/>
      <c r="Z98" s="188"/>
      <c r="AA98" s="188"/>
      <c r="AB98" s="188"/>
      <c r="AC98" s="188"/>
      <c r="AD98" s="188"/>
      <c r="AE98" s="188"/>
      <c r="AF98" s="17"/>
      <c r="AG98" s="17"/>
      <c r="AH98" s="17"/>
      <c r="AI98" s="17"/>
      <c r="AJ98" s="17"/>
      <c r="AK98" s="17"/>
      <c r="AL98" s="17"/>
      <c r="AM98" s="17"/>
      <c r="AN98" s="17"/>
      <c r="AO98" s="17"/>
      <c r="AP98" s="17"/>
      <c r="AQ98" s="17"/>
      <c r="AR98" s="17"/>
      <c r="AS98" s="17"/>
      <c r="AT98" s="17"/>
      <c r="AU98" s="17"/>
      <c r="AV98" s="17"/>
      <c r="AW98" s="17"/>
    </row>
    <row r="99" spans="1:49" ht="30" customHeight="1" x14ac:dyDescent="0.3">
      <c r="A99" s="17"/>
      <c r="B99" s="17"/>
      <c r="C99" s="17"/>
      <c r="D99" s="17"/>
      <c r="E99" s="17"/>
      <c r="F99" s="17"/>
      <c r="G99" s="17"/>
      <c r="H99" s="187"/>
      <c r="I99" s="187"/>
      <c r="J99" s="187"/>
      <c r="K99" s="187"/>
      <c r="L99" s="187"/>
      <c r="M99" s="187"/>
      <c r="N99" s="187"/>
      <c r="O99" s="187"/>
      <c r="P99" s="188"/>
      <c r="Q99" s="188"/>
      <c r="R99" s="188"/>
      <c r="S99" s="188"/>
      <c r="T99" s="188"/>
      <c r="U99" s="188"/>
      <c r="V99" s="188"/>
      <c r="W99" s="188"/>
      <c r="X99" s="188"/>
      <c r="Y99" s="188"/>
      <c r="Z99" s="188"/>
      <c r="AA99" s="188"/>
      <c r="AB99" s="188"/>
      <c r="AC99" s="188"/>
      <c r="AD99" s="188"/>
      <c r="AE99" s="188"/>
      <c r="AF99" s="17"/>
      <c r="AG99" s="17"/>
      <c r="AH99" s="17"/>
      <c r="AI99" s="17"/>
      <c r="AJ99" s="17"/>
      <c r="AK99" s="17"/>
      <c r="AL99" s="17"/>
      <c r="AM99" s="17"/>
      <c r="AN99" s="17"/>
      <c r="AO99" s="17"/>
      <c r="AP99" s="17"/>
      <c r="AQ99" s="17"/>
      <c r="AR99" s="17"/>
      <c r="AS99" s="17"/>
      <c r="AT99" s="17"/>
      <c r="AU99" s="17"/>
      <c r="AV99" s="17"/>
      <c r="AW99" s="17"/>
    </row>
    <row r="100" spans="1:49" ht="30" customHeight="1" x14ac:dyDescent="0.3">
      <c r="A100" s="17"/>
      <c r="B100" s="17"/>
      <c r="C100" s="17"/>
      <c r="D100" s="17"/>
      <c r="E100" s="17"/>
      <c r="F100" s="17"/>
      <c r="G100" s="17"/>
      <c r="H100" s="187"/>
      <c r="I100" s="187"/>
      <c r="J100" s="187"/>
      <c r="K100" s="187"/>
      <c r="L100" s="187"/>
      <c r="M100" s="187"/>
      <c r="N100" s="187"/>
      <c r="O100" s="187"/>
      <c r="P100" s="188"/>
      <c r="Q100" s="188"/>
      <c r="R100" s="188"/>
      <c r="S100" s="188"/>
      <c r="T100" s="188"/>
      <c r="U100" s="188"/>
      <c r="V100" s="188"/>
      <c r="W100" s="188"/>
      <c r="X100" s="188"/>
      <c r="Y100" s="188"/>
      <c r="Z100" s="188"/>
      <c r="AA100" s="188"/>
      <c r="AB100" s="188"/>
      <c r="AC100" s="188"/>
      <c r="AD100" s="188"/>
      <c r="AE100" s="188"/>
      <c r="AF100" s="17"/>
      <c r="AG100" s="17"/>
      <c r="AH100" s="17"/>
      <c r="AI100" s="17"/>
      <c r="AJ100" s="17"/>
      <c r="AK100" s="17"/>
      <c r="AL100" s="17"/>
      <c r="AM100" s="17"/>
      <c r="AN100" s="17"/>
      <c r="AO100" s="17"/>
      <c r="AP100" s="17"/>
      <c r="AQ100" s="17"/>
      <c r="AR100" s="17"/>
      <c r="AS100" s="17"/>
      <c r="AT100" s="17"/>
      <c r="AU100" s="17"/>
      <c r="AV100" s="17"/>
      <c r="AW100" s="17"/>
    </row>
    <row r="101" spans="1:49" ht="30" customHeight="1" x14ac:dyDescent="0.3">
      <c r="A101" s="17"/>
      <c r="B101" s="17"/>
      <c r="C101" s="17"/>
      <c r="D101" s="17"/>
      <c r="E101" s="17"/>
      <c r="F101" s="17"/>
      <c r="G101" s="17"/>
      <c r="H101" s="186" t="s">
        <v>1188</v>
      </c>
      <c r="I101" s="186"/>
      <c r="J101" s="186"/>
      <c r="K101" s="186"/>
      <c r="L101" s="186"/>
      <c r="M101" s="186"/>
      <c r="N101" s="186"/>
      <c r="O101" s="186"/>
      <c r="P101" s="186" t="s">
        <v>1131</v>
      </c>
      <c r="Q101" s="186"/>
      <c r="R101" s="186"/>
      <c r="S101" s="186"/>
      <c r="T101" s="186"/>
      <c r="U101" s="186"/>
      <c r="V101" s="186"/>
      <c r="W101" s="186"/>
      <c r="X101" s="186" t="s">
        <v>1132</v>
      </c>
      <c r="Y101" s="186"/>
      <c r="Z101" s="186"/>
      <c r="AA101" s="186"/>
      <c r="AB101" s="186"/>
      <c r="AC101" s="186"/>
      <c r="AD101" s="186"/>
      <c r="AE101" s="186"/>
      <c r="AF101" s="17"/>
      <c r="AG101" s="17"/>
      <c r="AH101" s="17"/>
      <c r="AI101" s="17"/>
      <c r="AJ101" s="17"/>
      <c r="AK101" s="17"/>
      <c r="AL101" s="17"/>
      <c r="AM101" s="17"/>
      <c r="AN101" s="17"/>
      <c r="AO101" s="17"/>
      <c r="AP101" s="17"/>
      <c r="AQ101" s="17"/>
      <c r="AR101" s="17"/>
      <c r="AS101" s="17"/>
      <c r="AT101" s="17"/>
      <c r="AU101" s="17"/>
      <c r="AV101" s="17"/>
      <c r="AW101" s="17"/>
    </row>
    <row r="102" spans="1:49" ht="30" hidden="1" customHeight="1" x14ac:dyDescent="0.3">
      <c r="A102" s="17"/>
      <c r="B102" s="17"/>
      <c r="C102" s="17"/>
      <c r="D102" s="17"/>
      <c r="E102" s="17"/>
      <c r="F102" s="17"/>
      <c r="G102" s="17"/>
      <c r="H102" s="197" t="s">
        <v>933</v>
      </c>
      <c r="I102" s="197"/>
      <c r="J102" s="197"/>
      <c r="K102" s="197"/>
      <c r="L102" s="197"/>
      <c r="M102" s="197"/>
      <c r="N102" s="197"/>
      <c r="O102" s="197"/>
      <c r="P102" s="198"/>
      <c r="Q102" s="198"/>
      <c r="R102" s="198"/>
      <c r="S102" s="198"/>
      <c r="T102" s="198"/>
      <c r="U102" s="198"/>
      <c r="V102" s="198"/>
      <c r="W102" s="198"/>
      <c r="X102" s="198"/>
      <c r="Y102" s="198"/>
      <c r="Z102" s="198"/>
      <c r="AA102" s="198"/>
      <c r="AB102" s="198"/>
      <c r="AC102" s="198"/>
      <c r="AD102" s="198"/>
      <c r="AE102" s="198"/>
      <c r="AF102" s="17"/>
      <c r="AG102" s="17"/>
      <c r="AH102" s="17"/>
      <c r="AI102" s="17"/>
      <c r="AJ102" s="17"/>
      <c r="AK102" s="17"/>
      <c r="AL102" s="17"/>
      <c r="AM102" s="17"/>
      <c r="AN102" s="17"/>
      <c r="AO102" s="17"/>
      <c r="AP102" s="17"/>
      <c r="AQ102" s="17"/>
      <c r="AR102" s="17"/>
      <c r="AS102" s="17"/>
      <c r="AT102" s="17"/>
      <c r="AU102" s="17"/>
      <c r="AV102" s="17"/>
      <c r="AW102" s="17"/>
    </row>
    <row r="103" spans="1:49" ht="30" hidden="1" customHeight="1" x14ac:dyDescent="0.3">
      <c r="A103" s="17"/>
      <c r="B103" s="17"/>
      <c r="C103" s="17"/>
      <c r="D103" s="17"/>
      <c r="E103" s="17"/>
      <c r="F103" s="17"/>
      <c r="G103" s="17"/>
      <c r="H103" s="197"/>
      <c r="I103" s="197"/>
      <c r="J103" s="197"/>
      <c r="K103" s="197"/>
      <c r="L103" s="197"/>
      <c r="M103" s="197"/>
      <c r="N103" s="197"/>
      <c r="O103" s="197"/>
      <c r="P103" s="198"/>
      <c r="Q103" s="198"/>
      <c r="R103" s="198"/>
      <c r="S103" s="198"/>
      <c r="T103" s="198"/>
      <c r="U103" s="198"/>
      <c r="V103" s="198"/>
      <c r="W103" s="198"/>
      <c r="X103" s="198"/>
      <c r="Y103" s="198"/>
      <c r="Z103" s="198"/>
      <c r="AA103" s="198"/>
      <c r="AB103" s="198"/>
      <c r="AC103" s="198"/>
      <c r="AD103" s="198"/>
      <c r="AE103" s="198"/>
      <c r="AF103" s="17"/>
      <c r="AG103" s="17"/>
      <c r="AH103" s="17"/>
      <c r="AI103" s="17"/>
      <c r="AJ103" s="17"/>
      <c r="AK103" s="17"/>
      <c r="AL103" s="17"/>
      <c r="AM103" s="17"/>
      <c r="AN103" s="17"/>
      <c r="AO103" s="17"/>
      <c r="AP103" s="17"/>
      <c r="AQ103" s="17"/>
      <c r="AR103" s="17"/>
      <c r="AS103" s="17"/>
      <c r="AT103" s="17"/>
      <c r="AU103" s="17"/>
      <c r="AV103" s="17"/>
      <c r="AW103" s="17"/>
    </row>
    <row r="104" spans="1:49" ht="30" customHeight="1" x14ac:dyDescent="0.3">
      <c r="A104" s="17"/>
      <c r="B104" s="17"/>
      <c r="C104" s="17"/>
      <c r="D104" s="17"/>
      <c r="E104" s="17"/>
      <c r="F104" s="17"/>
      <c r="G104" s="17"/>
      <c r="H104" s="189" t="s">
        <v>935</v>
      </c>
      <c r="I104" s="189"/>
      <c r="J104" s="189"/>
      <c r="K104" s="189"/>
      <c r="L104" s="189"/>
      <c r="M104" s="189"/>
      <c r="N104" s="189"/>
      <c r="O104" s="189"/>
      <c r="P104" s="190" t="s">
        <v>1189</v>
      </c>
      <c r="Q104" s="190"/>
      <c r="R104" s="190"/>
      <c r="S104" s="190"/>
      <c r="T104" s="190"/>
      <c r="U104" s="190"/>
      <c r="V104" s="190"/>
      <c r="W104" s="190"/>
      <c r="X104" s="190" t="s">
        <v>1190</v>
      </c>
      <c r="Y104" s="190"/>
      <c r="Z104" s="190"/>
      <c r="AA104" s="190"/>
      <c r="AB104" s="190"/>
      <c r="AC104" s="190"/>
      <c r="AD104" s="190"/>
      <c r="AE104" s="190"/>
      <c r="AF104" s="17"/>
      <c r="AG104" s="17"/>
      <c r="AH104" s="17"/>
      <c r="AI104" s="17"/>
      <c r="AJ104" s="17"/>
      <c r="AK104" s="17"/>
      <c r="AL104" s="17"/>
      <c r="AM104" s="17"/>
      <c r="AN104" s="17"/>
      <c r="AO104" s="17"/>
      <c r="AP104" s="17"/>
      <c r="AQ104" s="17"/>
      <c r="AR104" s="17"/>
      <c r="AS104" s="17"/>
      <c r="AT104" s="17"/>
      <c r="AU104" s="17"/>
      <c r="AV104" s="17"/>
      <c r="AW104" s="17"/>
    </row>
    <row r="105" spans="1:49" ht="30" customHeight="1" x14ac:dyDescent="0.3">
      <c r="A105" s="17"/>
      <c r="B105" s="17"/>
      <c r="C105" s="17"/>
      <c r="D105" s="17"/>
      <c r="E105" s="17"/>
      <c r="F105" s="17"/>
      <c r="G105" s="17"/>
      <c r="H105" s="189"/>
      <c r="I105" s="189"/>
      <c r="J105" s="189"/>
      <c r="K105" s="189"/>
      <c r="L105" s="189"/>
      <c r="M105" s="189"/>
      <c r="N105" s="189"/>
      <c r="O105" s="189"/>
      <c r="P105" s="190"/>
      <c r="Q105" s="190"/>
      <c r="R105" s="190"/>
      <c r="S105" s="190"/>
      <c r="T105" s="190"/>
      <c r="U105" s="190"/>
      <c r="V105" s="190"/>
      <c r="W105" s="190"/>
      <c r="X105" s="190"/>
      <c r="Y105" s="190"/>
      <c r="Z105" s="190"/>
      <c r="AA105" s="190"/>
      <c r="AB105" s="190"/>
      <c r="AC105" s="190"/>
      <c r="AD105" s="190"/>
      <c r="AE105" s="190"/>
      <c r="AF105" s="17"/>
      <c r="AG105" s="17"/>
      <c r="AH105" s="17"/>
      <c r="AI105" s="17"/>
      <c r="AJ105" s="17"/>
      <c r="AK105" s="17"/>
      <c r="AL105" s="17"/>
      <c r="AM105" s="17"/>
      <c r="AN105" s="17"/>
      <c r="AO105" s="17"/>
      <c r="AP105" s="17"/>
      <c r="AQ105" s="17"/>
      <c r="AR105" s="17"/>
      <c r="AS105" s="17"/>
      <c r="AT105" s="17"/>
      <c r="AU105" s="17"/>
      <c r="AV105" s="17"/>
      <c r="AW105" s="17"/>
    </row>
    <row r="106" spans="1:49" ht="30" customHeight="1" x14ac:dyDescent="0.3">
      <c r="A106" s="17"/>
      <c r="B106" s="17"/>
      <c r="C106" s="17"/>
      <c r="D106" s="17"/>
      <c r="E106" s="17"/>
      <c r="F106" s="17"/>
      <c r="G106" s="17"/>
      <c r="H106" s="189"/>
      <c r="I106" s="189"/>
      <c r="J106" s="189"/>
      <c r="K106" s="189"/>
      <c r="L106" s="189"/>
      <c r="M106" s="189"/>
      <c r="N106" s="189"/>
      <c r="O106" s="189"/>
      <c r="P106" s="190"/>
      <c r="Q106" s="190"/>
      <c r="R106" s="190"/>
      <c r="S106" s="190"/>
      <c r="T106" s="190"/>
      <c r="U106" s="190"/>
      <c r="V106" s="190"/>
      <c r="W106" s="190"/>
      <c r="X106" s="190"/>
      <c r="Y106" s="190"/>
      <c r="Z106" s="190"/>
      <c r="AA106" s="190"/>
      <c r="AB106" s="190"/>
      <c r="AC106" s="190"/>
      <c r="AD106" s="190"/>
      <c r="AE106" s="190"/>
      <c r="AF106" s="17"/>
      <c r="AG106" s="17"/>
      <c r="AH106" s="17"/>
      <c r="AI106" s="17"/>
      <c r="AJ106" s="17"/>
      <c r="AK106" s="17"/>
      <c r="AL106" s="17"/>
      <c r="AM106" s="17"/>
      <c r="AN106" s="17"/>
      <c r="AO106" s="17"/>
      <c r="AP106" s="17"/>
      <c r="AQ106" s="17"/>
      <c r="AR106" s="17"/>
      <c r="AS106" s="17"/>
      <c r="AT106" s="17"/>
      <c r="AU106" s="17"/>
      <c r="AV106" s="17"/>
      <c r="AW106" s="17"/>
    </row>
    <row r="107" spans="1:49" ht="30" customHeight="1" x14ac:dyDescent="0.3">
      <c r="A107" s="17"/>
      <c r="B107" s="17"/>
      <c r="C107" s="17"/>
      <c r="D107" s="17"/>
      <c r="E107" s="17"/>
      <c r="F107" s="17"/>
      <c r="G107" s="17"/>
      <c r="H107" s="187" t="s">
        <v>936</v>
      </c>
      <c r="I107" s="187"/>
      <c r="J107" s="187"/>
      <c r="K107" s="187"/>
      <c r="L107" s="187"/>
      <c r="M107" s="187"/>
      <c r="N107" s="187"/>
      <c r="O107" s="187"/>
      <c r="P107" s="188" t="s">
        <v>1191</v>
      </c>
      <c r="Q107" s="188"/>
      <c r="R107" s="188"/>
      <c r="S107" s="188"/>
      <c r="T107" s="188"/>
      <c r="U107" s="188"/>
      <c r="V107" s="188"/>
      <c r="W107" s="188"/>
      <c r="X107" s="188" t="s">
        <v>1192</v>
      </c>
      <c r="Y107" s="188"/>
      <c r="Z107" s="188"/>
      <c r="AA107" s="188"/>
      <c r="AB107" s="188"/>
      <c r="AC107" s="188"/>
      <c r="AD107" s="188"/>
      <c r="AE107" s="188"/>
      <c r="AF107" s="17"/>
      <c r="AG107" s="17"/>
      <c r="AH107" s="17"/>
      <c r="AI107" s="17"/>
      <c r="AJ107" s="17"/>
      <c r="AK107" s="17"/>
      <c r="AL107" s="17"/>
      <c r="AM107" s="17"/>
      <c r="AN107" s="17"/>
      <c r="AO107" s="17"/>
      <c r="AP107" s="17"/>
      <c r="AQ107" s="17"/>
      <c r="AR107" s="17"/>
      <c r="AS107" s="17"/>
      <c r="AT107" s="17"/>
      <c r="AU107" s="17"/>
      <c r="AV107" s="17"/>
      <c r="AW107" s="17"/>
    </row>
    <row r="108" spans="1:49" ht="30" customHeight="1" x14ac:dyDescent="0.3">
      <c r="A108" s="17"/>
      <c r="B108" s="17"/>
      <c r="C108" s="17"/>
      <c r="D108" s="17"/>
      <c r="E108" s="17"/>
      <c r="F108" s="17"/>
      <c r="G108" s="17"/>
      <c r="H108" s="187"/>
      <c r="I108" s="187"/>
      <c r="J108" s="187"/>
      <c r="K108" s="187"/>
      <c r="L108" s="187"/>
      <c r="M108" s="187"/>
      <c r="N108" s="187"/>
      <c r="O108" s="187"/>
      <c r="P108" s="188"/>
      <c r="Q108" s="188"/>
      <c r="R108" s="188"/>
      <c r="S108" s="188"/>
      <c r="T108" s="188"/>
      <c r="U108" s="188"/>
      <c r="V108" s="188"/>
      <c r="W108" s="188"/>
      <c r="X108" s="188"/>
      <c r="Y108" s="188"/>
      <c r="Z108" s="188"/>
      <c r="AA108" s="188"/>
      <c r="AB108" s="188"/>
      <c r="AC108" s="188"/>
      <c r="AD108" s="188"/>
      <c r="AE108" s="188"/>
      <c r="AF108" s="17"/>
      <c r="AG108" s="17"/>
      <c r="AH108" s="17"/>
      <c r="AI108" s="17"/>
      <c r="AJ108" s="17"/>
      <c r="AK108" s="17"/>
      <c r="AL108" s="17"/>
      <c r="AM108" s="17"/>
      <c r="AN108" s="17"/>
      <c r="AO108" s="17"/>
      <c r="AP108" s="17"/>
      <c r="AQ108" s="17"/>
      <c r="AR108" s="17"/>
      <c r="AS108" s="17"/>
      <c r="AT108" s="17"/>
      <c r="AU108" s="17"/>
      <c r="AV108" s="17"/>
      <c r="AW108" s="17"/>
    </row>
    <row r="109" spans="1:49" ht="30" customHeight="1" x14ac:dyDescent="0.3">
      <c r="A109" s="17"/>
      <c r="B109" s="17"/>
      <c r="C109" s="17"/>
      <c r="D109" s="17"/>
      <c r="E109" s="17"/>
      <c r="F109" s="17"/>
      <c r="G109" s="17"/>
      <c r="H109" s="189" t="s">
        <v>1193</v>
      </c>
      <c r="I109" s="189"/>
      <c r="J109" s="189"/>
      <c r="K109" s="189"/>
      <c r="L109" s="189"/>
      <c r="M109" s="189"/>
      <c r="N109" s="189"/>
      <c r="O109" s="189"/>
      <c r="P109" s="190" t="s">
        <v>1194</v>
      </c>
      <c r="Q109" s="190"/>
      <c r="R109" s="190"/>
      <c r="S109" s="190"/>
      <c r="T109" s="190"/>
      <c r="U109" s="190"/>
      <c r="V109" s="190"/>
      <c r="W109" s="190"/>
      <c r="X109" s="190" t="s">
        <v>1201</v>
      </c>
      <c r="Y109" s="190"/>
      <c r="Z109" s="190"/>
      <c r="AA109" s="190"/>
      <c r="AB109" s="190"/>
      <c r="AC109" s="190"/>
      <c r="AD109" s="190"/>
      <c r="AE109" s="190"/>
      <c r="AF109" s="17"/>
      <c r="AG109" s="17"/>
      <c r="AH109" s="17"/>
      <c r="AI109" s="17"/>
      <c r="AJ109" s="17"/>
      <c r="AK109" s="17"/>
      <c r="AL109" s="17"/>
      <c r="AM109" s="17"/>
      <c r="AN109" s="17"/>
      <c r="AO109" s="17"/>
      <c r="AP109" s="17"/>
      <c r="AQ109" s="17"/>
      <c r="AR109" s="17"/>
      <c r="AS109" s="17"/>
      <c r="AT109" s="17"/>
      <c r="AU109" s="17"/>
      <c r="AV109" s="17"/>
      <c r="AW109" s="17"/>
    </row>
    <row r="110" spans="1:49" ht="30" customHeight="1" x14ac:dyDescent="0.3">
      <c r="A110" s="17"/>
      <c r="B110" s="17"/>
      <c r="C110" s="17"/>
      <c r="D110" s="17"/>
      <c r="E110" s="17"/>
      <c r="F110" s="17"/>
      <c r="G110" s="17"/>
      <c r="H110" s="189"/>
      <c r="I110" s="189"/>
      <c r="J110" s="189"/>
      <c r="K110" s="189"/>
      <c r="L110" s="189"/>
      <c r="M110" s="189"/>
      <c r="N110" s="189"/>
      <c r="O110" s="189"/>
      <c r="P110" s="190"/>
      <c r="Q110" s="190"/>
      <c r="R110" s="190"/>
      <c r="S110" s="190"/>
      <c r="T110" s="190"/>
      <c r="U110" s="190"/>
      <c r="V110" s="190"/>
      <c r="W110" s="190"/>
      <c r="X110" s="190"/>
      <c r="Y110" s="190"/>
      <c r="Z110" s="190"/>
      <c r="AA110" s="190"/>
      <c r="AB110" s="190"/>
      <c r="AC110" s="190"/>
      <c r="AD110" s="190"/>
      <c r="AE110" s="190"/>
      <c r="AF110" s="17"/>
      <c r="AG110" s="17"/>
      <c r="AH110" s="17"/>
      <c r="AI110" s="17"/>
      <c r="AJ110" s="17"/>
      <c r="AK110" s="17"/>
      <c r="AL110" s="17"/>
      <c r="AM110" s="17"/>
      <c r="AN110" s="17"/>
      <c r="AO110" s="17"/>
      <c r="AP110" s="17"/>
      <c r="AQ110" s="17"/>
      <c r="AR110" s="17"/>
      <c r="AS110" s="17"/>
      <c r="AT110" s="17"/>
      <c r="AU110" s="17"/>
      <c r="AV110" s="17"/>
      <c r="AW110" s="17"/>
    </row>
    <row r="111" spans="1:49" ht="30" customHeight="1" x14ac:dyDescent="0.3">
      <c r="A111" s="17"/>
      <c r="B111" s="17"/>
      <c r="C111" s="17"/>
      <c r="D111" s="17"/>
      <c r="E111" s="17"/>
      <c r="F111" s="17"/>
      <c r="G111" s="17"/>
      <c r="H111" s="189"/>
      <c r="I111" s="189"/>
      <c r="J111" s="189"/>
      <c r="K111" s="189"/>
      <c r="L111" s="189"/>
      <c r="M111" s="189"/>
      <c r="N111" s="189"/>
      <c r="O111" s="189"/>
      <c r="P111" s="190"/>
      <c r="Q111" s="190"/>
      <c r="R111" s="190"/>
      <c r="S111" s="190"/>
      <c r="T111" s="190"/>
      <c r="U111" s="190"/>
      <c r="V111" s="190"/>
      <c r="W111" s="190"/>
      <c r="X111" s="190"/>
      <c r="Y111" s="190"/>
      <c r="Z111" s="190"/>
      <c r="AA111" s="190"/>
      <c r="AB111" s="190"/>
      <c r="AC111" s="190"/>
      <c r="AD111" s="190"/>
      <c r="AE111" s="190"/>
      <c r="AF111" s="17"/>
      <c r="AG111" s="17"/>
      <c r="AH111" s="17"/>
      <c r="AI111" s="17"/>
      <c r="AJ111" s="17"/>
      <c r="AK111" s="17"/>
      <c r="AL111" s="17"/>
      <c r="AM111" s="17"/>
      <c r="AN111" s="17"/>
      <c r="AO111" s="17"/>
      <c r="AP111" s="17"/>
      <c r="AQ111" s="17"/>
      <c r="AR111" s="17"/>
      <c r="AS111" s="17"/>
      <c r="AT111" s="17"/>
      <c r="AU111" s="17"/>
      <c r="AV111" s="17"/>
      <c r="AW111" s="17"/>
    </row>
    <row r="112" spans="1:49" ht="30" customHeight="1" x14ac:dyDescent="0.3">
      <c r="A112" s="17"/>
      <c r="B112" s="17"/>
      <c r="C112" s="17"/>
      <c r="D112" s="17"/>
      <c r="E112" s="17"/>
      <c r="F112" s="17"/>
      <c r="G112" s="17"/>
      <c r="H112" s="189"/>
      <c r="I112" s="189"/>
      <c r="J112" s="189"/>
      <c r="K112" s="189"/>
      <c r="L112" s="189"/>
      <c r="M112" s="189"/>
      <c r="N112" s="189"/>
      <c r="O112" s="189"/>
      <c r="P112" s="190"/>
      <c r="Q112" s="190"/>
      <c r="R112" s="190"/>
      <c r="S112" s="190"/>
      <c r="T112" s="190"/>
      <c r="U112" s="190"/>
      <c r="V112" s="190"/>
      <c r="W112" s="190"/>
      <c r="X112" s="190"/>
      <c r="Y112" s="190"/>
      <c r="Z112" s="190"/>
      <c r="AA112" s="190"/>
      <c r="AB112" s="190"/>
      <c r="AC112" s="190"/>
      <c r="AD112" s="190"/>
      <c r="AE112" s="190"/>
      <c r="AF112" s="17"/>
      <c r="AG112" s="17"/>
      <c r="AH112" s="17"/>
      <c r="AI112" s="17"/>
      <c r="AJ112" s="17"/>
      <c r="AK112" s="17"/>
      <c r="AL112" s="17"/>
      <c r="AM112" s="17"/>
      <c r="AN112" s="17"/>
      <c r="AO112" s="17"/>
      <c r="AP112" s="17"/>
      <c r="AQ112" s="17"/>
      <c r="AR112" s="17"/>
      <c r="AS112" s="17"/>
      <c r="AT112" s="17"/>
      <c r="AU112" s="17"/>
      <c r="AV112" s="17"/>
      <c r="AW112" s="17"/>
    </row>
    <row r="113" spans="1:49" ht="30" customHeight="1" x14ac:dyDescent="0.3">
      <c r="A113" s="17"/>
      <c r="B113" s="17"/>
      <c r="C113" s="17"/>
      <c r="D113" s="17"/>
      <c r="E113" s="17"/>
      <c r="F113" s="17"/>
      <c r="G113" s="17"/>
      <c r="H113" s="189"/>
      <c r="I113" s="189"/>
      <c r="J113" s="189"/>
      <c r="K113" s="189"/>
      <c r="L113" s="189"/>
      <c r="M113" s="189"/>
      <c r="N113" s="189"/>
      <c r="O113" s="189"/>
      <c r="P113" s="190"/>
      <c r="Q113" s="190"/>
      <c r="R113" s="190"/>
      <c r="S113" s="190"/>
      <c r="T113" s="190"/>
      <c r="U113" s="190"/>
      <c r="V113" s="190"/>
      <c r="W113" s="190"/>
      <c r="X113" s="190"/>
      <c r="Y113" s="190"/>
      <c r="Z113" s="190"/>
      <c r="AA113" s="190"/>
      <c r="AB113" s="190"/>
      <c r="AC113" s="190"/>
      <c r="AD113" s="190"/>
      <c r="AE113" s="190"/>
      <c r="AF113" s="17"/>
      <c r="AG113" s="17"/>
      <c r="AH113" s="17"/>
      <c r="AI113" s="17"/>
      <c r="AJ113" s="17"/>
      <c r="AK113" s="17"/>
      <c r="AL113" s="17"/>
      <c r="AM113" s="17"/>
      <c r="AN113" s="17"/>
      <c r="AO113" s="17"/>
      <c r="AP113" s="17"/>
      <c r="AQ113" s="17"/>
      <c r="AR113" s="17"/>
      <c r="AS113" s="17"/>
      <c r="AT113" s="17"/>
      <c r="AU113" s="17"/>
      <c r="AV113" s="17"/>
      <c r="AW113" s="17"/>
    </row>
    <row r="114" spans="1:49" ht="30" customHeight="1" x14ac:dyDescent="0.3">
      <c r="A114" s="17"/>
      <c r="B114" s="17"/>
      <c r="C114" s="17"/>
      <c r="D114" s="17"/>
      <c r="E114" s="17"/>
      <c r="F114" s="17"/>
      <c r="G114" s="17"/>
      <c r="H114" s="186" t="s">
        <v>937</v>
      </c>
      <c r="I114" s="186"/>
      <c r="J114" s="186"/>
      <c r="K114" s="186"/>
      <c r="L114" s="186"/>
      <c r="M114" s="186"/>
      <c r="N114" s="186"/>
      <c r="O114" s="186"/>
      <c r="P114" s="186" t="s">
        <v>1131</v>
      </c>
      <c r="Q114" s="186"/>
      <c r="R114" s="186"/>
      <c r="S114" s="186"/>
      <c r="T114" s="186"/>
      <c r="U114" s="186"/>
      <c r="V114" s="186"/>
      <c r="W114" s="186"/>
      <c r="X114" s="186" t="s">
        <v>1132</v>
      </c>
      <c r="Y114" s="186"/>
      <c r="Z114" s="186"/>
      <c r="AA114" s="186"/>
      <c r="AB114" s="186"/>
      <c r="AC114" s="186"/>
      <c r="AD114" s="186"/>
      <c r="AE114" s="186"/>
      <c r="AF114" s="17"/>
      <c r="AG114" s="17"/>
      <c r="AH114" s="17"/>
      <c r="AI114" s="17"/>
      <c r="AJ114" s="17"/>
      <c r="AK114" s="17"/>
      <c r="AL114" s="17"/>
      <c r="AM114" s="17"/>
      <c r="AN114" s="17"/>
      <c r="AO114" s="17"/>
      <c r="AP114" s="17"/>
      <c r="AQ114" s="17"/>
      <c r="AR114" s="17"/>
      <c r="AS114" s="17"/>
      <c r="AT114" s="17"/>
      <c r="AU114" s="17"/>
      <c r="AV114" s="17"/>
      <c r="AW114" s="17"/>
    </row>
    <row r="115" spans="1:49" ht="30" customHeight="1" x14ac:dyDescent="0.3">
      <c r="A115" s="17"/>
      <c r="B115" s="17"/>
      <c r="C115" s="17"/>
      <c r="D115" s="17"/>
      <c r="E115" s="17"/>
      <c r="F115" s="17"/>
      <c r="G115" s="17"/>
      <c r="H115" s="187" t="s">
        <v>939</v>
      </c>
      <c r="I115" s="187"/>
      <c r="J115" s="187"/>
      <c r="K115" s="187"/>
      <c r="L115" s="187"/>
      <c r="M115" s="187"/>
      <c r="N115" s="187"/>
      <c r="O115" s="187"/>
      <c r="P115" s="188" t="s">
        <v>1195</v>
      </c>
      <c r="Q115" s="188"/>
      <c r="R115" s="188"/>
      <c r="S115" s="188"/>
      <c r="T115" s="188"/>
      <c r="U115" s="188"/>
      <c r="V115" s="188"/>
      <c r="W115" s="188"/>
      <c r="X115" s="188" t="s">
        <v>1196</v>
      </c>
      <c r="Y115" s="188"/>
      <c r="Z115" s="188"/>
      <c r="AA115" s="188"/>
      <c r="AB115" s="188"/>
      <c r="AC115" s="188"/>
      <c r="AD115" s="188"/>
      <c r="AE115" s="188"/>
      <c r="AF115" s="17"/>
      <c r="AG115" s="17"/>
      <c r="AH115" s="17"/>
      <c r="AI115" s="17"/>
      <c r="AJ115" s="17"/>
      <c r="AK115" s="17"/>
      <c r="AL115" s="17"/>
      <c r="AM115" s="17"/>
      <c r="AN115" s="17"/>
      <c r="AO115" s="17"/>
      <c r="AP115" s="17"/>
      <c r="AQ115" s="17"/>
      <c r="AR115" s="17"/>
      <c r="AS115" s="17"/>
      <c r="AT115" s="17"/>
      <c r="AU115" s="17"/>
      <c r="AV115" s="17"/>
      <c r="AW115" s="17"/>
    </row>
    <row r="116" spans="1:49" ht="30" customHeight="1" x14ac:dyDescent="0.3">
      <c r="A116" s="17"/>
      <c r="B116" s="17"/>
      <c r="C116" s="17"/>
      <c r="D116" s="17"/>
      <c r="E116" s="17"/>
      <c r="F116" s="17"/>
      <c r="G116" s="17"/>
      <c r="H116" s="187"/>
      <c r="I116" s="187"/>
      <c r="J116" s="187"/>
      <c r="K116" s="187"/>
      <c r="L116" s="187"/>
      <c r="M116" s="187"/>
      <c r="N116" s="187"/>
      <c r="O116" s="187"/>
      <c r="P116" s="188"/>
      <c r="Q116" s="188"/>
      <c r="R116" s="188"/>
      <c r="S116" s="188"/>
      <c r="T116" s="188"/>
      <c r="U116" s="188"/>
      <c r="V116" s="188"/>
      <c r="W116" s="188"/>
      <c r="X116" s="188"/>
      <c r="Y116" s="188"/>
      <c r="Z116" s="188"/>
      <c r="AA116" s="188"/>
      <c r="AB116" s="188"/>
      <c r="AC116" s="188"/>
      <c r="AD116" s="188"/>
      <c r="AE116" s="188"/>
      <c r="AF116" s="17"/>
      <c r="AG116" s="17"/>
      <c r="AH116" s="17"/>
      <c r="AI116" s="17"/>
      <c r="AJ116" s="17"/>
      <c r="AK116" s="17"/>
      <c r="AL116" s="17"/>
      <c r="AM116" s="17"/>
      <c r="AN116" s="17"/>
      <c r="AO116" s="17"/>
      <c r="AP116" s="17"/>
      <c r="AQ116" s="17"/>
      <c r="AR116" s="17"/>
      <c r="AS116" s="17"/>
      <c r="AT116" s="17"/>
      <c r="AU116" s="17"/>
      <c r="AV116" s="17"/>
      <c r="AW116" s="17"/>
    </row>
    <row r="117" spans="1:49" ht="30" customHeight="1" x14ac:dyDescent="0.3">
      <c r="A117" s="17"/>
      <c r="B117" s="17"/>
      <c r="C117" s="17"/>
      <c r="D117" s="17"/>
      <c r="E117" s="17"/>
      <c r="F117" s="17"/>
      <c r="G117" s="17"/>
      <c r="H117" s="187"/>
      <c r="I117" s="187"/>
      <c r="J117" s="187"/>
      <c r="K117" s="187"/>
      <c r="L117" s="187"/>
      <c r="M117" s="187"/>
      <c r="N117" s="187"/>
      <c r="O117" s="187"/>
      <c r="P117" s="188"/>
      <c r="Q117" s="188"/>
      <c r="R117" s="188"/>
      <c r="S117" s="188"/>
      <c r="T117" s="188"/>
      <c r="U117" s="188"/>
      <c r="V117" s="188"/>
      <c r="W117" s="188"/>
      <c r="X117" s="188"/>
      <c r="Y117" s="188"/>
      <c r="Z117" s="188"/>
      <c r="AA117" s="188"/>
      <c r="AB117" s="188"/>
      <c r="AC117" s="188"/>
      <c r="AD117" s="188"/>
      <c r="AE117" s="188"/>
      <c r="AF117" s="17"/>
      <c r="AG117" s="17"/>
      <c r="AH117" s="17"/>
      <c r="AI117" s="17"/>
      <c r="AJ117" s="17"/>
      <c r="AK117" s="17"/>
      <c r="AL117" s="17"/>
      <c r="AM117" s="17"/>
      <c r="AN117" s="17"/>
      <c r="AO117" s="17"/>
      <c r="AP117" s="17"/>
      <c r="AQ117" s="17"/>
      <c r="AR117" s="17"/>
      <c r="AS117" s="17"/>
      <c r="AT117" s="17"/>
      <c r="AU117" s="17"/>
      <c r="AV117" s="17"/>
      <c r="AW117" s="17"/>
    </row>
    <row r="118" spans="1:49" ht="30" customHeight="1" x14ac:dyDescent="0.3">
      <c r="A118" s="17"/>
      <c r="B118" s="17"/>
      <c r="C118" s="17"/>
      <c r="D118" s="17"/>
      <c r="E118" s="17"/>
      <c r="F118" s="17"/>
      <c r="G118" s="17"/>
      <c r="H118" s="189" t="s">
        <v>938</v>
      </c>
      <c r="I118" s="189"/>
      <c r="J118" s="189"/>
      <c r="K118" s="189"/>
      <c r="L118" s="189"/>
      <c r="M118" s="189"/>
      <c r="N118" s="189"/>
      <c r="O118" s="189"/>
      <c r="P118" s="190" t="s">
        <v>1197</v>
      </c>
      <c r="Q118" s="190"/>
      <c r="R118" s="190"/>
      <c r="S118" s="190"/>
      <c r="T118" s="190"/>
      <c r="U118" s="190"/>
      <c r="V118" s="190"/>
      <c r="W118" s="190"/>
      <c r="X118" s="190" t="s">
        <v>1198</v>
      </c>
      <c r="Y118" s="190"/>
      <c r="Z118" s="190"/>
      <c r="AA118" s="190"/>
      <c r="AB118" s="190"/>
      <c r="AC118" s="190"/>
      <c r="AD118" s="190"/>
      <c r="AE118" s="190"/>
      <c r="AF118" s="17"/>
      <c r="AG118" s="17"/>
      <c r="AH118" s="17"/>
      <c r="AI118" s="17"/>
      <c r="AJ118" s="17"/>
      <c r="AK118" s="17"/>
      <c r="AL118" s="17"/>
      <c r="AM118" s="17"/>
      <c r="AN118" s="17"/>
      <c r="AO118" s="17"/>
      <c r="AP118" s="17"/>
      <c r="AQ118" s="17"/>
      <c r="AR118" s="17"/>
      <c r="AS118" s="17"/>
      <c r="AT118" s="17"/>
      <c r="AU118" s="17"/>
      <c r="AV118" s="17"/>
      <c r="AW118" s="17"/>
    </row>
    <row r="119" spans="1:49" ht="30" customHeight="1" x14ac:dyDescent="0.3">
      <c r="A119" s="17"/>
      <c r="B119" s="17"/>
      <c r="C119" s="17"/>
      <c r="D119" s="17"/>
      <c r="E119" s="17"/>
      <c r="F119" s="17"/>
      <c r="G119" s="17"/>
      <c r="H119" s="189"/>
      <c r="I119" s="189"/>
      <c r="J119" s="189"/>
      <c r="K119" s="189"/>
      <c r="L119" s="189"/>
      <c r="M119" s="189"/>
      <c r="N119" s="189"/>
      <c r="O119" s="189"/>
      <c r="P119" s="190"/>
      <c r="Q119" s="190"/>
      <c r="R119" s="190"/>
      <c r="S119" s="190"/>
      <c r="T119" s="190"/>
      <c r="U119" s="190"/>
      <c r="V119" s="190"/>
      <c r="W119" s="190"/>
      <c r="X119" s="190"/>
      <c r="Y119" s="190"/>
      <c r="Z119" s="190"/>
      <c r="AA119" s="190"/>
      <c r="AB119" s="190"/>
      <c r="AC119" s="190"/>
      <c r="AD119" s="190"/>
      <c r="AE119" s="190"/>
      <c r="AF119" s="17"/>
      <c r="AG119" s="17"/>
      <c r="AH119" s="17"/>
      <c r="AI119" s="17"/>
      <c r="AJ119" s="17"/>
      <c r="AK119" s="17"/>
      <c r="AL119" s="17"/>
      <c r="AM119" s="17"/>
      <c r="AN119" s="17"/>
      <c r="AO119" s="17"/>
      <c r="AP119" s="17"/>
      <c r="AQ119" s="17"/>
      <c r="AR119" s="17"/>
      <c r="AS119" s="17"/>
      <c r="AT119" s="17"/>
      <c r="AU119" s="17"/>
      <c r="AV119" s="17"/>
      <c r="AW119" s="17"/>
    </row>
    <row r="120" spans="1:49" ht="30" customHeight="1" x14ac:dyDescent="0.3">
      <c r="A120" s="17"/>
      <c r="B120" s="17"/>
      <c r="C120" s="17"/>
      <c r="D120" s="17"/>
      <c r="E120" s="17"/>
      <c r="F120" s="17"/>
      <c r="G120" s="17"/>
      <c r="H120" s="189"/>
      <c r="I120" s="189"/>
      <c r="J120" s="189"/>
      <c r="K120" s="189"/>
      <c r="L120" s="189"/>
      <c r="M120" s="189"/>
      <c r="N120" s="189"/>
      <c r="O120" s="189"/>
      <c r="P120" s="190"/>
      <c r="Q120" s="190"/>
      <c r="R120" s="190"/>
      <c r="S120" s="190"/>
      <c r="T120" s="190"/>
      <c r="U120" s="190"/>
      <c r="V120" s="190"/>
      <c r="W120" s="190"/>
      <c r="X120" s="190"/>
      <c r="Y120" s="190"/>
      <c r="Z120" s="190"/>
      <c r="AA120" s="190"/>
      <c r="AB120" s="190"/>
      <c r="AC120" s="190"/>
      <c r="AD120" s="190"/>
      <c r="AE120" s="190"/>
      <c r="AF120" s="17"/>
      <c r="AG120" s="17"/>
      <c r="AH120" s="17"/>
      <c r="AI120" s="17"/>
      <c r="AJ120" s="17"/>
      <c r="AK120" s="17"/>
      <c r="AL120" s="17"/>
      <c r="AM120" s="17"/>
      <c r="AN120" s="17"/>
      <c r="AO120" s="17"/>
      <c r="AP120" s="17"/>
      <c r="AQ120" s="17"/>
      <c r="AR120" s="17"/>
      <c r="AS120" s="17"/>
      <c r="AT120" s="17"/>
      <c r="AU120" s="17"/>
      <c r="AV120" s="17"/>
      <c r="AW120" s="17"/>
    </row>
    <row r="121" spans="1:49" ht="30" customHeight="1" x14ac:dyDescent="0.3">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row>
    <row r="122" spans="1:49" ht="30" customHeight="1" x14ac:dyDescent="0.3">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row>
  </sheetData>
  <sheetProtection algorithmName="SHA-512" hashValue="F9/Uloswg5+YO0Cnv3Iye8MiscYdMaOm+1lrCPttkxUIhmSmJ1gQibegMtfCjWlI9eeHP8O5qtECiYmqVtO1Qw==" saltValue="jx4WbXsxFQFMk6RciM7zxQ==" spinCount="100000" sheet="1" objects="1" scenarios="1" formatCells="0" formatColumns="0" formatRows="0"/>
  <mergeCells count="190">
    <mergeCell ref="AG44:AH44"/>
    <mergeCell ref="AG45:AH45"/>
    <mergeCell ref="AG46:AH46"/>
    <mergeCell ref="AG27:AP28"/>
    <mergeCell ref="AG24:AP25"/>
    <mergeCell ref="AG8:AP8"/>
    <mergeCell ref="AG9:AP10"/>
    <mergeCell ref="AG22:AP22"/>
    <mergeCell ref="AG23:AP23"/>
    <mergeCell ref="AG26:AP26"/>
    <mergeCell ref="AG18:AP18"/>
    <mergeCell ref="AG19:AP19"/>
    <mergeCell ref="AG16:AP16"/>
    <mergeCell ref="AG17:AP17"/>
    <mergeCell ref="AG11:AP11"/>
    <mergeCell ref="AG12:AP13"/>
    <mergeCell ref="AG14:AP14"/>
    <mergeCell ref="AG20:AP21"/>
    <mergeCell ref="AG15:AP15"/>
    <mergeCell ref="AG38:AH38"/>
    <mergeCell ref="AG39:AH39"/>
    <mergeCell ref="AG40:AH40"/>
    <mergeCell ref="AI47:AP47"/>
    <mergeCell ref="AG47:AH47"/>
    <mergeCell ref="H24:O26"/>
    <mergeCell ref="P24:W26"/>
    <mergeCell ref="AI35:AP35"/>
    <mergeCell ref="AI36:AP36"/>
    <mergeCell ref="AI37:AP37"/>
    <mergeCell ref="AI38:AP38"/>
    <mergeCell ref="AI39:AP39"/>
    <mergeCell ref="AI40:AP40"/>
    <mergeCell ref="AI41:AP41"/>
    <mergeCell ref="P38:W42"/>
    <mergeCell ref="X38:AE42"/>
    <mergeCell ref="AI42:AP42"/>
    <mergeCell ref="AI43:AP43"/>
    <mergeCell ref="AI44:AP44"/>
    <mergeCell ref="AI45:AP45"/>
    <mergeCell ref="AI46:AP46"/>
    <mergeCell ref="AG41:AH41"/>
    <mergeCell ref="P27:W30"/>
    <mergeCell ref="X27:AE30"/>
    <mergeCell ref="H31:O33"/>
    <mergeCell ref="AG42:AH42"/>
    <mergeCell ref="AG43:AH43"/>
    <mergeCell ref="P31:W33"/>
    <mergeCell ref="X31:AE33"/>
    <mergeCell ref="X24:AE26"/>
    <mergeCell ref="AG35:AH35"/>
    <mergeCell ref="AG36:AH36"/>
    <mergeCell ref="AG37:AH37"/>
    <mergeCell ref="AG32:AH32"/>
    <mergeCell ref="AI32:AP32"/>
    <mergeCell ref="AG33:AH33"/>
    <mergeCell ref="AG34:AH34"/>
    <mergeCell ref="AI33:AP33"/>
    <mergeCell ref="AI34:AP34"/>
    <mergeCell ref="H34:O35"/>
    <mergeCell ref="P34:W35"/>
    <mergeCell ref="X34:AE35"/>
    <mergeCell ref="H36:O37"/>
    <mergeCell ref="P36:W37"/>
    <mergeCell ref="X36:AE37"/>
    <mergeCell ref="H118:O120"/>
    <mergeCell ref="P118:W120"/>
    <mergeCell ref="X118:AE120"/>
    <mergeCell ref="X98:AE100"/>
    <mergeCell ref="H91:O92"/>
    <mergeCell ref="P91:W92"/>
    <mergeCell ref="X91:AE92"/>
    <mergeCell ref="H93:O94"/>
    <mergeCell ref="P93:W94"/>
    <mergeCell ref="X93:AE94"/>
    <mergeCell ref="H87:O88"/>
    <mergeCell ref="P87:W88"/>
    <mergeCell ref="X87:AE88"/>
    <mergeCell ref="H89:O90"/>
    <mergeCell ref="P89:W90"/>
    <mergeCell ref="X89:AE90"/>
    <mergeCell ref="H84:O86"/>
    <mergeCell ref="P84:W86"/>
    <mergeCell ref="H3:AE4"/>
    <mergeCell ref="AG3:AP3"/>
    <mergeCell ref="H115:O117"/>
    <mergeCell ref="P115:W117"/>
    <mergeCell ref="X115:AE117"/>
    <mergeCell ref="H107:O108"/>
    <mergeCell ref="P107:W108"/>
    <mergeCell ref="X107:AE108"/>
    <mergeCell ref="H109:O113"/>
    <mergeCell ref="P109:W113"/>
    <mergeCell ref="X109:AE113"/>
    <mergeCell ref="H102:O103"/>
    <mergeCell ref="P102:W103"/>
    <mergeCell ref="X102:AE103"/>
    <mergeCell ref="H104:O106"/>
    <mergeCell ref="P104:W106"/>
    <mergeCell ref="X104:AE106"/>
    <mergeCell ref="H95:O97"/>
    <mergeCell ref="P95:W97"/>
    <mergeCell ref="H38:O42"/>
    <mergeCell ref="AG31:AP31"/>
    <mergeCell ref="X95:AE97"/>
    <mergeCell ref="H98:O100"/>
    <mergeCell ref="P98:W100"/>
    <mergeCell ref="X84:AE86"/>
    <mergeCell ref="P79:W80"/>
    <mergeCell ref="X79:AE80"/>
    <mergeCell ref="H71:AE71"/>
    <mergeCell ref="H81:O83"/>
    <mergeCell ref="P81:W83"/>
    <mergeCell ref="X81:AE83"/>
    <mergeCell ref="H76:O78"/>
    <mergeCell ref="P76:W78"/>
    <mergeCell ref="X76:AE78"/>
    <mergeCell ref="H69:O70"/>
    <mergeCell ref="P69:W70"/>
    <mergeCell ref="X69:AE70"/>
    <mergeCell ref="H73:O75"/>
    <mergeCell ref="P73:W75"/>
    <mergeCell ref="X73:AE75"/>
    <mergeCell ref="H61:O64"/>
    <mergeCell ref="P61:W64"/>
    <mergeCell ref="X61:AE64"/>
    <mergeCell ref="H65:O68"/>
    <mergeCell ref="P65:W68"/>
    <mergeCell ref="X65:AE68"/>
    <mergeCell ref="H72:O72"/>
    <mergeCell ref="P72:W72"/>
    <mergeCell ref="X72:AE72"/>
    <mergeCell ref="H51:O52"/>
    <mergeCell ref="P51:W52"/>
    <mergeCell ref="X51:AE52"/>
    <mergeCell ref="H54:O55"/>
    <mergeCell ref="P54:W55"/>
    <mergeCell ref="X54:AE55"/>
    <mergeCell ref="H44:O47"/>
    <mergeCell ref="P44:W47"/>
    <mergeCell ref="X44:AE47"/>
    <mergeCell ref="P53:W53"/>
    <mergeCell ref="X53:AE53"/>
    <mergeCell ref="H43:O43"/>
    <mergeCell ref="P43:W43"/>
    <mergeCell ref="X43:AE43"/>
    <mergeCell ref="X48:AE50"/>
    <mergeCell ref="H1:AE2"/>
    <mergeCell ref="H5:AE5"/>
    <mergeCell ref="H6:O6"/>
    <mergeCell ref="P6:W6"/>
    <mergeCell ref="X6:AE6"/>
    <mergeCell ref="H7:O8"/>
    <mergeCell ref="H9:O10"/>
    <mergeCell ref="P7:W8"/>
    <mergeCell ref="P9:W10"/>
    <mergeCell ref="X7:AE8"/>
    <mergeCell ref="X9:AE10"/>
    <mergeCell ref="H21:O23"/>
    <mergeCell ref="P21:W23"/>
    <mergeCell ref="X21:AE23"/>
    <mergeCell ref="H11:O15"/>
    <mergeCell ref="P11:W15"/>
    <mergeCell ref="X11:AE15"/>
    <mergeCell ref="H16:O19"/>
    <mergeCell ref="P16:W19"/>
    <mergeCell ref="X16:AE19"/>
    <mergeCell ref="AG4:AP4"/>
    <mergeCell ref="AG7:AP7"/>
    <mergeCell ref="AG5:AP5"/>
    <mergeCell ref="AG6:AP6"/>
    <mergeCell ref="H114:O114"/>
    <mergeCell ref="P114:W114"/>
    <mergeCell ref="H79:O80"/>
    <mergeCell ref="P58:W60"/>
    <mergeCell ref="X58:AE60"/>
    <mergeCell ref="H48:O50"/>
    <mergeCell ref="P48:W50"/>
    <mergeCell ref="H27:O30"/>
    <mergeCell ref="H20:O20"/>
    <mergeCell ref="P20:W20"/>
    <mergeCell ref="X114:AE114"/>
    <mergeCell ref="H101:O101"/>
    <mergeCell ref="P101:W101"/>
    <mergeCell ref="X101:AE101"/>
    <mergeCell ref="H53:O53"/>
    <mergeCell ref="H56:O57"/>
    <mergeCell ref="P56:W57"/>
    <mergeCell ref="X56:AE57"/>
    <mergeCell ref="H58:O60"/>
    <mergeCell ref="X20:AE20"/>
  </mergeCells>
  <hyperlinks>
    <hyperlink ref="AG19" r:id="rId1" xr:uid="{01E3EB52-DEEC-4E1F-ADB3-EC03BF927B38}"/>
    <hyperlink ref="AG17" r:id="rId2" xr:uid="{28037DAA-BD44-47BC-A38D-FDC548603921}"/>
    <hyperlink ref="AG12" r:id="rId3" xr:uid="{1F67F371-3F98-489C-8728-D342460E7108}"/>
    <hyperlink ref="AG9" r:id="rId4" xr:uid="{5FF45876-8658-4A98-B0A6-D6EF86E4562B}"/>
    <hyperlink ref="AG22" r:id="rId5" xr:uid="{B2D875CB-A323-4A03-8DC4-3FE6D5924CC0}"/>
    <hyperlink ref="AG24" r:id="rId6" xr:uid="{3576FC13-7AF7-4872-9B4A-6A4CE4A66840}"/>
    <hyperlink ref="AG27" r:id="rId7" xr:uid="{4ACC93E8-47F8-472C-AB69-C08195ECE295}"/>
    <hyperlink ref="AG15" r:id="rId8" xr:uid="{E853186A-1B79-4958-866F-764B34F4077C}"/>
    <hyperlink ref="AG5" r:id="rId9" xr:uid="{284F8CA7-E4E1-4598-83E8-E6CC646CC317}"/>
    <hyperlink ref="AG7" r:id="rId10" xr:uid="{03F628B3-B2D4-4C0B-BAB2-FAF9BC303F05}"/>
  </hyperlinks>
  <pageMargins left="0.7" right="0.7" top="0.75" bottom="0.75" header="0.3" footer="0.3"/>
  <drawing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EAE7F-F50F-4B77-A412-32728E962FAC}">
  <sheetPr codeName="Sheet5">
    <tabColor theme="6"/>
  </sheetPr>
  <dimension ref="A1:AW120"/>
  <sheetViews>
    <sheetView zoomScale="80" zoomScaleNormal="80" workbookViewId="0"/>
  </sheetViews>
  <sheetFormatPr defaultColWidth="8.1640625" defaultRowHeight="13.8" x14ac:dyDescent="0.3"/>
  <cols>
    <col min="1" max="48" width="6.6640625" style="28" customWidth="1"/>
    <col min="49" max="50" width="7.58203125" style="28" customWidth="1"/>
    <col min="51" max="85" width="7" style="28" customWidth="1"/>
    <col min="86" max="16384" width="8.1640625" style="28"/>
  </cols>
  <sheetData>
    <row r="1" spans="1:48" s="57" customFormat="1" ht="30" customHeight="1" x14ac:dyDescent="0.3">
      <c r="A1" s="56"/>
      <c r="B1" s="56"/>
      <c r="C1" s="56"/>
      <c r="D1" s="56"/>
      <c r="E1" s="56"/>
      <c r="F1" s="56"/>
      <c r="G1" s="56"/>
      <c r="H1" s="238"/>
      <c r="I1" s="239"/>
      <c r="J1" s="239"/>
      <c r="K1" s="239"/>
      <c r="L1" s="239"/>
      <c r="M1" s="239"/>
      <c r="N1" s="239"/>
      <c r="O1" s="239"/>
      <c r="P1" s="239"/>
      <c r="Q1" s="239"/>
      <c r="R1" s="239"/>
      <c r="S1" s="239"/>
      <c r="T1" s="239"/>
      <c r="U1" s="239"/>
      <c r="V1" s="240"/>
      <c r="W1" s="56"/>
      <c r="X1" s="56"/>
      <c r="Y1" s="56"/>
      <c r="Z1" s="56"/>
      <c r="AA1" s="56"/>
      <c r="AB1" s="56"/>
      <c r="AC1" s="56"/>
      <c r="AD1" s="56"/>
      <c r="AE1" s="56"/>
      <c r="AF1" s="56"/>
      <c r="AG1" s="56"/>
      <c r="AH1" s="56"/>
      <c r="AI1" s="56"/>
      <c r="AJ1" s="56"/>
      <c r="AK1" s="56"/>
      <c r="AL1" s="56"/>
      <c r="AM1" s="56"/>
      <c r="AN1" s="56"/>
      <c r="AO1" s="56"/>
      <c r="AP1" s="56"/>
      <c r="AQ1" s="56"/>
      <c r="AR1" s="56"/>
      <c r="AS1" s="56"/>
      <c r="AT1" s="56"/>
      <c r="AU1" s="56"/>
      <c r="AV1" s="56"/>
    </row>
    <row r="2" spans="1:48" s="57" customFormat="1" ht="30" customHeight="1" x14ac:dyDescent="0.3">
      <c r="A2" s="56"/>
      <c r="B2" s="56"/>
      <c r="C2" s="56"/>
      <c r="D2" s="56"/>
      <c r="E2" s="56"/>
      <c r="F2" s="56"/>
      <c r="G2" s="56"/>
      <c r="H2" s="241" t="str">
        <f>IF(ISBLANK($H$1),"▲ Select institution name from dropdown ▲",VLOOKUP($H$1,Index[],2,FALSE))</f>
        <v>▲ Select institution name from dropdown ▲</v>
      </c>
      <c r="I2" s="242"/>
      <c r="J2" s="242"/>
      <c r="K2" s="242"/>
      <c r="L2" s="242"/>
      <c r="M2" s="242"/>
      <c r="N2" s="242"/>
      <c r="O2" s="242"/>
      <c r="P2" s="242"/>
      <c r="Q2" s="242"/>
      <c r="R2" s="242"/>
      <c r="S2" s="242"/>
      <c r="T2" s="242"/>
      <c r="U2" s="242"/>
      <c r="V2" s="243"/>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row>
    <row r="3" spans="1:48" s="57" customFormat="1" ht="30" customHeight="1" x14ac:dyDescent="0.3">
      <c r="A3" s="56"/>
      <c r="B3" s="56"/>
      <c r="C3" s="56"/>
      <c r="D3" s="56"/>
      <c r="E3" s="56"/>
      <c r="F3" s="56"/>
      <c r="G3" s="56"/>
      <c r="H3" s="244" t="s">
        <v>68</v>
      </c>
      <c r="I3" s="245"/>
      <c r="J3" s="245"/>
      <c r="K3" s="245"/>
      <c r="L3" s="245"/>
      <c r="M3" s="245"/>
      <c r="N3" s="245"/>
      <c r="O3" s="245"/>
      <c r="P3" s="245"/>
      <c r="Q3" s="245"/>
      <c r="R3" s="245"/>
      <c r="S3" s="245"/>
      <c r="T3" s="245"/>
      <c r="U3" s="245"/>
      <c r="V3" s="245"/>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row>
    <row r="4" spans="1:48" s="57" customFormat="1" ht="30" customHeight="1" x14ac:dyDescent="0.3">
      <c r="A4" s="56"/>
      <c r="B4" s="56"/>
      <c r="C4" s="56"/>
      <c r="D4" s="56"/>
      <c r="E4" s="56"/>
      <c r="F4" s="56"/>
      <c r="G4" s="56"/>
      <c r="H4" s="293" t="s">
        <v>954</v>
      </c>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3"/>
      <c r="AO4" s="293"/>
      <c r="AP4" s="293"/>
      <c r="AQ4" s="293"/>
      <c r="AR4" s="293"/>
      <c r="AS4" s="293"/>
      <c r="AT4" s="293"/>
      <c r="AU4" s="56"/>
      <c r="AV4" s="56"/>
    </row>
    <row r="5" spans="1:48" s="57" customFormat="1" ht="30" customHeight="1" x14ac:dyDescent="0.3">
      <c r="A5" s="56"/>
      <c r="B5" s="56"/>
      <c r="C5" s="56"/>
      <c r="D5" s="56"/>
      <c r="E5" s="56"/>
      <c r="F5" s="56"/>
      <c r="G5" s="56"/>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3"/>
      <c r="AT5" s="293"/>
      <c r="AU5" s="56"/>
      <c r="AV5" s="56"/>
    </row>
    <row r="6" spans="1:48" s="57" customFormat="1" ht="30" customHeight="1" x14ac:dyDescent="0.3">
      <c r="A6" s="56"/>
      <c r="B6" s="56"/>
      <c r="C6" s="56"/>
      <c r="D6" s="56"/>
      <c r="E6" s="56"/>
      <c r="F6" s="56"/>
      <c r="G6" s="56"/>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56"/>
      <c r="AV6" s="56"/>
    </row>
    <row r="7" spans="1:48" s="57" customFormat="1" ht="30" customHeight="1" x14ac:dyDescent="0.3">
      <c r="A7" s="56"/>
      <c r="B7" s="56"/>
      <c r="C7" s="56"/>
      <c r="D7" s="56"/>
      <c r="E7" s="56"/>
      <c r="F7" s="56"/>
      <c r="G7" s="56"/>
      <c r="H7" s="250" t="s">
        <v>875</v>
      </c>
      <c r="I7" s="251"/>
      <c r="J7" s="251"/>
      <c r="K7" s="251"/>
      <c r="L7" s="251"/>
      <c r="M7" s="251"/>
      <c r="N7" s="251"/>
      <c r="O7" s="251"/>
      <c r="P7" s="251"/>
      <c r="Q7" s="231" t="s">
        <v>876</v>
      </c>
      <c r="R7" s="231"/>
      <c r="S7" s="231"/>
      <c r="T7" s="231" t="s">
        <v>877</v>
      </c>
      <c r="U7" s="231"/>
      <c r="V7" s="231"/>
      <c r="W7" s="231" t="s">
        <v>878</v>
      </c>
      <c r="X7" s="231"/>
      <c r="Y7" s="231"/>
      <c r="Z7" s="231" t="s">
        <v>879</v>
      </c>
      <c r="AA7" s="231"/>
      <c r="AB7" s="231"/>
      <c r="AC7" s="231" t="s">
        <v>880</v>
      </c>
      <c r="AD7" s="231"/>
      <c r="AE7" s="231"/>
      <c r="AF7" s="231" t="s">
        <v>881</v>
      </c>
      <c r="AG7" s="231"/>
      <c r="AH7" s="231"/>
      <c r="AI7" s="231" t="s">
        <v>882</v>
      </c>
      <c r="AJ7" s="231"/>
      <c r="AK7" s="231"/>
      <c r="AL7" s="231" t="s">
        <v>883</v>
      </c>
      <c r="AM7" s="231"/>
      <c r="AN7" s="231"/>
      <c r="AO7" s="231" t="s">
        <v>884</v>
      </c>
      <c r="AP7" s="231"/>
      <c r="AQ7" s="231"/>
      <c r="AR7" s="231" t="s">
        <v>67</v>
      </c>
      <c r="AS7" s="231"/>
      <c r="AT7" s="233"/>
      <c r="AU7" s="59"/>
      <c r="AV7" s="56"/>
    </row>
    <row r="8" spans="1:48" s="57" customFormat="1" ht="30" customHeight="1" x14ac:dyDescent="0.3">
      <c r="A8" s="56"/>
      <c r="B8" s="56"/>
      <c r="C8" s="56"/>
      <c r="D8" s="56"/>
      <c r="E8" s="56"/>
      <c r="F8" s="56"/>
      <c r="G8" s="56"/>
      <c r="H8" s="252"/>
      <c r="I8" s="253"/>
      <c r="J8" s="253"/>
      <c r="K8" s="253"/>
      <c r="L8" s="253"/>
      <c r="M8" s="253"/>
      <c r="N8" s="253"/>
      <c r="O8" s="253"/>
      <c r="P8" s="253"/>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4"/>
      <c r="AU8" s="59"/>
      <c r="AV8" s="56"/>
    </row>
    <row r="9" spans="1:48" s="57" customFormat="1" ht="30" customHeight="1" x14ac:dyDescent="0.3">
      <c r="A9" s="56"/>
      <c r="B9" s="56"/>
      <c r="C9" s="56"/>
      <c r="D9" s="56"/>
      <c r="E9" s="56"/>
      <c r="F9" s="56"/>
      <c r="G9" s="56"/>
      <c r="H9" s="252"/>
      <c r="I9" s="253"/>
      <c r="J9" s="253"/>
      <c r="K9" s="253"/>
      <c r="L9" s="253"/>
      <c r="M9" s="253"/>
      <c r="N9" s="253"/>
      <c r="O9" s="253"/>
      <c r="P9" s="253"/>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4"/>
      <c r="AU9" s="59"/>
      <c r="AV9" s="56"/>
    </row>
    <row r="10" spans="1:48" s="57" customFormat="1" ht="30" customHeight="1" x14ac:dyDescent="0.3">
      <c r="A10" s="56"/>
      <c r="B10" s="56"/>
      <c r="C10" s="56"/>
      <c r="D10" s="56"/>
      <c r="E10" s="56"/>
      <c r="F10" s="56"/>
      <c r="G10" s="56"/>
      <c r="H10" s="235" t="s">
        <v>65</v>
      </c>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7"/>
      <c r="AU10" s="59"/>
      <c r="AV10" s="56"/>
    </row>
    <row r="11" spans="1:48" s="57" customFormat="1" ht="30" customHeight="1" x14ac:dyDescent="0.3">
      <c r="A11" s="56"/>
      <c r="B11" s="56"/>
      <c r="C11" s="56"/>
      <c r="D11" s="56"/>
      <c r="E11" s="56"/>
      <c r="F11" s="56"/>
      <c r="G11" s="56"/>
      <c r="H11" s="246" t="s">
        <v>885</v>
      </c>
      <c r="I11" s="247"/>
      <c r="J11" s="247"/>
      <c r="K11" s="247"/>
      <c r="L11" s="247"/>
      <c r="M11" s="247"/>
      <c r="N11" s="247"/>
      <c r="O11" s="247"/>
      <c r="P11" s="248"/>
      <c r="Q11" s="249">
        <f>SUMIFS(Input[St. Ap. E &amp; G],Input[Institution Name],$H$1)</f>
        <v>0</v>
      </c>
      <c r="R11" s="249"/>
      <c r="S11" s="249"/>
      <c r="T11" s="249">
        <f>SUMIFS(Input[St. Ap. Desg],Input[Institution Name],$H$1)</f>
        <v>0</v>
      </c>
      <c r="U11" s="249"/>
      <c r="V11" s="249"/>
      <c r="W11" s="249">
        <f>SUMIFS(Input[St. Ap. Aux],Input[Institution Name],$H$1)</f>
        <v>0</v>
      </c>
      <c r="X11" s="249"/>
      <c r="Y11" s="249"/>
      <c r="Z11" s="249">
        <f>SUMIFS(Input[St. Ap. R Exp],Input[Institution Name],$H$1)</f>
        <v>0</v>
      </c>
      <c r="AA11" s="249"/>
      <c r="AB11" s="249"/>
      <c r="AC11" s="249">
        <f>SUMIFS(Input[St. Ap. Loan],Input[Institution Name],$H$1)</f>
        <v>0</v>
      </c>
      <c r="AD11" s="249"/>
      <c r="AE11" s="249"/>
      <c r="AF11" s="249">
        <f>SUMIFS(Input[St. Ap. Annuity],Input[Institution Name],$H$1)</f>
        <v>0</v>
      </c>
      <c r="AG11" s="249"/>
      <c r="AH11" s="249"/>
      <c r="AI11" s="249">
        <f>SUMIFS(Input[St. Ap. Unexp],Input[Institution Name],$H$1)</f>
        <v>0</v>
      </c>
      <c r="AJ11" s="249"/>
      <c r="AK11" s="249"/>
      <c r="AL11" s="249">
        <f>SUMIFS(Input[St. Ap. R of Ind],Input[Institution Name],$H$1)</f>
        <v>0</v>
      </c>
      <c r="AM11" s="249"/>
      <c r="AN11" s="249"/>
      <c r="AO11" s="249">
        <f>SUMIFS(Input[St. Ap. Inv in P],Input[Institution Name],$H$1)</f>
        <v>0</v>
      </c>
      <c r="AP11" s="249"/>
      <c r="AQ11" s="249"/>
      <c r="AR11" s="258">
        <f>SUM(Q11:AO11)</f>
        <v>0</v>
      </c>
      <c r="AS11" s="258"/>
      <c r="AT11" s="258"/>
      <c r="AU11" s="59"/>
      <c r="AV11" s="56"/>
    </row>
    <row r="12" spans="1:48" s="57" customFormat="1" ht="30" customHeight="1" x14ac:dyDescent="0.3">
      <c r="A12" s="56"/>
      <c r="B12" s="56"/>
      <c r="C12" s="56"/>
      <c r="D12" s="56"/>
      <c r="E12" s="56"/>
      <c r="F12" s="56"/>
      <c r="G12" s="56"/>
      <c r="H12" s="254" t="s">
        <v>886</v>
      </c>
      <c r="I12" s="255"/>
      <c r="J12" s="255"/>
      <c r="K12" s="255"/>
      <c r="L12" s="255"/>
      <c r="M12" s="255"/>
      <c r="N12" s="255"/>
      <c r="O12" s="255"/>
      <c r="P12" s="256"/>
      <c r="Q12" s="257">
        <f>SUMIFS(Input[St. C&amp;G E&amp;G],Input[Institution Name],$H$1)</f>
        <v>0</v>
      </c>
      <c r="R12" s="257"/>
      <c r="S12" s="257"/>
      <c r="T12" s="257">
        <f>SUMIFS(Input[St. C&amp;G Desg],Input[Institution Name],$H$1)</f>
        <v>0</v>
      </c>
      <c r="U12" s="257"/>
      <c r="V12" s="257"/>
      <c r="W12" s="257">
        <f>SUMIFS(Input[St. C&amp;G Aux],Input[Institution Name],$H$1)</f>
        <v>0</v>
      </c>
      <c r="X12" s="257"/>
      <c r="Y12" s="257"/>
      <c r="Z12" s="257">
        <f>SUMIFS(Input[St. C&amp;G R Exp],Input[Institution Name],$H$1)</f>
        <v>0</v>
      </c>
      <c r="AA12" s="257"/>
      <c r="AB12" s="257"/>
      <c r="AC12" s="257">
        <f>SUMIFS(Input[St. C&amp;G Loan],Input[Institution Name],$H$1)</f>
        <v>0</v>
      </c>
      <c r="AD12" s="257"/>
      <c r="AE12" s="257"/>
      <c r="AF12" s="257">
        <f>SUMIFS(Input[St. C&amp;G Annuity],Input[Institution Name],$H$1)</f>
        <v>0</v>
      </c>
      <c r="AG12" s="257"/>
      <c r="AH12" s="257"/>
      <c r="AI12" s="257">
        <f>SUMIFS(Input[St. C&amp;G Unexp],Input[Institution Name],$H$1)</f>
        <v>0</v>
      </c>
      <c r="AJ12" s="257"/>
      <c r="AK12" s="257"/>
      <c r="AL12" s="257">
        <f>SUMIFS(Input[St. C&amp;G R of Ind],Input[Institution Name],$H$1)</f>
        <v>0</v>
      </c>
      <c r="AM12" s="257"/>
      <c r="AN12" s="257"/>
      <c r="AO12" s="257">
        <f>SUMIFS(Input[St. C&amp;G Inv in P],Input[Institution Name],$H$1)</f>
        <v>0</v>
      </c>
      <c r="AP12" s="257"/>
      <c r="AQ12" s="259"/>
      <c r="AR12" s="260">
        <f>SUM(Q12:AO12)</f>
        <v>0</v>
      </c>
      <c r="AS12" s="260"/>
      <c r="AT12" s="260"/>
      <c r="AU12" s="59"/>
      <c r="AV12" s="56"/>
    </row>
    <row r="13" spans="1:48" s="57" customFormat="1" ht="30" customHeight="1" x14ac:dyDescent="0.3">
      <c r="A13" s="56"/>
      <c r="B13" s="56"/>
      <c r="C13" s="56"/>
      <c r="D13" s="56"/>
      <c r="E13" s="56"/>
      <c r="F13" s="56"/>
      <c r="G13" s="56"/>
      <c r="H13" s="254" t="s">
        <v>887</v>
      </c>
      <c r="I13" s="255"/>
      <c r="J13" s="255"/>
      <c r="K13" s="255"/>
      <c r="L13" s="255"/>
      <c r="M13" s="255"/>
      <c r="N13" s="255"/>
      <c r="O13" s="255"/>
      <c r="P13" s="256"/>
      <c r="Q13" s="257">
        <f>SUMIFS(Input[HEF E&amp;G],Input[Institution Name],$H$1)</f>
        <v>0</v>
      </c>
      <c r="R13" s="257"/>
      <c r="S13" s="257"/>
      <c r="T13" s="257">
        <f>SUMIFS(Input[HEF Desg],Input[Institution Name],$H$1)</f>
        <v>0</v>
      </c>
      <c r="U13" s="257"/>
      <c r="V13" s="257"/>
      <c r="W13" s="257">
        <f>SUMIFS(Input[HEF Aux],Input[Institution Name],$H$1)</f>
        <v>0</v>
      </c>
      <c r="X13" s="257"/>
      <c r="Y13" s="257"/>
      <c r="Z13" s="257">
        <f>SUMIFS(Input[HEF R Exp],Input[Institution Name],$H$1)</f>
        <v>0</v>
      </c>
      <c r="AA13" s="257"/>
      <c r="AB13" s="257"/>
      <c r="AC13" s="257">
        <f>SUMIFS(Input[HEF Loan],Input[Institution Name],$H$1)</f>
        <v>0</v>
      </c>
      <c r="AD13" s="257"/>
      <c r="AE13" s="257"/>
      <c r="AF13" s="257">
        <f>SUMIFS(Input[HEF Annuity],Input[Institution Name],$H$1)</f>
        <v>0</v>
      </c>
      <c r="AG13" s="257"/>
      <c r="AH13" s="257"/>
      <c r="AI13" s="257">
        <f>SUMIFS(Input[HEF Unexp],Input[Institution Name],$H$1)</f>
        <v>0</v>
      </c>
      <c r="AJ13" s="257"/>
      <c r="AK13" s="257"/>
      <c r="AL13" s="257">
        <f>SUMIFS(Input[HEF R of Ind],Input[Institution Name],$H$1)</f>
        <v>0</v>
      </c>
      <c r="AM13" s="257"/>
      <c r="AN13" s="257"/>
      <c r="AO13" s="257">
        <f>SUMIFS(Input[HEF Inv in P],Input[Institution Name],$H$1)</f>
        <v>0</v>
      </c>
      <c r="AP13" s="257"/>
      <c r="AQ13" s="259"/>
      <c r="AR13" s="260">
        <f>SUM(Q13:AO13)</f>
        <v>0</v>
      </c>
      <c r="AS13" s="260"/>
      <c r="AT13" s="260"/>
      <c r="AU13" s="59"/>
      <c r="AV13" s="56"/>
    </row>
    <row r="14" spans="1:48" s="57" customFormat="1" ht="30" customHeight="1" x14ac:dyDescent="0.3">
      <c r="A14" s="56"/>
      <c r="B14" s="56"/>
      <c r="C14" s="56"/>
      <c r="D14" s="56"/>
      <c r="E14" s="56"/>
      <c r="F14" s="56"/>
      <c r="G14" s="56"/>
      <c r="H14" s="265" t="s">
        <v>888</v>
      </c>
      <c r="I14" s="266"/>
      <c r="J14" s="266"/>
      <c r="K14" s="266"/>
      <c r="L14" s="266"/>
      <c r="M14" s="266"/>
      <c r="N14" s="266"/>
      <c r="O14" s="266"/>
      <c r="P14" s="267"/>
      <c r="Q14" s="268">
        <f>SUMIFS(Input[Available E&amp;G],Input[Institution Name],$H$1)</f>
        <v>0</v>
      </c>
      <c r="R14" s="268"/>
      <c r="S14" s="268"/>
      <c r="T14" s="268">
        <f>SUMIFS(Input[Available Desg],Input[Institution Name],$H$1)</f>
        <v>0</v>
      </c>
      <c r="U14" s="268"/>
      <c r="V14" s="268"/>
      <c r="W14" s="268">
        <f>SUMIFS(Input[Available Aux],Input[Institution Name],$H$1)</f>
        <v>0</v>
      </c>
      <c r="X14" s="268"/>
      <c r="Y14" s="268"/>
      <c r="Z14" s="268">
        <f>SUMIFS(Input[Available R Exp],Input[Institution Name],$H$1)</f>
        <v>0</v>
      </c>
      <c r="AA14" s="268"/>
      <c r="AB14" s="268"/>
      <c r="AC14" s="268">
        <f>SUMIFS(Input[Available Loan],Input[Institution Name],$H$1)</f>
        <v>0</v>
      </c>
      <c r="AD14" s="268"/>
      <c r="AE14" s="268"/>
      <c r="AF14" s="268">
        <f>SUMIFS(Input[Available Annuity],Input[Institution Name],$H$1)</f>
        <v>0</v>
      </c>
      <c r="AG14" s="268"/>
      <c r="AH14" s="268"/>
      <c r="AI14" s="268">
        <f>SUMIFS(Input[Available Unexp],Input[Institution Name],$H$1)</f>
        <v>0</v>
      </c>
      <c r="AJ14" s="268"/>
      <c r="AK14" s="268"/>
      <c r="AL14" s="268">
        <f>SUMIFS(Input[Available R of Ind],Input[Institution Name],$H$1)</f>
        <v>0</v>
      </c>
      <c r="AM14" s="268"/>
      <c r="AN14" s="268"/>
      <c r="AO14" s="268">
        <f>SUMIFS(Input[Available Inv in P],Input[Institution Name],$H$1)</f>
        <v>0</v>
      </c>
      <c r="AP14" s="268"/>
      <c r="AQ14" s="270"/>
      <c r="AR14" s="260">
        <f>SUM(Q14:AO14)</f>
        <v>0</v>
      </c>
      <c r="AS14" s="260"/>
      <c r="AT14" s="260"/>
      <c r="AU14" s="59"/>
      <c r="AV14" s="56"/>
    </row>
    <row r="15" spans="1:48" s="57" customFormat="1" ht="30" customHeight="1" x14ac:dyDescent="0.3">
      <c r="A15" s="56"/>
      <c r="B15" s="56"/>
      <c r="C15" s="56"/>
      <c r="D15" s="56"/>
      <c r="E15" s="56"/>
      <c r="F15" s="56"/>
      <c r="G15" s="56"/>
      <c r="H15" s="261" t="s">
        <v>889</v>
      </c>
      <c r="I15" s="261"/>
      <c r="J15" s="261"/>
      <c r="K15" s="261"/>
      <c r="L15" s="261"/>
      <c r="M15" s="261"/>
      <c r="N15" s="261"/>
      <c r="O15" s="261"/>
      <c r="P15" s="261"/>
      <c r="Q15" s="262">
        <f>SUM(Q11:S14)</f>
        <v>0</v>
      </c>
      <c r="R15" s="263"/>
      <c r="S15" s="264"/>
      <c r="T15" s="262">
        <f>SUM(T11:V14)</f>
        <v>0</v>
      </c>
      <c r="U15" s="263"/>
      <c r="V15" s="264"/>
      <c r="W15" s="262">
        <f>SUM(W11:Y14)</f>
        <v>0</v>
      </c>
      <c r="X15" s="263"/>
      <c r="Y15" s="264"/>
      <c r="Z15" s="262">
        <f>SUM(Z11:AB14)</f>
        <v>0</v>
      </c>
      <c r="AA15" s="263"/>
      <c r="AB15" s="264"/>
      <c r="AC15" s="262">
        <f>SUM(AC11:AE14)</f>
        <v>0</v>
      </c>
      <c r="AD15" s="263"/>
      <c r="AE15" s="264"/>
      <c r="AF15" s="262">
        <f>SUM(AF11:AH14)</f>
        <v>0</v>
      </c>
      <c r="AG15" s="263"/>
      <c r="AH15" s="264"/>
      <c r="AI15" s="262">
        <f>SUM(AI11:AK14)</f>
        <v>0</v>
      </c>
      <c r="AJ15" s="263"/>
      <c r="AK15" s="264"/>
      <c r="AL15" s="262">
        <f>SUM(AL11:AN14)</f>
        <v>0</v>
      </c>
      <c r="AM15" s="263"/>
      <c r="AN15" s="264"/>
      <c r="AO15" s="262">
        <f>SUM(AO11:AQ14)</f>
        <v>0</v>
      </c>
      <c r="AP15" s="263"/>
      <c r="AQ15" s="264"/>
      <c r="AR15" s="269">
        <f>SUM(AR11:AT14)</f>
        <v>0</v>
      </c>
      <c r="AS15" s="269"/>
      <c r="AT15" s="269"/>
      <c r="AU15" s="59"/>
      <c r="AV15" s="56"/>
    </row>
    <row r="16" spans="1:48" s="57" customFormat="1" ht="30" customHeight="1" x14ac:dyDescent="0.3">
      <c r="A16" s="56"/>
      <c r="B16" s="56"/>
      <c r="C16" s="56"/>
      <c r="D16" s="56"/>
      <c r="E16" s="56"/>
      <c r="F16" s="56"/>
      <c r="G16" s="56"/>
      <c r="H16" s="271"/>
      <c r="I16" s="271"/>
      <c r="J16" s="271"/>
      <c r="K16" s="271"/>
      <c r="L16" s="271"/>
      <c r="M16" s="271"/>
      <c r="N16" s="271"/>
      <c r="O16" s="271"/>
      <c r="P16" s="271"/>
      <c r="Q16" s="271"/>
      <c r="R16" s="271"/>
      <c r="S16" s="271"/>
      <c r="T16" s="271"/>
      <c r="U16" s="271"/>
      <c r="V16" s="271"/>
      <c r="W16" s="271"/>
      <c r="X16" s="271"/>
      <c r="Y16" s="271"/>
      <c r="Z16" s="271"/>
      <c r="AA16" s="271"/>
      <c r="AB16" s="271"/>
      <c r="AC16" s="271"/>
      <c r="AD16" s="271"/>
      <c r="AE16" s="271"/>
      <c r="AF16" s="271"/>
      <c r="AG16" s="271"/>
      <c r="AH16" s="271"/>
      <c r="AI16" s="271"/>
      <c r="AJ16" s="271"/>
      <c r="AK16" s="271"/>
      <c r="AL16" s="271"/>
      <c r="AM16" s="271"/>
      <c r="AN16" s="271"/>
      <c r="AO16" s="271"/>
      <c r="AP16" s="271"/>
      <c r="AQ16" s="271"/>
      <c r="AR16" s="271"/>
      <c r="AS16" s="271"/>
      <c r="AT16" s="271"/>
      <c r="AU16" s="59"/>
      <c r="AV16" s="56"/>
    </row>
    <row r="17" spans="1:48" s="57" customFormat="1" ht="30" customHeight="1" x14ac:dyDescent="0.3">
      <c r="A17" s="56"/>
      <c r="B17" s="56"/>
      <c r="C17" s="56"/>
      <c r="D17" s="56"/>
      <c r="E17" s="56"/>
      <c r="F17" s="56"/>
      <c r="G17" s="56"/>
      <c r="H17" s="235" t="s">
        <v>890</v>
      </c>
      <c r="I17" s="236"/>
      <c r="J17" s="236"/>
      <c r="K17" s="236"/>
      <c r="L17" s="236"/>
      <c r="M17" s="236"/>
      <c r="N17" s="236"/>
      <c r="O17" s="236"/>
      <c r="P17" s="236"/>
      <c r="Q17" s="236"/>
      <c r="R17" s="236"/>
      <c r="S17" s="236"/>
      <c r="T17" s="236"/>
      <c r="U17" s="236"/>
      <c r="V17" s="236"/>
      <c r="W17" s="236"/>
      <c r="X17" s="236"/>
      <c r="Y17" s="236"/>
      <c r="Z17" s="236"/>
      <c r="AA17" s="236"/>
      <c r="AB17" s="236"/>
      <c r="AC17" s="236"/>
      <c r="AD17" s="236"/>
      <c r="AE17" s="236"/>
      <c r="AF17" s="236"/>
      <c r="AG17" s="236"/>
      <c r="AH17" s="236"/>
      <c r="AI17" s="236"/>
      <c r="AJ17" s="236"/>
      <c r="AK17" s="236"/>
      <c r="AL17" s="236"/>
      <c r="AM17" s="236"/>
      <c r="AN17" s="236"/>
      <c r="AO17" s="236"/>
      <c r="AP17" s="236"/>
      <c r="AQ17" s="236"/>
      <c r="AR17" s="236"/>
      <c r="AS17" s="236"/>
      <c r="AT17" s="237"/>
      <c r="AU17" s="59"/>
      <c r="AV17" s="56"/>
    </row>
    <row r="18" spans="1:48" s="57" customFormat="1" ht="30" customHeight="1" x14ac:dyDescent="0.3">
      <c r="A18" s="56"/>
      <c r="B18" s="56"/>
      <c r="C18" s="56"/>
      <c r="D18" s="56"/>
      <c r="E18" s="56"/>
      <c r="F18" s="56"/>
      <c r="G18" s="56"/>
      <c r="H18" s="272" t="s">
        <v>891</v>
      </c>
      <c r="I18" s="272"/>
      <c r="J18" s="272"/>
      <c r="K18" s="272"/>
      <c r="L18" s="272"/>
      <c r="M18" s="272"/>
      <c r="N18" s="272"/>
      <c r="O18" s="272"/>
      <c r="P18" s="272"/>
      <c r="Q18" s="269" cm="1">
        <f t="array" ref="Q18">SUM(Q24:S24,-Q20:S23)</f>
        <v>0</v>
      </c>
      <c r="R18" s="269"/>
      <c r="S18" s="269"/>
      <c r="T18" s="269" cm="1">
        <f t="array" ref="T18">SUM(T24:V24,-T20:V23)</f>
        <v>0</v>
      </c>
      <c r="U18" s="269"/>
      <c r="V18" s="269"/>
      <c r="W18" s="269" cm="1">
        <f t="array" ref="W18">SUM(W24:Y24,-W20:Y23)</f>
        <v>0</v>
      </c>
      <c r="X18" s="269"/>
      <c r="Y18" s="269"/>
      <c r="Z18" s="269" cm="1">
        <f t="array" ref="Z18">SUM(Z24:AB24,-Z20:AB23)</f>
        <v>0</v>
      </c>
      <c r="AA18" s="269"/>
      <c r="AB18" s="269"/>
      <c r="AC18" s="269" cm="1">
        <f t="array" ref="AC18">SUM(AC24:AE24,-AC20:AE23)</f>
        <v>0</v>
      </c>
      <c r="AD18" s="269"/>
      <c r="AE18" s="269"/>
      <c r="AF18" s="269" cm="1">
        <f t="array" ref="AF18">SUM(AF24:AH24,-AF20:AH23)</f>
        <v>0</v>
      </c>
      <c r="AG18" s="269"/>
      <c r="AH18" s="269"/>
      <c r="AI18" s="269" cm="1">
        <f t="array" ref="AI18">SUM(AI24:AK24,-AI20:AK23)</f>
        <v>0</v>
      </c>
      <c r="AJ18" s="269"/>
      <c r="AK18" s="269"/>
      <c r="AL18" s="269" cm="1">
        <f t="array" ref="AL18">SUM(AL24:AN24,-AL20:AN23)</f>
        <v>0</v>
      </c>
      <c r="AM18" s="269"/>
      <c r="AN18" s="269"/>
      <c r="AO18" s="269" cm="1">
        <f t="array" ref="AO18">SUM(AO24:AQ24,-AO20:AQ23)</f>
        <v>0</v>
      </c>
      <c r="AP18" s="269"/>
      <c r="AQ18" s="269"/>
      <c r="AR18" s="269" cm="1">
        <f t="array" ref="AR18">SUM(AR24:AT24,-AR20:AT23)</f>
        <v>0</v>
      </c>
      <c r="AS18" s="269"/>
      <c r="AT18" s="269"/>
      <c r="AU18" s="59"/>
      <c r="AV18" s="56"/>
    </row>
    <row r="19" spans="1:48" s="57" customFormat="1" ht="30" customHeight="1" x14ac:dyDescent="0.3">
      <c r="A19" s="56"/>
      <c r="B19" s="56"/>
      <c r="C19" s="56"/>
      <c r="D19" s="56"/>
      <c r="E19" s="56"/>
      <c r="F19" s="56"/>
      <c r="G19" s="56"/>
      <c r="H19" s="273" t="s">
        <v>1119</v>
      </c>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275"/>
      <c r="AU19" s="59"/>
      <c r="AV19" s="56"/>
    </row>
    <row r="20" spans="1:48" s="57" customFormat="1" ht="30" customHeight="1" x14ac:dyDescent="0.3">
      <c r="A20" s="56"/>
      <c r="B20" s="56"/>
      <c r="C20" s="56"/>
      <c r="D20" s="56"/>
      <c r="E20" s="56"/>
      <c r="F20" s="56"/>
      <c r="G20" s="56"/>
      <c r="H20" s="246" t="s">
        <v>892</v>
      </c>
      <c r="I20" s="247"/>
      <c r="J20" s="247"/>
      <c r="K20" s="247"/>
      <c r="L20" s="247"/>
      <c r="M20" s="247"/>
      <c r="N20" s="247"/>
      <c r="O20" s="247"/>
      <c r="P20" s="248"/>
      <c r="Q20" s="249">
        <f>SUMIFS(Input[T. W. - Stat (NR AFR) E&amp;G],Input[Institution Name],$H$1)</f>
        <v>0</v>
      </c>
      <c r="R20" s="249"/>
      <c r="S20" s="249"/>
      <c r="T20" s="249">
        <f>SUMIFS(Input[T. W. - Stat (NR AFR) Desg],Input[Institution Name],$H$1)</f>
        <v>0</v>
      </c>
      <c r="U20" s="249"/>
      <c r="V20" s="249"/>
      <c r="W20" s="249">
        <f>SUMIFS(Input[T. W. - Stat (NR AFR) Aux],Input[Institution Name],$H$1)</f>
        <v>0</v>
      </c>
      <c r="X20" s="249"/>
      <c r="Y20" s="249"/>
      <c r="Z20" s="249">
        <f>SUMIFS(Input[T. W. - Stat (NR AFR) R Exp],Input[Institution Name],$H$1)</f>
        <v>0</v>
      </c>
      <c r="AA20" s="249"/>
      <c r="AB20" s="249"/>
      <c r="AC20" s="249">
        <f>SUMIFS(Input[T. W. - Stat (NR AFR) Loan],Input[Institution Name],$H$1)</f>
        <v>0</v>
      </c>
      <c r="AD20" s="249"/>
      <c r="AE20" s="249"/>
      <c r="AF20" s="249">
        <f>SUMIFS(Input[T. W. - Stat (NR AFR) Annuity],Input[Institution Name],$H$1)</f>
        <v>0</v>
      </c>
      <c r="AG20" s="249"/>
      <c r="AH20" s="249"/>
      <c r="AI20" s="249">
        <f>SUMIFS(Input[T. W. - Stat (NR AFR) Unexp],Input[Institution Name],$H$1)</f>
        <v>0</v>
      </c>
      <c r="AJ20" s="249"/>
      <c r="AK20" s="249"/>
      <c r="AL20" s="249">
        <f>SUMIFS(Input[T. W. - Stat (NR AFR) R of Ind],Input[Institution Name],$H$1)</f>
        <v>0</v>
      </c>
      <c r="AM20" s="249"/>
      <c r="AN20" s="249"/>
      <c r="AO20" s="249">
        <f>SUMIFS(Input[T. W. - Stat (NR AFR) Inv in P],Input[Institution Name],$H$1)</f>
        <v>0</v>
      </c>
      <c r="AP20" s="249"/>
      <c r="AQ20" s="276"/>
      <c r="AR20" s="277">
        <f>SUM(Q20:AO20)</f>
        <v>0</v>
      </c>
      <c r="AS20" s="277"/>
      <c r="AT20" s="277"/>
      <c r="AU20" s="59"/>
      <c r="AV20" s="56"/>
    </row>
    <row r="21" spans="1:48" s="57" customFormat="1" ht="30" customHeight="1" x14ac:dyDescent="0.3">
      <c r="A21" s="56"/>
      <c r="B21" s="56"/>
      <c r="C21" s="56"/>
      <c r="D21" s="56"/>
      <c r="E21" s="56"/>
      <c r="F21" s="56"/>
      <c r="G21" s="56"/>
      <c r="H21" s="254" t="s">
        <v>893</v>
      </c>
      <c r="I21" s="255"/>
      <c r="J21" s="255"/>
      <c r="K21" s="255"/>
      <c r="L21" s="255"/>
      <c r="M21" s="255"/>
      <c r="N21" s="255"/>
      <c r="O21" s="255"/>
      <c r="P21" s="256"/>
      <c r="Q21" s="257">
        <f>SUMIFS(Input[T. W. - Inst. (NR AFR) E&amp;G],Input[Institution Name],$H$1)</f>
        <v>0</v>
      </c>
      <c r="R21" s="257"/>
      <c r="S21" s="257"/>
      <c r="T21" s="257">
        <f>SUMIFS(Input[T. W. - Inst. (NR AFR) Desg],Input[Institution Name],$H$1)</f>
        <v>0</v>
      </c>
      <c r="U21" s="257"/>
      <c r="V21" s="257"/>
      <c r="W21" s="257">
        <f>SUMIFS(Input[T. W. - Inst. (NR AFR) Aux],Input[Institution Name],$H$1)</f>
        <v>0</v>
      </c>
      <c r="X21" s="257"/>
      <c r="Y21" s="257"/>
      <c r="Z21" s="257">
        <f>SUMIFS(Input[T. W. - Inst. (NR AFR) R Exp],Input[Institution Name],$H$1)</f>
        <v>0</v>
      </c>
      <c r="AA21" s="257"/>
      <c r="AB21" s="257"/>
      <c r="AC21" s="257">
        <f>SUMIFS(Input[T. W. - Inst. (NR AFR) Loan],Input[Institution Name],$H$1)</f>
        <v>0</v>
      </c>
      <c r="AD21" s="257"/>
      <c r="AE21" s="257"/>
      <c r="AF21" s="257">
        <f>SUMIFS(Input[T. W. - Inst. (NR AFR) Annuity],Input[Institution Name],$H$1)</f>
        <v>0</v>
      </c>
      <c r="AG21" s="257"/>
      <c r="AH21" s="257"/>
      <c r="AI21" s="257">
        <f>SUMIFS(Input[T. W. - Inst. (NR AFR) Unexp],Input[Institution Name],$H$1)</f>
        <v>0</v>
      </c>
      <c r="AJ21" s="257"/>
      <c r="AK21" s="257"/>
      <c r="AL21" s="257">
        <f>SUMIFS(Input[T. W. - Inst. (NR AFR) R of Ind],Input[Institution Name],$H$1)</f>
        <v>0</v>
      </c>
      <c r="AM21" s="257"/>
      <c r="AN21" s="257"/>
      <c r="AO21" s="257">
        <f>SUMIFS(Input[T. W. - Inst. (NR AFR) Inv in P],Input[Institution Name],$H$1)</f>
        <v>0</v>
      </c>
      <c r="AP21" s="257"/>
      <c r="AQ21" s="259"/>
      <c r="AR21" s="260">
        <f>SUM(Q21:AO21)</f>
        <v>0</v>
      </c>
      <c r="AS21" s="260"/>
      <c r="AT21" s="260"/>
      <c r="AU21" s="59"/>
      <c r="AV21" s="56"/>
    </row>
    <row r="22" spans="1:48" s="57" customFormat="1" ht="30" customHeight="1" x14ac:dyDescent="0.3">
      <c r="A22" s="56"/>
      <c r="B22" s="56"/>
      <c r="C22" s="56"/>
      <c r="D22" s="56"/>
      <c r="E22" s="56"/>
      <c r="F22" s="56"/>
      <c r="G22" s="56"/>
      <c r="H22" s="254" t="s">
        <v>894</v>
      </c>
      <c r="I22" s="255"/>
      <c r="J22" s="255"/>
      <c r="K22" s="255"/>
      <c r="L22" s="255"/>
      <c r="M22" s="255"/>
      <c r="N22" s="255"/>
      <c r="O22" s="255"/>
      <c r="P22" s="256"/>
      <c r="Q22" s="257">
        <f>SUMIFS(Input[T. Exp. - Stat (NR AFR) E&amp;G],Input[Institution Name],$H$1)</f>
        <v>0</v>
      </c>
      <c r="R22" s="257"/>
      <c r="S22" s="257"/>
      <c r="T22" s="257">
        <f>SUMIFS(Input[T. Exp. - Stat (NR AFR) Desg],Input[Institution Name],$H$1)</f>
        <v>0</v>
      </c>
      <c r="U22" s="257"/>
      <c r="V22" s="257"/>
      <c r="W22" s="257">
        <f>SUMIFS(Input[T. Exp. - Stat (NR AFR) Aux],Input[Institution Name],$H$1)</f>
        <v>0</v>
      </c>
      <c r="X22" s="257"/>
      <c r="Y22" s="257"/>
      <c r="Z22" s="257">
        <f>SUMIFS(Input[T. Exp. - Stat (NR AFR) R Exp],Input[Institution Name],$H$1)</f>
        <v>0</v>
      </c>
      <c r="AA22" s="257"/>
      <c r="AB22" s="257"/>
      <c r="AC22" s="257">
        <f>SUMIFS(Input[T. Exp. - Stat (NR AFR) Loan],Input[Institution Name],$H$1)</f>
        <v>0</v>
      </c>
      <c r="AD22" s="257"/>
      <c r="AE22" s="257"/>
      <c r="AF22" s="257">
        <f>SUMIFS(Input[T. Exp. - Stat (NR AFR) Annuity],Input[Institution Name],$H$1)</f>
        <v>0</v>
      </c>
      <c r="AG22" s="257"/>
      <c r="AH22" s="257"/>
      <c r="AI22" s="257">
        <f>SUMIFS(Input[T. Exp. - Stat (NR AFR) Unexp],Input[Institution Name],$H$1)</f>
        <v>0</v>
      </c>
      <c r="AJ22" s="257"/>
      <c r="AK22" s="257"/>
      <c r="AL22" s="257">
        <f>SUMIFS(Input[T. Exp. - Stat (NR AFR) R of Ind],Input[Institution Name],$H$1)</f>
        <v>0</v>
      </c>
      <c r="AM22" s="257"/>
      <c r="AN22" s="257"/>
      <c r="AO22" s="257">
        <f>SUMIFS(Input[T. Exp. - Stat (NR AFR) Inv in P],Input[Institution Name],$H$1)</f>
        <v>0</v>
      </c>
      <c r="AP22" s="257"/>
      <c r="AQ22" s="259"/>
      <c r="AR22" s="260">
        <f>SUM(Q22:AL22)</f>
        <v>0</v>
      </c>
      <c r="AS22" s="260"/>
      <c r="AT22" s="260"/>
      <c r="AU22" s="59"/>
      <c r="AV22" s="56"/>
    </row>
    <row r="23" spans="1:48" s="57" customFormat="1" ht="30" customHeight="1" x14ac:dyDescent="0.3">
      <c r="A23" s="56"/>
      <c r="B23" s="56"/>
      <c r="C23" s="56"/>
      <c r="D23" s="56"/>
      <c r="E23" s="56"/>
      <c r="F23" s="56"/>
      <c r="G23" s="56"/>
      <c r="H23" s="254" t="s">
        <v>895</v>
      </c>
      <c r="I23" s="255"/>
      <c r="J23" s="255"/>
      <c r="K23" s="255"/>
      <c r="L23" s="255"/>
      <c r="M23" s="255"/>
      <c r="N23" s="255"/>
      <c r="O23" s="255"/>
      <c r="P23" s="256"/>
      <c r="Q23" s="257">
        <f>SUMIFS(Input[T. Exp. - Inst. (NR AFR) E&amp;G],Input[Institution Name],$H$1)</f>
        <v>0</v>
      </c>
      <c r="R23" s="257"/>
      <c r="S23" s="257"/>
      <c r="T23" s="257">
        <f>SUMIFS(Input[T. Exp. - Inst. (NR AFR) Desg],Input[Institution Name],$H$1)</f>
        <v>0</v>
      </c>
      <c r="U23" s="257"/>
      <c r="V23" s="257"/>
      <c r="W23" s="257">
        <f>SUMIFS(Input[T. Exp. - Inst. (NR AFR) Aux],Input[Institution Name],$H$1)</f>
        <v>0</v>
      </c>
      <c r="X23" s="257"/>
      <c r="Y23" s="257"/>
      <c r="Z23" s="257">
        <f>SUMIFS(Input[T. Exp. - Inst. (NR AFR) R Exp],Input[Institution Name],$H$1)</f>
        <v>0</v>
      </c>
      <c r="AA23" s="257"/>
      <c r="AB23" s="257"/>
      <c r="AC23" s="257">
        <f>SUMIFS(Input[T. Exp. - Inst. (NR AFR) Loan],Input[Institution Name],$H$1)</f>
        <v>0</v>
      </c>
      <c r="AD23" s="257"/>
      <c r="AE23" s="257"/>
      <c r="AF23" s="257">
        <f>SUMIFS(Input[T. Exp. - Inst. (NR AFR) Annuity],Input[Institution Name],$H$1)</f>
        <v>0</v>
      </c>
      <c r="AG23" s="257"/>
      <c r="AH23" s="257"/>
      <c r="AI23" s="257">
        <f>SUMIFS(Input[T. Exp. - Inst. (NR AFR) Unexp],Input[Institution Name],$H$1)</f>
        <v>0</v>
      </c>
      <c r="AJ23" s="257"/>
      <c r="AK23" s="257"/>
      <c r="AL23" s="257">
        <f>SUMIFS(Input[T. Exp. - Inst. (NR AFR) R of Ind],Input[Institution Name],$H$1)</f>
        <v>0</v>
      </c>
      <c r="AM23" s="257"/>
      <c r="AN23" s="257"/>
      <c r="AO23" s="257">
        <f>SUMIFS(Input[T. Exp. - Inst. (NR AFR) Inv in P],Input[Institution Name],$H$1)</f>
        <v>0</v>
      </c>
      <c r="AP23" s="257"/>
      <c r="AQ23" s="259"/>
      <c r="AR23" s="260">
        <f>SUM(Q23:AL23)</f>
        <v>0</v>
      </c>
      <c r="AS23" s="260"/>
      <c r="AT23" s="260"/>
      <c r="AU23" s="59"/>
      <c r="AV23" s="56"/>
    </row>
    <row r="24" spans="1:48" s="57" customFormat="1" ht="30" customHeight="1" x14ac:dyDescent="0.3">
      <c r="A24" s="56"/>
      <c r="B24" s="56"/>
      <c r="C24" s="56"/>
      <c r="D24" s="56"/>
      <c r="E24" s="56"/>
      <c r="F24" s="56"/>
      <c r="G24" s="56"/>
      <c r="H24" s="265" t="s">
        <v>896</v>
      </c>
      <c r="I24" s="266"/>
      <c r="J24" s="266"/>
      <c r="K24" s="266"/>
      <c r="L24" s="266"/>
      <c r="M24" s="266"/>
      <c r="N24" s="266"/>
      <c r="O24" s="266"/>
      <c r="P24" s="267"/>
      <c r="Q24" s="268">
        <f>SUMIFS(Input[T. - Gross E&amp;G],Input[Institution Name],$H$1)</f>
        <v>0</v>
      </c>
      <c r="R24" s="268"/>
      <c r="S24" s="268"/>
      <c r="T24" s="268">
        <f>SUMIFS(Input[T. - Gross Desg],Input[Institution Name],$H$1)</f>
        <v>0</v>
      </c>
      <c r="U24" s="268"/>
      <c r="V24" s="268"/>
      <c r="W24" s="268">
        <f>SUMIFS(Input[T. - Gross Aux],Input[Institution Name],$H$1)</f>
        <v>0</v>
      </c>
      <c r="X24" s="268"/>
      <c r="Y24" s="268"/>
      <c r="Z24" s="268">
        <f>SUMIFS(Input[T. - Gross R Exp],Input[Institution Name],$H$1)</f>
        <v>0</v>
      </c>
      <c r="AA24" s="268"/>
      <c r="AB24" s="268"/>
      <c r="AC24" s="268">
        <f>SUMIFS(Input[T. - Gross Loan],Input[Institution Name],$H$1)</f>
        <v>0</v>
      </c>
      <c r="AD24" s="268"/>
      <c r="AE24" s="268"/>
      <c r="AF24" s="268">
        <f>SUMIFS(Input[T. - Gross Annuity],Input[Institution Name],$H$1)</f>
        <v>0</v>
      </c>
      <c r="AG24" s="268"/>
      <c r="AH24" s="268"/>
      <c r="AI24" s="268">
        <f>SUMIFS(Input[T. - Gross Unexp],Input[Institution Name],$H$1)</f>
        <v>0</v>
      </c>
      <c r="AJ24" s="268"/>
      <c r="AK24" s="268"/>
      <c r="AL24" s="268">
        <f>SUMIFS(Input[T. - Gross R of Ind],Input[Institution Name],$H$1)</f>
        <v>0</v>
      </c>
      <c r="AM24" s="268"/>
      <c r="AN24" s="268"/>
      <c r="AO24" s="268">
        <f>SUMIFS(Input[T. - Gross Inv in P],Input[Institution Name],$H$1)</f>
        <v>0</v>
      </c>
      <c r="AP24" s="268"/>
      <c r="AQ24" s="270"/>
      <c r="AR24" s="260">
        <f>SUM(Q24:AO24)</f>
        <v>0</v>
      </c>
      <c r="AS24" s="260"/>
      <c r="AT24" s="260"/>
      <c r="AU24" s="59"/>
      <c r="AV24" s="56"/>
    </row>
    <row r="25" spans="1:48" s="57" customFormat="1" ht="30" customHeight="1" x14ac:dyDescent="0.3">
      <c r="A25" s="56"/>
      <c r="B25" s="56"/>
      <c r="C25" s="56"/>
      <c r="D25" s="56"/>
      <c r="E25" s="56"/>
      <c r="F25" s="56"/>
      <c r="G25" s="56"/>
      <c r="H25" s="273" t="s">
        <v>897</v>
      </c>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5"/>
      <c r="AU25" s="59"/>
      <c r="AV25" s="56"/>
    </row>
    <row r="26" spans="1:48" s="57" customFormat="1" ht="30" customHeight="1" x14ac:dyDescent="0.3">
      <c r="A26" s="56"/>
      <c r="B26" s="56"/>
      <c r="C26" s="56"/>
      <c r="D26" s="56"/>
      <c r="E26" s="56"/>
      <c r="F26" s="56"/>
      <c r="G26" s="56"/>
      <c r="H26" s="246" t="s">
        <v>892</v>
      </c>
      <c r="I26" s="247"/>
      <c r="J26" s="247"/>
      <c r="K26" s="247"/>
      <c r="L26" s="247"/>
      <c r="M26" s="247"/>
      <c r="N26" s="247"/>
      <c r="O26" s="247"/>
      <c r="P26" s="248"/>
      <c r="Q26" s="278">
        <f>SUMIFS(Input[T. W. - Stat (R AFR) E&amp;G],Input[Institution Name],$H$1)</f>
        <v>0</v>
      </c>
      <c r="R26" s="278"/>
      <c r="S26" s="278"/>
      <c r="T26" s="278">
        <f>SUMIFS(Input[T. W. - Stat (R AFR) Desg],Input[Institution Name],$H$1)</f>
        <v>0</v>
      </c>
      <c r="U26" s="278"/>
      <c r="V26" s="278"/>
      <c r="W26" s="278">
        <f>SUMIFS(Input[T. W. - Stat (R AFR) Aux],Input[Institution Name],$H$1)</f>
        <v>0</v>
      </c>
      <c r="X26" s="278"/>
      <c r="Y26" s="278"/>
      <c r="Z26" s="278">
        <f>SUMIFS(Input[T. W. - Stat (R AFR) R Exp],Input[Institution Name],$H$1)</f>
        <v>0</v>
      </c>
      <c r="AA26" s="278"/>
      <c r="AB26" s="278"/>
      <c r="AC26" s="278">
        <f>SUMIFS(Input[T. W. - Stat (R AFR) Loan],Input[Institution Name],$H$1)</f>
        <v>0</v>
      </c>
      <c r="AD26" s="278"/>
      <c r="AE26" s="278"/>
      <c r="AF26" s="278">
        <f>SUMIFS(Input[T. W. - Stat (R AFR) Annuity],Input[Institution Name],$H$1)</f>
        <v>0</v>
      </c>
      <c r="AG26" s="278"/>
      <c r="AH26" s="278"/>
      <c r="AI26" s="278">
        <f>SUMIFS(Input[T. W. - Stat (R AFR) Unexp],Input[Institution Name],$H$1)</f>
        <v>0</v>
      </c>
      <c r="AJ26" s="278"/>
      <c r="AK26" s="278"/>
      <c r="AL26" s="278">
        <f>SUMIFS(Input[T. W. - Stat (R AFR) R of Ind],Input[Institution Name],$H$1)</f>
        <v>0</v>
      </c>
      <c r="AM26" s="278"/>
      <c r="AN26" s="278"/>
      <c r="AO26" s="278">
        <f>SUMIFS(Input[T. W. - Stat (R AFR) Inv in P],Input[Institution Name],$H$1)</f>
        <v>0</v>
      </c>
      <c r="AP26" s="278"/>
      <c r="AQ26" s="279"/>
      <c r="AR26" s="258">
        <f>SUM(Q26:AO26)</f>
        <v>0</v>
      </c>
      <c r="AS26" s="258"/>
      <c r="AT26" s="258"/>
      <c r="AU26" s="59"/>
      <c r="AV26" s="56"/>
    </row>
    <row r="27" spans="1:48" s="57" customFormat="1" ht="30" customHeight="1" x14ac:dyDescent="0.3">
      <c r="A27" s="56"/>
      <c r="B27" s="56"/>
      <c r="C27" s="56"/>
      <c r="D27" s="56"/>
      <c r="E27" s="56"/>
      <c r="F27" s="56"/>
      <c r="G27" s="56"/>
      <c r="H27" s="254" t="s">
        <v>893</v>
      </c>
      <c r="I27" s="255"/>
      <c r="J27" s="255"/>
      <c r="K27" s="255"/>
      <c r="L27" s="255"/>
      <c r="M27" s="255"/>
      <c r="N27" s="255"/>
      <c r="O27" s="255"/>
      <c r="P27" s="256"/>
      <c r="Q27" s="257">
        <f>SUMIFS(Input[T. W. - Inst. (R AFR) E&amp;G],Input[Institution Name],$H$1)</f>
        <v>0</v>
      </c>
      <c r="R27" s="257"/>
      <c r="S27" s="257"/>
      <c r="T27" s="257">
        <f>SUMIFS(Input[T. W. - Inst. (R AFR) Desg],Input[Institution Name],$H$1)</f>
        <v>0</v>
      </c>
      <c r="U27" s="257"/>
      <c r="V27" s="257"/>
      <c r="W27" s="257">
        <f>SUMIFS(Input[T. W. - Inst. (R AFR) Aux],Input[Institution Name],$H$1)</f>
        <v>0</v>
      </c>
      <c r="X27" s="257"/>
      <c r="Y27" s="257"/>
      <c r="Z27" s="257">
        <f>SUMIFS(Input[T. W. - Inst. (R AFR) R Exp],Input[Institution Name],$H$1)</f>
        <v>0</v>
      </c>
      <c r="AA27" s="257"/>
      <c r="AB27" s="257"/>
      <c r="AC27" s="257">
        <f>SUMIFS(Input[T. W. - Inst. (R AFR) Loan],Input[Institution Name],$H$1)</f>
        <v>0</v>
      </c>
      <c r="AD27" s="257"/>
      <c r="AE27" s="257"/>
      <c r="AF27" s="257">
        <f>SUMIFS(Input[T. W. - Inst. (R AFR) Annuity],Input[Institution Name],$H$1)</f>
        <v>0</v>
      </c>
      <c r="AG27" s="257"/>
      <c r="AH27" s="257"/>
      <c r="AI27" s="257">
        <f>SUMIFS(Input[T. W. - Inst. (R AFR) Unexp],Input[Institution Name],$H$1)</f>
        <v>0</v>
      </c>
      <c r="AJ27" s="257"/>
      <c r="AK27" s="257"/>
      <c r="AL27" s="257">
        <f>SUMIFS(Input[T. W. - Inst. (R AFR) R of Ind],Input[Institution Name],$H$1)</f>
        <v>0</v>
      </c>
      <c r="AM27" s="257"/>
      <c r="AN27" s="257"/>
      <c r="AO27" s="257">
        <f>SUMIFS(Input[T. W. - Inst. (R AFR) Inv in P],Input[Institution Name],$H$1)</f>
        <v>0</v>
      </c>
      <c r="AP27" s="257"/>
      <c r="AQ27" s="259"/>
      <c r="AR27" s="260">
        <f>SUM(Q27:AO27)</f>
        <v>0</v>
      </c>
      <c r="AS27" s="260"/>
      <c r="AT27" s="260"/>
      <c r="AU27" s="59"/>
      <c r="AV27" s="56"/>
    </row>
    <row r="28" spans="1:48" s="57" customFormat="1" ht="30" customHeight="1" x14ac:dyDescent="0.3">
      <c r="A28" s="56"/>
      <c r="B28" s="56"/>
      <c r="C28" s="56"/>
      <c r="D28" s="56"/>
      <c r="E28" s="56"/>
      <c r="F28" s="56"/>
      <c r="G28" s="56"/>
      <c r="H28" s="254" t="s">
        <v>894</v>
      </c>
      <c r="I28" s="255"/>
      <c r="J28" s="255"/>
      <c r="K28" s="255"/>
      <c r="L28" s="255"/>
      <c r="M28" s="255"/>
      <c r="N28" s="255"/>
      <c r="O28" s="255"/>
      <c r="P28" s="256"/>
      <c r="Q28" s="257">
        <f>SUMIFS(Input[T. Exp. - Stat (R AFR) E&amp;G],Input[Institution Name],$H$1)</f>
        <v>0</v>
      </c>
      <c r="R28" s="257"/>
      <c r="S28" s="257"/>
      <c r="T28" s="257">
        <f>SUMIFS(Input[T. Exp. - Stat (R AFR) Desg],Input[Institution Name],$H$1)</f>
        <v>0</v>
      </c>
      <c r="U28" s="257"/>
      <c r="V28" s="257"/>
      <c r="W28" s="257">
        <f>SUMIFS(Input[T. Exp. - Stat (R AFR) Aux],Input[Institution Name],$H$1)</f>
        <v>0</v>
      </c>
      <c r="X28" s="257"/>
      <c r="Y28" s="257"/>
      <c r="Z28" s="257">
        <f>SUMIFS(Input[T. Exp. - Stat (R AFR) R Exp],Input[Institution Name],$H$1)</f>
        <v>0</v>
      </c>
      <c r="AA28" s="257"/>
      <c r="AB28" s="257"/>
      <c r="AC28" s="257">
        <f>SUMIFS(Input[T. Exp. - Stat (R AFR) Loan],Input[Institution Name],$H$1)</f>
        <v>0</v>
      </c>
      <c r="AD28" s="257"/>
      <c r="AE28" s="257"/>
      <c r="AF28" s="257">
        <f>SUMIFS(Input[T. Exp. - Stat (R AFR) Annuity],Input[Institution Name],$H$1)</f>
        <v>0</v>
      </c>
      <c r="AG28" s="257"/>
      <c r="AH28" s="257"/>
      <c r="AI28" s="257">
        <f>SUMIFS(Input[T. Exp. - Stat (R AFR) Unexp],Input[Institution Name],$H$1)</f>
        <v>0</v>
      </c>
      <c r="AJ28" s="257"/>
      <c r="AK28" s="257"/>
      <c r="AL28" s="257">
        <f>SUMIFS(Input[T. Exp. - Stat (R AFR) R of Ind],Input[Institution Name],$H$1)</f>
        <v>0</v>
      </c>
      <c r="AM28" s="257"/>
      <c r="AN28" s="257"/>
      <c r="AO28" s="257">
        <f>SUMIFS(Input[T. Exp. - Stat (R AFR) Inv in P],Input[Institution Name],$H$1)</f>
        <v>0</v>
      </c>
      <c r="AP28" s="257"/>
      <c r="AQ28" s="259"/>
      <c r="AR28" s="260">
        <f>SUM(Q28:AO28)</f>
        <v>0</v>
      </c>
      <c r="AS28" s="260"/>
      <c r="AT28" s="260"/>
      <c r="AU28" s="59"/>
      <c r="AV28" s="56"/>
    </row>
    <row r="29" spans="1:48" s="57" customFormat="1" ht="30" customHeight="1" x14ac:dyDescent="0.3">
      <c r="A29" s="56"/>
      <c r="B29" s="56"/>
      <c r="C29" s="56"/>
      <c r="D29" s="56"/>
      <c r="E29" s="56"/>
      <c r="F29" s="56"/>
      <c r="G29" s="56"/>
      <c r="H29" s="254" t="s">
        <v>895</v>
      </c>
      <c r="I29" s="255"/>
      <c r="J29" s="255"/>
      <c r="K29" s="255"/>
      <c r="L29" s="255"/>
      <c r="M29" s="255"/>
      <c r="N29" s="255"/>
      <c r="O29" s="255"/>
      <c r="P29" s="256"/>
      <c r="Q29" s="257">
        <f>SUMIFS(Input[T. Exp. - Inst. (R AFR) E&amp;G],Input[Institution Name],$H$1)</f>
        <v>0</v>
      </c>
      <c r="R29" s="257"/>
      <c r="S29" s="257"/>
      <c r="T29" s="257">
        <f>SUMIFS(Input[T. Exp. - Inst. (R AFR) Desg],Input[Institution Name],$H$1)</f>
        <v>0</v>
      </c>
      <c r="U29" s="257"/>
      <c r="V29" s="257"/>
      <c r="W29" s="257">
        <f>SUMIFS(Input[T. Exp. - Inst. (R AFR) Aux],Input[Institution Name],$H$1)</f>
        <v>0</v>
      </c>
      <c r="X29" s="257"/>
      <c r="Y29" s="257"/>
      <c r="Z29" s="257">
        <f>SUMIFS(Input[T. Exp. - Inst. (R AFR) R Exp],Input[Institution Name],$H$1)</f>
        <v>0</v>
      </c>
      <c r="AA29" s="257"/>
      <c r="AB29" s="257"/>
      <c r="AC29" s="257">
        <f>SUMIFS(Input[T. Exp. - Inst. (R AFR) Loan],Input[Institution Name],$H$1)</f>
        <v>0</v>
      </c>
      <c r="AD29" s="257"/>
      <c r="AE29" s="257"/>
      <c r="AF29" s="257">
        <f>SUMIFS(Input[T. Exp. - Inst. (R AFR) Annuity],Input[Institution Name],$H$1)</f>
        <v>0</v>
      </c>
      <c r="AG29" s="257"/>
      <c r="AH29" s="257"/>
      <c r="AI29" s="257">
        <f>SUMIFS(Input[T. Exp. - Inst. (R AFR) Unexp],Input[Institution Name],$H$1)</f>
        <v>0</v>
      </c>
      <c r="AJ29" s="257"/>
      <c r="AK29" s="257"/>
      <c r="AL29" s="257">
        <f>SUMIFS(Input[T. Exp. - Inst. (R AFR) R of Ind],Input[Institution Name],$H$1)</f>
        <v>0</v>
      </c>
      <c r="AM29" s="257"/>
      <c r="AN29" s="257"/>
      <c r="AO29" s="257">
        <f>SUMIFS(Input[T. Exp. - Inst. (R AFR) Inv in P],Input[Institution Name],$H$1)</f>
        <v>0</v>
      </c>
      <c r="AP29" s="257"/>
      <c r="AQ29" s="259"/>
      <c r="AR29" s="260">
        <f>SUM(Q29:AO29)</f>
        <v>0</v>
      </c>
      <c r="AS29" s="260"/>
      <c r="AT29" s="260"/>
      <c r="AU29" s="59"/>
      <c r="AV29" s="56"/>
    </row>
    <row r="30" spans="1:48" s="57" customFormat="1" ht="30" customHeight="1" x14ac:dyDescent="0.3">
      <c r="A30" s="56"/>
      <c r="B30" s="56"/>
      <c r="C30" s="56"/>
      <c r="D30" s="56"/>
      <c r="E30" s="56"/>
      <c r="F30" s="56"/>
      <c r="G30" s="56"/>
      <c r="H30" s="265" t="s">
        <v>898</v>
      </c>
      <c r="I30" s="266"/>
      <c r="J30" s="266"/>
      <c r="K30" s="266"/>
      <c r="L30" s="266"/>
      <c r="M30" s="266"/>
      <c r="N30" s="266"/>
      <c r="O30" s="266"/>
      <c r="P30" s="267"/>
      <c r="Q30" s="268">
        <f>SUMIFS(Input[T. Schlr E&amp;G],Input[Institution Name],$H$1)</f>
        <v>0</v>
      </c>
      <c r="R30" s="268"/>
      <c r="S30" s="268"/>
      <c r="T30" s="268">
        <f>SUMIFS(Input[T. Schlr Desg],Input[Institution Name],$H$1)</f>
        <v>0</v>
      </c>
      <c r="U30" s="268"/>
      <c r="V30" s="268"/>
      <c r="W30" s="268">
        <f>SUMIFS(Input[T. Schlr Aux],Input[Institution Name],$H$1)</f>
        <v>0</v>
      </c>
      <c r="X30" s="268"/>
      <c r="Y30" s="268"/>
      <c r="Z30" s="268">
        <f>SUMIFS(Input[T. Schlr R Exp],Input[Institution Name],$H$1)</f>
        <v>0</v>
      </c>
      <c r="AA30" s="268"/>
      <c r="AB30" s="268"/>
      <c r="AC30" s="268">
        <f>SUMIFS(Input[T. Schlr Loan],Input[Institution Name],$H$1)</f>
        <v>0</v>
      </c>
      <c r="AD30" s="268"/>
      <c r="AE30" s="268"/>
      <c r="AF30" s="268">
        <f>SUMIFS(Input[T. Schlr Annuity],Input[Institution Name],$H$1)</f>
        <v>0</v>
      </c>
      <c r="AG30" s="268"/>
      <c r="AH30" s="268"/>
      <c r="AI30" s="268">
        <f>SUMIFS(Input[T. Schlr Unexp],Input[Institution Name],$H$1)</f>
        <v>0</v>
      </c>
      <c r="AJ30" s="268"/>
      <c r="AK30" s="268"/>
      <c r="AL30" s="268">
        <f>SUMIFS(Input[T. Schlr R of Ind],Input[Institution Name],$H$1)</f>
        <v>0</v>
      </c>
      <c r="AM30" s="268"/>
      <c r="AN30" s="268"/>
      <c r="AO30" s="268">
        <f>SUMIFS(Input[T. Schlr Inv in P],Input[Institution Name],$H$1)</f>
        <v>0</v>
      </c>
      <c r="AP30" s="268"/>
      <c r="AQ30" s="270"/>
      <c r="AR30" s="260">
        <f>SUM(Q30:AO30)</f>
        <v>0</v>
      </c>
      <c r="AS30" s="260"/>
      <c r="AT30" s="260"/>
      <c r="AU30" s="59"/>
      <c r="AV30" s="56"/>
    </row>
    <row r="31" spans="1:48" s="57" customFormat="1" ht="30" customHeight="1" x14ac:dyDescent="0.3">
      <c r="A31" s="56"/>
      <c r="B31" s="56"/>
      <c r="C31" s="56"/>
      <c r="D31" s="56"/>
      <c r="E31" s="56"/>
      <c r="F31" s="56"/>
      <c r="G31" s="56"/>
      <c r="H31" s="261" t="s">
        <v>899</v>
      </c>
      <c r="I31" s="261"/>
      <c r="J31" s="261"/>
      <c r="K31" s="261"/>
      <c r="L31" s="261"/>
      <c r="M31" s="261"/>
      <c r="N31" s="261"/>
      <c r="O31" s="261"/>
      <c r="P31" s="261"/>
      <c r="Q31" s="269">
        <f>SUM(Q24,Q26:S30)</f>
        <v>0</v>
      </c>
      <c r="R31" s="269"/>
      <c r="S31" s="269"/>
      <c r="T31" s="269">
        <f>SUM(T24,T26:V30)</f>
        <v>0</v>
      </c>
      <c r="U31" s="269"/>
      <c r="V31" s="269"/>
      <c r="W31" s="269">
        <f>SUM(W24,W26:Y30)</f>
        <v>0</v>
      </c>
      <c r="X31" s="269"/>
      <c r="Y31" s="269"/>
      <c r="Z31" s="269">
        <f>SUM(Z24,Z26:AB30)</f>
        <v>0</v>
      </c>
      <c r="AA31" s="269"/>
      <c r="AB31" s="269"/>
      <c r="AC31" s="269">
        <f>SUM(AC24,AC26:AE30)</f>
        <v>0</v>
      </c>
      <c r="AD31" s="269"/>
      <c r="AE31" s="269"/>
      <c r="AF31" s="269">
        <f>SUM(AF24,AF26:AH30)</f>
        <v>0</v>
      </c>
      <c r="AG31" s="269"/>
      <c r="AH31" s="269"/>
      <c r="AI31" s="269">
        <f>SUM(AI24,AI26:AK30)</f>
        <v>0</v>
      </c>
      <c r="AJ31" s="269"/>
      <c r="AK31" s="269"/>
      <c r="AL31" s="269">
        <f>SUM(AL24,AL26:AN30)</f>
        <v>0</v>
      </c>
      <c r="AM31" s="269"/>
      <c r="AN31" s="269"/>
      <c r="AO31" s="269">
        <f>SUM(AO24,AO26:AQ30)</f>
        <v>0</v>
      </c>
      <c r="AP31" s="269"/>
      <c r="AQ31" s="269"/>
      <c r="AR31" s="269">
        <f>SUM(AR24,AR26:AT30)</f>
        <v>0</v>
      </c>
      <c r="AS31" s="269"/>
      <c r="AT31" s="269"/>
      <c r="AU31" s="59"/>
      <c r="AV31" s="56"/>
    </row>
    <row r="32" spans="1:48" s="57" customFormat="1" ht="30" customHeight="1" x14ac:dyDescent="0.3">
      <c r="A32" s="56"/>
      <c r="B32" s="56"/>
      <c r="C32" s="56"/>
      <c r="D32" s="56"/>
      <c r="E32" s="56"/>
      <c r="F32" s="56"/>
      <c r="G32" s="56"/>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c r="AO32" s="271"/>
      <c r="AP32" s="271"/>
      <c r="AQ32" s="271"/>
      <c r="AR32" s="271"/>
      <c r="AS32" s="271"/>
      <c r="AT32" s="271"/>
      <c r="AU32" s="59"/>
      <c r="AV32" s="56"/>
    </row>
    <row r="33" spans="1:49" s="57" customFormat="1" ht="30" customHeight="1" x14ac:dyDescent="0.3">
      <c r="A33" s="56"/>
      <c r="B33" s="56"/>
      <c r="C33" s="56"/>
      <c r="D33" s="56"/>
      <c r="E33" s="56"/>
      <c r="F33" s="56"/>
      <c r="G33" s="56"/>
      <c r="H33" s="272" t="s">
        <v>900</v>
      </c>
      <c r="I33" s="272"/>
      <c r="J33" s="272"/>
      <c r="K33" s="272"/>
      <c r="L33" s="272"/>
      <c r="M33" s="272"/>
      <c r="N33" s="272"/>
      <c r="O33" s="272"/>
      <c r="P33" s="272"/>
      <c r="Q33" s="269" cm="1">
        <f t="array" ref="Q33">SUM(Q39:S39,-Q35:S38)</f>
        <v>0</v>
      </c>
      <c r="R33" s="269"/>
      <c r="S33" s="269"/>
      <c r="T33" s="269" cm="1">
        <f t="array" ref="T33">SUM(T39:V39,-T35:V38)</f>
        <v>0</v>
      </c>
      <c r="U33" s="269"/>
      <c r="V33" s="269"/>
      <c r="W33" s="269" cm="1">
        <f t="array" ref="W33">SUM(W39:Y39,-W35:Y38)</f>
        <v>0</v>
      </c>
      <c r="X33" s="269"/>
      <c r="Y33" s="269"/>
      <c r="Z33" s="269" cm="1">
        <f t="array" ref="Z33">SUM(Z39:AB39,-Z35:AB38)</f>
        <v>0</v>
      </c>
      <c r="AA33" s="269"/>
      <c r="AB33" s="269"/>
      <c r="AC33" s="269" cm="1">
        <f t="array" ref="AC33">SUM(AC39:AE39,-AC35:AE38)</f>
        <v>0</v>
      </c>
      <c r="AD33" s="269"/>
      <c r="AE33" s="269"/>
      <c r="AF33" s="269" cm="1">
        <f t="array" ref="AF33">SUM(AF39:AH39,-AF35:AH38)</f>
        <v>0</v>
      </c>
      <c r="AG33" s="269"/>
      <c r="AH33" s="269"/>
      <c r="AI33" s="269" cm="1">
        <f t="array" ref="AI33">SUM(AI39:AK39,-AI35:AK38)</f>
        <v>0</v>
      </c>
      <c r="AJ33" s="269"/>
      <c r="AK33" s="269"/>
      <c r="AL33" s="269" cm="1">
        <f t="array" ref="AL33">SUM(AL39:AN39,-AL35:AN38)</f>
        <v>0</v>
      </c>
      <c r="AM33" s="269"/>
      <c r="AN33" s="269"/>
      <c r="AO33" s="269" cm="1">
        <f t="array" ref="AO33">SUM(AO39:AQ39,-AO35:AQ38)</f>
        <v>0</v>
      </c>
      <c r="AP33" s="269"/>
      <c r="AQ33" s="269"/>
      <c r="AR33" s="269" cm="1">
        <f t="array" ref="AR33">SUM(AR39:AT39,-AR35:AT38)</f>
        <v>0</v>
      </c>
      <c r="AS33" s="269"/>
      <c r="AT33" s="269"/>
      <c r="AU33" s="59"/>
      <c r="AV33" s="59"/>
      <c r="AW33" s="84"/>
    </row>
    <row r="34" spans="1:49" s="57" customFormat="1" ht="30" customHeight="1" x14ac:dyDescent="0.3">
      <c r="A34" s="56"/>
      <c r="B34" s="56"/>
      <c r="C34" s="56"/>
      <c r="D34" s="56"/>
      <c r="E34" s="56"/>
      <c r="F34" s="56"/>
      <c r="G34" s="56"/>
      <c r="H34" s="273" t="s">
        <v>901</v>
      </c>
      <c r="I34" s="274"/>
      <c r="J34" s="274"/>
      <c r="K34" s="274"/>
      <c r="L34" s="274"/>
      <c r="M34" s="274"/>
      <c r="N34" s="274"/>
      <c r="O34" s="274"/>
      <c r="P34" s="274"/>
      <c r="Q34" s="274"/>
      <c r="R34" s="274"/>
      <c r="S34" s="274"/>
      <c r="T34" s="274"/>
      <c r="U34" s="274"/>
      <c r="V34" s="274"/>
      <c r="W34" s="274"/>
      <c r="X34" s="274"/>
      <c r="Y34" s="274"/>
      <c r="Z34" s="274"/>
      <c r="AA34" s="274"/>
      <c r="AB34" s="274"/>
      <c r="AC34" s="274"/>
      <c r="AD34" s="274"/>
      <c r="AE34" s="274"/>
      <c r="AF34" s="274"/>
      <c r="AG34" s="274"/>
      <c r="AH34" s="274"/>
      <c r="AI34" s="274"/>
      <c r="AJ34" s="274"/>
      <c r="AK34" s="274"/>
      <c r="AL34" s="274"/>
      <c r="AM34" s="274"/>
      <c r="AN34" s="274"/>
      <c r="AO34" s="274"/>
      <c r="AP34" s="274"/>
      <c r="AQ34" s="274"/>
      <c r="AR34" s="274"/>
      <c r="AS34" s="274"/>
      <c r="AT34" s="275"/>
      <c r="AU34" s="59"/>
      <c r="AV34" s="59"/>
      <c r="AW34" s="84"/>
    </row>
    <row r="35" spans="1:49" s="57" customFormat="1" ht="30" customHeight="1" x14ac:dyDescent="0.3">
      <c r="A35" s="56"/>
      <c r="B35" s="56"/>
      <c r="C35" s="56"/>
      <c r="D35" s="56"/>
      <c r="E35" s="56"/>
      <c r="F35" s="56"/>
      <c r="G35" s="56"/>
      <c r="H35" s="246" t="s">
        <v>892</v>
      </c>
      <c r="I35" s="247"/>
      <c r="J35" s="247"/>
      <c r="K35" s="247"/>
      <c r="L35" s="247"/>
      <c r="M35" s="247"/>
      <c r="N35" s="247"/>
      <c r="O35" s="247"/>
      <c r="P35" s="248"/>
      <c r="Q35" s="278">
        <f>SUMIFS(Input[F. W. - Stat (NR AFR) E&amp;G],Input[Institution Name],$H$1)</f>
        <v>0</v>
      </c>
      <c r="R35" s="278"/>
      <c r="S35" s="278"/>
      <c r="T35" s="278">
        <f>SUMIFS(Input[F. W. - Stat (NR AFR) Desg],Input[Institution Name],$H$1)</f>
        <v>0</v>
      </c>
      <c r="U35" s="278"/>
      <c r="V35" s="278"/>
      <c r="W35" s="278">
        <f>SUMIFS(Input[F. W. - Stat (NR AFR) Aux],Input[Institution Name],$H$1)</f>
        <v>0</v>
      </c>
      <c r="X35" s="278"/>
      <c r="Y35" s="278"/>
      <c r="Z35" s="278">
        <f>SUMIFS(Input[F. W. - Stat (NR AFR) R Exp],Input[Institution Name],$H$1)</f>
        <v>0</v>
      </c>
      <c r="AA35" s="278"/>
      <c r="AB35" s="278"/>
      <c r="AC35" s="278">
        <f>SUMIFS(Input[F. W. - Stat (NR AFR) Loan],Input[Institution Name],$H$1)</f>
        <v>0</v>
      </c>
      <c r="AD35" s="278"/>
      <c r="AE35" s="278"/>
      <c r="AF35" s="278">
        <f>SUMIFS(Input[F. W. - Stat (NR AFR) Annuity],Input[Institution Name],$H$1)</f>
        <v>0</v>
      </c>
      <c r="AG35" s="278"/>
      <c r="AH35" s="278"/>
      <c r="AI35" s="278">
        <f>SUMIFS(Input[F. W. - Stat (NR AFR) Unexp],Input[Institution Name],$H$1)</f>
        <v>0</v>
      </c>
      <c r="AJ35" s="278"/>
      <c r="AK35" s="278"/>
      <c r="AL35" s="278">
        <f>SUMIFS(Input[F. W. - Stat (NR AFR) R of Ind],Input[Institution Name],$H$1)</f>
        <v>0</v>
      </c>
      <c r="AM35" s="278"/>
      <c r="AN35" s="278"/>
      <c r="AO35" s="278">
        <f>SUMIFS(Input[F. W. - Stat (NR AFR) Inv in P],Input[Institution Name],$H$1)</f>
        <v>0</v>
      </c>
      <c r="AP35" s="278"/>
      <c r="AQ35" s="279"/>
      <c r="AR35" s="258">
        <f>SUM(Q35:AO35)</f>
        <v>0</v>
      </c>
      <c r="AS35" s="258"/>
      <c r="AT35" s="258"/>
      <c r="AU35" s="59"/>
      <c r="AV35" s="59"/>
      <c r="AW35" s="84"/>
    </row>
    <row r="36" spans="1:49" s="57" customFormat="1" ht="30" customHeight="1" x14ac:dyDescent="0.3">
      <c r="A36" s="56"/>
      <c r="B36" s="56"/>
      <c r="C36" s="56"/>
      <c r="D36" s="56"/>
      <c r="E36" s="56"/>
      <c r="F36" s="56"/>
      <c r="G36" s="56"/>
      <c r="H36" s="254" t="s">
        <v>893</v>
      </c>
      <c r="I36" s="255"/>
      <c r="J36" s="255"/>
      <c r="K36" s="255"/>
      <c r="L36" s="255"/>
      <c r="M36" s="255"/>
      <c r="N36" s="255"/>
      <c r="O36" s="255"/>
      <c r="P36" s="256"/>
      <c r="Q36" s="257">
        <f>SUMIFS(Input[F. W. - Inst. (NR AFR) E&amp;G],Input[Institution Name],$H$1)</f>
        <v>0</v>
      </c>
      <c r="R36" s="257"/>
      <c r="S36" s="257"/>
      <c r="T36" s="257">
        <f>SUMIFS(Input[F. W. - Inst. (NR AFR) Desg],Input[Institution Name],$H$1)</f>
        <v>0</v>
      </c>
      <c r="U36" s="257"/>
      <c r="V36" s="257"/>
      <c r="W36" s="257">
        <f>SUMIFS(Input[F. W. - Inst. (NR AFR) Aux],Input[Institution Name],$H$1)</f>
        <v>0</v>
      </c>
      <c r="X36" s="257"/>
      <c r="Y36" s="257"/>
      <c r="Z36" s="257">
        <f>SUMIFS(Input[F. W. - Inst. (NR AFR) R Exp],Input[Institution Name],$H$1)</f>
        <v>0</v>
      </c>
      <c r="AA36" s="257"/>
      <c r="AB36" s="257"/>
      <c r="AC36" s="257">
        <f>SUMIFS(Input[F. W. - Inst. (NR AFR) Loan],Input[Institution Name],$H$1)</f>
        <v>0</v>
      </c>
      <c r="AD36" s="257"/>
      <c r="AE36" s="257"/>
      <c r="AF36" s="257">
        <f>SUMIFS(Input[F. W. - Inst. (NR AFR) Annuity],Input[Institution Name],$H$1)</f>
        <v>0</v>
      </c>
      <c r="AG36" s="257"/>
      <c r="AH36" s="257"/>
      <c r="AI36" s="257">
        <f>SUMIFS(Input[F. W. - Inst. (NR AFR) Unexp],Input[Institution Name],$H$1)</f>
        <v>0</v>
      </c>
      <c r="AJ36" s="257"/>
      <c r="AK36" s="257"/>
      <c r="AL36" s="257">
        <f>SUMIFS(Input[F. W. - Inst. (NR AFR) R of Ind],Input[Institution Name],$H$1)</f>
        <v>0</v>
      </c>
      <c r="AM36" s="257"/>
      <c r="AN36" s="257"/>
      <c r="AO36" s="257">
        <f>SUMIFS(Input[F. W. - Inst. (NR AFR) Inv in P],Input[Institution Name],$H$1)</f>
        <v>0</v>
      </c>
      <c r="AP36" s="257"/>
      <c r="AQ36" s="259"/>
      <c r="AR36" s="260">
        <f>SUM(Q36:AO36)</f>
        <v>0</v>
      </c>
      <c r="AS36" s="260"/>
      <c r="AT36" s="260"/>
      <c r="AU36" s="59"/>
      <c r="AV36" s="59"/>
      <c r="AW36" s="84"/>
    </row>
    <row r="37" spans="1:49" s="57" customFormat="1" ht="30" customHeight="1" x14ac:dyDescent="0.3">
      <c r="A37" s="56"/>
      <c r="B37" s="56"/>
      <c r="C37" s="56"/>
      <c r="D37" s="56"/>
      <c r="E37" s="56"/>
      <c r="F37" s="56"/>
      <c r="G37" s="56"/>
      <c r="H37" s="254" t="s">
        <v>894</v>
      </c>
      <c r="I37" s="255"/>
      <c r="J37" s="255"/>
      <c r="K37" s="255"/>
      <c r="L37" s="255"/>
      <c r="M37" s="255"/>
      <c r="N37" s="255"/>
      <c r="O37" s="255"/>
      <c r="P37" s="256"/>
      <c r="Q37" s="257">
        <f>SUMIFS(Input[F. Exp. - Stat (NR AFR) E&amp;G],Input[Institution Name],$H$1)</f>
        <v>0</v>
      </c>
      <c r="R37" s="257"/>
      <c r="S37" s="257"/>
      <c r="T37" s="257">
        <f>SUMIFS(Input[F. Exp. - Stat (NR AFR) Desg],Input[Institution Name],$H$1)</f>
        <v>0</v>
      </c>
      <c r="U37" s="257"/>
      <c r="V37" s="257"/>
      <c r="W37" s="257">
        <f>SUMIFS(Input[F. Exp. - Stat (NR AFR) Aux],Input[Institution Name],$H$1)</f>
        <v>0</v>
      </c>
      <c r="X37" s="257"/>
      <c r="Y37" s="257"/>
      <c r="Z37" s="257">
        <f>SUMIFS(Input[F. Exp. - Stat (NR AFR) R Exp],Input[Institution Name],$H$1)</f>
        <v>0</v>
      </c>
      <c r="AA37" s="257"/>
      <c r="AB37" s="257"/>
      <c r="AC37" s="257">
        <f>SUMIFS(Input[F. Exp. - Stat (NR AFR) Loan],Input[Institution Name],$H$1)</f>
        <v>0</v>
      </c>
      <c r="AD37" s="257"/>
      <c r="AE37" s="257"/>
      <c r="AF37" s="257">
        <f>SUMIFS(Input[F. Exp. - Stat (NR AFR) Annuity],Input[Institution Name],$H$1)</f>
        <v>0</v>
      </c>
      <c r="AG37" s="257"/>
      <c r="AH37" s="257"/>
      <c r="AI37" s="257">
        <f>SUMIFS(Input[F. Exp. - Stat (NR AFR) Unexp],Input[Institution Name],$H$1)</f>
        <v>0</v>
      </c>
      <c r="AJ37" s="257"/>
      <c r="AK37" s="257"/>
      <c r="AL37" s="257">
        <f>SUMIFS(Input[F. Exp. - Stat (NR AFR) R of Ind],Input[Institution Name],$H$1)</f>
        <v>0</v>
      </c>
      <c r="AM37" s="257"/>
      <c r="AN37" s="257"/>
      <c r="AO37" s="257">
        <f>SUMIFS(Input[F. Exp. - Stat (NR AFR) Inv in P],Input[Institution Name],$H$1)</f>
        <v>0</v>
      </c>
      <c r="AP37" s="257"/>
      <c r="AQ37" s="259"/>
      <c r="AR37" s="260">
        <f>SUM(Q37:AO37)</f>
        <v>0</v>
      </c>
      <c r="AS37" s="260"/>
      <c r="AT37" s="260"/>
      <c r="AU37" s="59"/>
      <c r="AV37" s="59"/>
      <c r="AW37" s="84"/>
    </row>
    <row r="38" spans="1:49" s="57" customFormat="1" ht="30" customHeight="1" x14ac:dyDescent="0.3">
      <c r="A38" s="56"/>
      <c r="B38" s="56"/>
      <c r="C38" s="56"/>
      <c r="D38" s="56"/>
      <c r="E38" s="56"/>
      <c r="F38" s="56"/>
      <c r="G38" s="56"/>
      <c r="H38" s="254" t="s">
        <v>895</v>
      </c>
      <c r="I38" s="255"/>
      <c r="J38" s="255"/>
      <c r="K38" s="255"/>
      <c r="L38" s="255"/>
      <c r="M38" s="255"/>
      <c r="N38" s="255"/>
      <c r="O38" s="255"/>
      <c r="P38" s="256"/>
      <c r="Q38" s="257">
        <f>SUMIFS(Input[F. Exp. - Inst. (NR AFR) E&amp;G],Input[Institution Name],$H$1)</f>
        <v>0</v>
      </c>
      <c r="R38" s="257"/>
      <c r="S38" s="257"/>
      <c r="T38" s="257">
        <f>SUMIFS(Input[F. Exp. - Inst. (NR AFR) Desg],Input[Institution Name],$H$1)</f>
        <v>0</v>
      </c>
      <c r="U38" s="257"/>
      <c r="V38" s="257"/>
      <c r="W38" s="257">
        <f>SUMIFS(Input[F. Exp. - Inst. (NR AFR) Aux],Input[Institution Name],$H$1)</f>
        <v>0</v>
      </c>
      <c r="X38" s="257"/>
      <c r="Y38" s="257"/>
      <c r="Z38" s="257">
        <f>SUMIFS(Input[F. Exp. - Inst. (NR AFR) R Exp],Input[Institution Name],$H$1)</f>
        <v>0</v>
      </c>
      <c r="AA38" s="257"/>
      <c r="AB38" s="257"/>
      <c r="AC38" s="257">
        <f>SUMIFS(Input[F. Exp. - Inst. (NR AFR) Loan],Input[Institution Name],$H$1)</f>
        <v>0</v>
      </c>
      <c r="AD38" s="257"/>
      <c r="AE38" s="257"/>
      <c r="AF38" s="257">
        <f>SUMIFS(Input[F. Exp. - Inst. (NR AFR) Annuity],Input[Institution Name],$H$1)</f>
        <v>0</v>
      </c>
      <c r="AG38" s="257"/>
      <c r="AH38" s="257"/>
      <c r="AI38" s="257">
        <f>SUMIFS(Input[F. Exp. - Inst. (NR AFR) Unexp],Input[Institution Name],$H$1)</f>
        <v>0</v>
      </c>
      <c r="AJ38" s="257"/>
      <c r="AK38" s="257"/>
      <c r="AL38" s="257">
        <f>SUMIFS(Input[F. Exp. - Inst. (NR AFR) R of Ind],Input[Institution Name],$H$1)</f>
        <v>0</v>
      </c>
      <c r="AM38" s="257"/>
      <c r="AN38" s="257"/>
      <c r="AO38" s="257">
        <f>SUMIFS(Input[F. Exp. - Inst. (NR AFR) Inv in P],Input[Institution Name],$H$1)</f>
        <v>0</v>
      </c>
      <c r="AP38" s="257"/>
      <c r="AQ38" s="259"/>
      <c r="AR38" s="260">
        <f>SUM(Q38:AO38)</f>
        <v>0</v>
      </c>
      <c r="AS38" s="260"/>
      <c r="AT38" s="260"/>
      <c r="AU38" s="59"/>
      <c r="AV38" s="59"/>
      <c r="AW38" s="84"/>
    </row>
    <row r="39" spans="1:49" s="57" customFormat="1" ht="30" customHeight="1" x14ac:dyDescent="0.3">
      <c r="A39" s="56"/>
      <c r="B39" s="56"/>
      <c r="C39" s="56"/>
      <c r="D39" s="56"/>
      <c r="E39" s="56"/>
      <c r="F39" s="56"/>
      <c r="G39" s="56"/>
      <c r="H39" s="265" t="s">
        <v>902</v>
      </c>
      <c r="I39" s="266"/>
      <c r="J39" s="266"/>
      <c r="K39" s="266"/>
      <c r="L39" s="266"/>
      <c r="M39" s="266"/>
      <c r="N39" s="266"/>
      <c r="O39" s="266"/>
      <c r="P39" s="267"/>
      <c r="Q39" s="268">
        <f>SUMIFS(Input[Fees - Gross E&amp;G],Input[Institution Name],$H$1)</f>
        <v>0</v>
      </c>
      <c r="R39" s="268"/>
      <c r="S39" s="268"/>
      <c r="T39" s="268">
        <f>SUMIFS(Input[Fees - Gross Desg],Input[Institution Name],$H$1)</f>
        <v>0</v>
      </c>
      <c r="U39" s="268"/>
      <c r="V39" s="268"/>
      <c r="W39" s="268">
        <f>SUMIFS(Input[Fees - Gross Aux],Input[Institution Name],$H$1)</f>
        <v>0</v>
      </c>
      <c r="X39" s="268"/>
      <c r="Y39" s="268"/>
      <c r="Z39" s="268">
        <f>SUMIFS(Input[Fees - Gross R Exp],Input[Institution Name],$H$1)</f>
        <v>0</v>
      </c>
      <c r="AA39" s="268"/>
      <c r="AB39" s="268"/>
      <c r="AC39" s="268">
        <f>SUMIFS(Input[Fees - Gross Loan],Input[Institution Name],$H$1)</f>
        <v>0</v>
      </c>
      <c r="AD39" s="268"/>
      <c r="AE39" s="268"/>
      <c r="AF39" s="268">
        <f>SUMIFS(Input[Fees - Gross Annuity],Input[Institution Name],$H$1)</f>
        <v>0</v>
      </c>
      <c r="AG39" s="268"/>
      <c r="AH39" s="268"/>
      <c r="AI39" s="268">
        <f>SUMIFS(Input[Fees - Gross Unexp],Input[Institution Name],$H$1)</f>
        <v>0</v>
      </c>
      <c r="AJ39" s="268"/>
      <c r="AK39" s="268"/>
      <c r="AL39" s="268">
        <f>SUMIFS(Input[Fees - Gross R of Ind],Input[Institution Name],$H$1)</f>
        <v>0</v>
      </c>
      <c r="AM39" s="268"/>
      <c r="AN39" s="268"/>
      <c r="AO39" s="268">
        <f>SUMIFS(Input[Fees - Gross Inv in P],Input[Institution Name],$H$1)</f>
        <v>0</v>
      </c>
      <c r="AP39" s="268"/>
      <c r="AQ39" s="270"/>
      <c r="AR39" s="260">
        <f>SUM(Q39:AO39)</f>
        <v>0</v>
      </c>
      <c r="AS39" s="260"/>
      <c r="AT39" s="260"/>
      <c r="AU39" s="59"/>
      <c r="AV39" s="59"/>
      <c r="AW39" s="84"/>
    </row>
    <row r="40" spans="1:49" s="57" customFormat="1" ht="30" customHeight="1" x14ac:dyDescent="0.3">
      <c r="A40" s="56"/>
      <c r="B40" s="56"/>
      <c r="C40" s="56"/>
      <c r="D40" s="56"/>
      <c r="E40" s="56"/>
      <c r="F40" s="56"/>
      <c r="G40" s="56"/>
      <c r="H40" s="273" t="s">
        <v>897</v>
      </c>
      <c r="I40" s="274"/>
      <c r="J40" s="274"/>
      <c r="K40" s="274"/>
      <c r="L40" s="274"/>
      <c r="M40" s="274"/>
      <c r="N40" s="274"/>
      <c r="O40" s="274"/>
      <c r="P40" s="274"/>
      <c r="Q40" s="274"/>
      <c r="R40" s="274"/>
      <c r="S40" s="274"/>
      <c r="T40" s="274"/>
      <c r="U40" s="274"/>
      <c r="V40" s="274"/>
      <c r="W40" s="274"/>
      <c r="X40" s="274"/>
      <c r="Y40" s="274"/>
      <c r="Z40" s="274"/>
      <c r="AA40" s="274"/>
      <c r="AB40" s="274"/>
      <c r="AC40" s="274"/>
      <c r="AD40" s="274"/>
      <c r="AE40" s="274"/>
      <c r="AF40" s="274"/>
      <c r="AG40" s="274"/>
      <c r="AH40" s="274"/>
      <c r="AI40" s="274"/>
      <c r="AJ40" s="274"/>
      <c r="AK40" s="274"/>
      <c r="AL40" s="274"/>
      <c r="AM40" s="274"/>
      <c r="AN40" s="274"/>
      <c r="AO40" s="274"/>
      <c r="AP40" s="274"/>
      <c r="AQ40" s="274"/>
      <c r="AR40" s="274"/>
      <c r="AS40" s="274"/>
      <c r="AT40" s="275"/>
      <c r="AU40" s="59"/>
      <c r="AV40" s="59"/>
      <c r="AW40" s="84"/>
    </row>
    <row r="41" spans="1:49" s="57" customFormat="1" ht="30" customHeight="1" x14ac:dyDescent="0.3">
      <c r="A41" s="56"/>
      <c r="B41" s="56"/>
      <c r="C41" s="56"/>
      <c r="D41" s="56"/>
      <c r="E41" s="56"/>
      <c r="F41" s="56"/>
      <c r="G41" s="56"/>
      <c r="H41" s="246" t="s">
        <v>892</v>
      </c>
      <c r="I41" s="247"/>
      <c r="J41" s="247"/>
      <c r="K41" s="247"/>
      <c r="L41" s="247"/>
      <c r="M41" s="247"/>
      <c r="N41" s="247"/>
      <c r="O41" s="247"/>
      <c r="P41" s="248"/>
      <c r="Q41" s="278">
        <f>SUMIFS(Input[F. W. - Stat (R AFR) E&amp;G],Input[Institution Name],$H$1)</f>
        <v>0</v>
      </c>
      <c r="R41" s="278"/>
      <c r="S41" s="278"/>
      <c r="T41" s="278">
        <f>SUMIFS(Input[F. W. - Stat (R AFR) Desg],Input[Institution Name],$H$1)</f>
        <v>0</v>
      </c>
      <c r="U41" s="278"/>
      <c r="V41" s="278"/>
      <c r="W41" s="278">
        <f>SUMIFS(Input[F. W. - Stat (R AFR) Aux],Input[Institution Name],$H$1)</f>
        <v>0</v>
      </c>
      <c r="X41" s="278"/>
      <c r="Y41" s="278"/>
      <c r="Z41" s="278">
        <f>SUMIFS(Input[F. W. - Stat (R AFR) R Exp],Input[Institution Name],$H$1)</f>
        <v>0</v>
      </c>
      <c r="AA41" s="278"/>
      <c r="AB41" s="278"/>
      <c r="AC41" s="278">
        <f>SUMIFS(Input[F. W. - Stat (R AFR) Loan],Input[Institution Name],$H$1)</f>
        <v>0</v>
      </c>
      <c r="AD41" s="278"/>
      <c r="AE41" s="278"/>
      <c r="AF41" s="278">
        <f>SUMIFS(Input[F. W. - Stat (R AFR) Annuity],Input[Institution Name],$H$1)</f>
        <v>0</v>
      </c>
      <c r="AG41" s="278"/>
      <c r="AH41" s="278"/>
      <c r="AI41" s="278">
        <f>SUMIFS(Input[F. W. - Stat (R AFR) Unexp],Input[Institution Name],$H$1)</f>
        <v>0</v>
      </c>
      <c r="AJ41" s="278"/>
      <c r="AK41" s="278"/>
      <c r="AL41" s="278">
        <f>SUMIFS(Input[F. W. - Stat (R AFR) R of Ind],Input[Institution Name],$H$1)</f>
        <v>0</v>
      </c>
      <c r="AM41" s="278"/>
      <c r="AN41" s="278"/>
      <c r="AO41" s="278">
        <f>SUMIFS(Input[F. W. - Stat (R AFR) Inv in P],Input[Institution Name],$H$1)</f>
        <v>0</v>
      </c>
      <c r="AP41" s="278"/>
      <c r="AQ41" s="279"/>
      <c r="AR41" s="258">
        <f>SUM(Q41:AO41)</f>
        <v>0</v>
      </c>
      <c r="AS41" s="258"/>
      <c r="AT41" s="258"/>
      <c r="AU41" s="59"/>
      <c r="AV41" s="59"/>
      <c r="AW41" s="84"/>
    </row>
    <row r="42" spans="1:49" s="57" customFormat="1" ht="30" customHeight="1" x14ac:dyDescent="0.3">
      <c r="A42" s="56"/>
      <c r="B42" s="56"/>
      <c r="C42" s="56"/>
      <c r="D42" s="56"/>
      <c r="E42" s="56"/>
      <c r="F42" s="56"/>
      <c r="G42" s="56"/>
      <c r="H42" s="254" t="s">
        <v>893</v>
      </c>
      <c r="I42" s="255"/>
      <c r="J42" s="255"/>
      <c r="K42" s="255"/>
      <c r="L42" s="255"/>
      <c r="M42" s="255"/>
      <c r="N42" s="255"/>
      <c r="O42" s="255"/>
      <c r="P42" s="256"/>
      <c r="Q42" s="257">
        <f>SUMIFS(Input[F. W. - Inst. (R AFR) E&amp;G],Input[Institution Name],$H$1)</f>
        <v>0</v>
      </c>
      <c r="R42" s="257"/>
      <c r="S42" s="257"/>
      <c r="T42" s="257">
        <f>SUMIFS(Input[F. W. - Inst. (R AFR) Desg],Input[Institution Name],$H$1)</f>
        <v>0</v>
      </c>
      <c r="U42" s="257"/>
      <c r="V42" s="257"/>
      <c r="W42" s="257">
        <f>SUMIFS(Input[F. W. - Inst. (R AFR) Aux],Input[Institution Name],$H$1)</f>
        <v>0</v>
      </c>
      <c r="X42" s="257"/>
      <c r="Y42" s="257"/>
      <c r="Z42" s="257">
        <f>SUMIFS(Input[F. W. - Inst. (R AFR) R Exp],Input[Institution Name],$H$1)</f>
        <v>0</v>
      </c>
      <c r="AA42" s="257"/>
      <c r="AB42" s="257"/>
      <c r="AC42" s="257">
        <f>SUMIFS(Input[F. W. - Inst. (R AFR) Loan],Input[Institution Name],$H$1)</f>
        <v>0</v>
      </c>
      <c r="AD42" s="257"/>
      <c r="AE42" s="257"/>
      <c r="AF42" s="257">
        <f>SUMIFS(Input[F. W. - Inst. (R AFR) Annuity],Input[Institution Name],$H$1)</f>
        <v>0</v>
      </c>
      <c r="AG42" s="257"/>
      <c r="AH42" s="257"/>
      <c r="AI42" s="257">
        <f>SUMIFS(Input[F. W. - Inst. (R AFR) Unexp],Input[Institution Name],$H$1)</f>
        <v>0</v>
      </c>
      <c r="AJ42" s="257"/>
      <c r="AK42" s="257"/>
      <c r="AL42" s="257">
        <f>SUMIFS(Input[F. W. - Inst. (R AFR) R of Ind],Input[Institution Name],$H$1)</f>
        <v>0</v>
      </c>
      <c r="AM42" s="257"/>
      <c r="AN42" s="257"/>
      <c r="AO42" s="257">
        <f>SUMIFS(Input[F. W. - Inst. (R AFR) Inv in P],Input[Institution Name],$H$1)</f>
        <v>0</v>
      </c>
      <c r="AP42" s="257"/>
      <c r="AQ42" s="259"/>
      <c r="AR42" s="260">
        <f>SUM(Q42:AO42)</f>
        <v>0</v>
      </c>
      <c r="AS42" s="260"/>
      <c r="AT42" s="260"/>
      <c r="AU42" s="59"/>
      <c r="AV42" s="59"/>
      <c r="AW42" s="84"/>
    </row>
    <row r="43" spans="1:49" s="57" customFormat="1" ht="30" customHeight="1" x14ac:dyDescent="0.3">
      <c r="A43" s="56"/>
      <c r="B43" s="56"/>
      <c r="C43" s="56"/>
      <c r="D43" s="56"/>
      <c r="E43" s="56"/>
      <c r="F43" s="56"/>
      <c r="G43" s="56"/>
      <c r="H43" s="254" t="s">
        <v>894</v>
      </c>
      <c r="I43" s="255"/>
      <c r="J43" s="255"/>
      <c r="K43" s="255"/>
      <c r="L43" s="255"/>
      <c r="M43" s="255"/>
      <c r="N43" s="255"/>
      <c r="O43" s="255"/>
      <c r="P43" s="256"/>
      <c r="Q43" s="257">
        <f>SUMIFS(Input[F. Exp. - Stat (R AFR) E&amp;G],Input[Institution Name],$H$1)</f>
        <v>0</v>
      </c>
      <c r="R43" s="257"/>
      <c r="S43" s="257"/>
      <c r="T43" s="257">
        <f>SUMIFS(Input[F. Exp. - Stat (R AFR) Desg],Input[Institution Name],$H$1)</f>
        <v>0</v>
      </c>
      <c r="U43" s="257"/>
      <c r="V43" s="257"/>
      <c r="W43" s="257">
        <f>SUMIFS(Input[F. Exp. - Stat (R AFR) Aux],Input[Institution Name],$H$1)</f>
        <v>0</v>
      </c>
      <c r="X43" s="257"/>
      <c r="Y43" s="257"/>
      <c r="Z43" s="257">
        <f>SUMIFS(Input[F. Exp. - Stat (R AFR) R Exp],Input[Institution Name],$H$1)</f>
        <v>0</v>
      </c>
      <c r="AA43" s="257"/>
      <c r="AB43" s="257"/>
      <c r="AC43" s="257">
        <f>SUMIFS(Input[F. Exp. - Stat (R AFR) Loan],Input[Institution Name],$H$1)</f>
        <v>0</v>
      </c>
      <c r="AD43" s="257"/>
      <c r="AE43" s="257"/>
      <c r="AF43" s="257">
        <f>SUMIFS(Input[F. Exp. - Stat (R AFR) Annuity],Input[Institution Name],$H$1)</f>
        <v>0</v>
      </c>
      <c r="AG43" s="257"/>
      <c r="AH43" s="257"/>
      <c r="AI43" s="257">
        <f>SUMIFS(Input[F. Exp. - Stat (R AFR) Unexp],Input[Institution Name],$H$1)</f>
        <v>0</v>
      </c>
      <c r="AJ43" s="257"/>
      <c r="AK43" s="257"/>
      <c r="AL43" s="257">
        <f>SUMIFS(Input[F. Exp. - Stat (R AFR) R of Ind],Input[Institution Name],$H$1)</f>
        <v>0</v>
      </c>
      <c r="AM43" s="257"/>
      <c r="AN43" s="257"/>
      <c r="AO43" s="257">
        <f>SUMIFS(Input[F. Exp. - Stat (R AFR) Inv in P],Input[Institution Name],$H$1)</f>
        <v>0</v>
      </c>
      <c r="AP43" s="257"/>
      <c r="AQ43" s="259"/>
      <c r="AR43" s="260">
        <f>SUM(Q43:AO43)</f>
        <v>0</v>
      </c>
      <c r="AS43" s="260"/>
      <c r="AT43" s="260"/>
      <c r="AU43" s="59"/>
      <c r="AV43" s="59"/>
      <c r="AW43" s="84"/>
    </row>
    <row r="44" spans="1:49" s="57" customFormat="1" ht="30" customHeight="1" x14ac:dyDescent="0.3">
      <c r="A44" s="56"/>
      <c r="B44" s="56"/>
      <c r="C44" s="56"/>
      <c r="D44" s="56"/>
      <c r="E44" s="56"/>
      <c r="F44" s="56"/>
      <c r="G44" s="56"/>
      <c r="H44" s="254" t="s">
        <v>895</v>
      </c>
      <c r="I44" s="255"/>
      <c r="J44" s="255"/>
      <c r="K44" s="255"/>
      <c r="L44" s="255"/>
      <c r="M44" s="255"/>
      <c r="N44" s="255"/>
      <c r="O44" s="255"/>
      <c r="P44" s="256"/>
      <c r="Q44" s="257">
        <f>SUMIFS(Input[F. Exp. - Inst. (R AFR) E&amp;G],Input[Institution Name],$H$1)</f>
        <v>0</v>
      </c>
      <c r="R44" s="257"/>
      <c r="S44" s="257"/>
      <c r="T44" s="257">
        <f>SUMIFS(Input[F. Exp. - Inst. (R AFR) Desg],Input[Institution Name],$H$1)</f>
        <v>0</v>
      </c>
      <c r="U44" s="257"/>
      <c r="V44" s="257"/>
      <c r="W44" s="257">
        <f>SUMIFS(Input[F. Exp. - Inst. (R AFR) Aux],Input[Institution Name],$H$1)</f>
        <v>0</v>
      </c>
      <c r="X44" s="257"/>
      <c r="Y44" s="257"/>
      <c r="Z44" s="257">
        <f>SUMIFS(Input[F. Exp. - Inst. (R AFR) R Exp],Input[Institution Name],$H$1)</f>
        <v>0</v>
      </c>
      <c r="AA44" s="257"/>
      <c r="AB44" s="257"/>
      <c r="AC44" s="257">
        <f>SUMIFS(Input[F. Exp. - Inst. (R AFR) Loan],Input[Institution Name],$H$1)</f>
        <v>0</v>
      </c>
      <c r="AD44" s="257"/>
      <c r="AE44" s="257"/>
      <c r="AF44" s="257">
        <f>SUMIFS(Input[F. Exp. - Inst. (R AFR) Annuity],Input[Institution Name],$H$1)</f>
        <v>0</v>
      </c>
      <c r="AG44" s="257"/>
      <c r="AH44" s="257"/>
      <c r="AI44" s="257">
        <f>SUMIFS(Input[F. Exp. - Inst. (R AFR) Unexp],Input[Institution Name],$H$1)</f>
        <v>0</v>
      </c>
      <c r="AJ44" s="257"/>
      <c r="AK44" s="257"/>
      <c r="AL44" s="257">
        <f>SUMIFS(Input[F. Exp. - Inst. (R AFR) R of Ind],Input[Institution Name],$H$1)</f>
        <v>0</v>
      </c>
      <c r="AM44" s="257"/>
      <c r="AN44" s="257"/>
      <c r="AO44" s="257">
        <f>SUMIFS(Input[F. Exp. - Inst. (R AFR) Inv in P],Input[Institution Name],$H$1)</f>
        <v>0</v>
      </c>
      <c r="AP44" s="257"/>
      <c r="AQ44" s="259"/>
      <c r="AR44" s="260">
        <f>SUM(Q44:AO44)</f>
        <v>0</v>
      </c>
      <c r="AS44" s="260"/>
      <c r="AT44" s="260"/>
      <c r="AU44" s="59"/>
      <c r="AV44" s="59"/>
      <c r="AW44" s="84"/>
    </row>
    <row r="45" spans="1:49" s="57" customFormat="1" ht="30" customHeight="1" x14ac:dyDescent="0.3">
      <c r="A45" s="56"/>
      <c r="B45" s="56"/>
      <c r="C45" s="56"/>
      <c r="D45" s="56"/>
      <c r="E45" s="56"/>
      <c r="F45" s="56"/>
      <c r="G45" s="56"/>
      <c r="H45" s="265" t="s">
        <v>898</v>
      </c>
      <c r="I45" s="266"/>
      <c r="J45" s="266"/>
      <c r="K45" s="266"/>
      <c r="L45" s="266"/>
      <c r="M45" s="266"/>
      <c r="N45" s="266"/>
      <c r="O45" s="266"/>
      <c r="P45" s="267"/>
      <c r="Q45" s="268">
        <f>SUMIFS(Input[Fee Schlr E&amp;G],Input[Institution Name],$H$1)</f>
        <v>0</v>
      </c>
      <c r="R45" s="268"/>
      <c r="S45" s="268"/>
      <c r="T45" s="268">
        <f>SUMIFS(Input[Fee Schlr Desg],Input[Institution Name],$H$1)</f>
        <v>0</v>
      </c>
      <c r="U45" s="268"/>
      <c r="V45" s="268"/>
      <c r="W45" s="268">
        <f>SUMIFS(Input[Fee Schlr Aux],Input[Institution Name],$H$1)</f>
        <v>0</v>
      </c>
      <c r="X45" s="268"/>
      <c r="Y45" s="268"/>
      <c r="Z45" s="268">
        <f>SUMIFS(Input[Fee Schlr R Exp],Input[Institution Name],$H$1)</f>
        <v>0</v>
      </c>
      <c r="AA45" s="268"/>
      <c r="AB45" s="268"/>
      <c r="AC45" s="268">
        <f>SUMIFS(Input[Fee Schlr Loan],Input[Institution Name],$H$1)</f>
        <v>0</v>
      </c>
      <c r="AD45" s="268"/>
      <c r="AE45" s="268"/>
      <c r="AF45" s="268">
        <f>SUMIFS(Input[Fee Schlr Annuity],Input[Institution Name],$H$1)</f>
        <v>0</v>
      </c>
      <c r="AG45" s="268"/>
      <c r="AH45" s="268"/>
      <c r="AI45" s="268">
        <f>SUMIFS(Input[Fee Schlr Unexp],Input[Institution Name],$H$1)</f>
        <v>0</v>
      </c>
      <c r="AJ45" s="268"/>
      <c r="AK45" s="268"/>
      <c r="AL45" s="268">
        <f>SUMIFS(Input[Fee Schlr R of Ind],Input[Institution Name],$H$1)</f>
        <v>0</v>
      </c>
      <c r="AM45" s="268"/>
      <c r="AN45" s="268"/>
      <c r="AO45" s="268">
        <f>SUMIFS(Input[Fee Schlr Inv in P],Input[Institution Name],$H$1)</f>
        <v>0</v>
      </c>
      <c r="AP45" s="268"/>
      <c r="AQ45" s="270"/>
      <c r="AR45" s="260">
        <f>SUM(Q45:AO45)</f>
        <v>0</v>
      </c>
      <c r="AS45" s="260"/>
      <c r="AT45" s="260"/>
      <c r="AU45" s="59"/>
      <c r="AV45" s="59"/>
      <c r="AW45" s="84"/>
    </row>
    <row r="46" spans="1:49" s="57" customFormat="1" ht="30" customHeight="1" x14ac:dyDescent="0.3">
      <c r="A46" s="56"/>
      <c r="B46" s="56"/>
      <c r="C46" s="56"/>
      <c r="D46" s="56"/>
      <c r="E46" s="56"/>
      <c r="F46" s="56"/>
      <c r="G46" s="56"/>
      <c r="H46" s="261" t="s">
        <v>903</v>
      </c>
      <c r="I46" s="261"/>
      <c r="J46" s="261"/>
      <c r="K46" s="261"/>
      <c r="L46" s="261"/>
      <c r="M46" s="261"/>
      <c r="N46" s="261"/>
      <c r="O46" s="261"/>
      <c r="P46" s="261"/>
      <c r="Q46" s="269">
        <f>SUM(Q39,Q41:S45)</f>
        <v>0</v>
      </c>
      <c r="R46" s="269"/>
      <c r="S46" s="269"/>
      <c r="T46" s="269">
        <f>SUM(T39,T41:V45)</f>
        <v>0</v>
      </c>
      <c r="U46" s="269"/>
      <c r="V46" s="269"/>
      <c r="W46" s="269">
        <f>SUM(W39,W41:Y45)</f>
        <v>0</v>
      </c>
      <c r="X46" s="269"/>
      <c r="Y46" s="269"/>
      <c r="Z46" s="269">
        <f>SUM(Z39,Z41:AB45)</f>
        <v>0</v>
      </c>
      <c r="AA46" s="269"/>
      <c r="AB46" s="269"/>
      <c r="AC46" s="269">
        <f>SUM(AC39,AC41:AE45)</f>
        <v>0</v>
      </c>
      <c r="AD46" s="269"/>
      <c r="AE46" s="269"/>
      <c r="AF46" s="269">
        <f>SUM(AF39,AF41:AH45)</f>
        <v>0</v>
      </c>
      <c r="AG46" s="269"/>
      <c r="AH46" s="269"/>
      <c r="AI46" s="269">
        <f>SUM(AI39,AI41:AK45)</f>
        <v>0</v>
      </c>
      <c r="AJ46" s="269"/>
      <c r="AK46" s="269"/>
      <c r="AL46" s="269">
        <f>SUM(AL39,AL41:AN45)</f>
        <v>0</v>
      </c>
      <c r="AM46" s="269"/>
      <c r="AN46" s="269"/>
      <c r="AO46" s="269">
        <f>SUM(AO39,AO41:AQ45)</f>
        <v>0</v>
      </c>
      <c r="AP46" s="269"/>
      <c r="AQ46" s="269"/>
      <c r="AR46" s="269">
        <f>SUM(AR39,AR41:AT45)</f>
        <v>0</v>
      </c>
      <c r="AS46" s="269"/>
      <c r="AT46" s="269"/>
      <c r="AU46" s="59"/>
      <c r="AV46" s="59"/>
      <c r="AW46" s="84"/>
    </row>
    <row r="47" spans="1:49" s="57" customFormat="1" ht="30" customHeight="1" x14ac:dyDescent="0.3">
      <c r="A47" s="56"/>
      <c r="B47" s="56"/>
      <c r="C47" s="56"/>
      <c r="D47" s="56"/>
      <c r="E47" s="56"/>
      <c r="F47" s="56"/>
      <c r="G47" s="56"/>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271"/>
      <c r="AG47" s="271"/>
      <c r="AH47" s="271"/>
      <c r="AI47" s="271"/>
      <c r="AJ47" s="271"/>
      <c r="AK47" s="271"/>
      <c r="AL47" s="271"/>
      <c r="AM47" s="271"/>
      <c r="AN47" s="271"/>
      <c r="AO47" s="271"/>
      <c r="AP47" s="271"/>
      <c r="AQ47" s="271"/>
      <c r="AR47" s="271"/>
      <c r="AS47" s="271"/>
      <c r="AT47" s="271"/>
      <c r="AU47" s="56"/>
      <c r="AV47" s="56"/>
    </row>
    <row r="48" spans="1:49" s="57" customFormat="1" ht="30" customHeight="1" x14ac:dyDescent="0.3">
      <c r="A48" s="56"/>
      <c r="B48" s="56"/>
      <c r="C48" s="56"/>
      <c r="D48" s="56"/>
      <c r="E48" s="56"/>
      <c r="F48" s="56"/>
      <c r="G48" s="56"/>
      <c r="H48" s="261" t="s">
        <v>904</v>
      </c>
      <c r="I48" s="261"/>
      <c r="J48" s="261"/>
      <c r="K48" s="261"/>
      <c r="L48" s="261"/>
      <c r="M48" s="261"/>
      <c r="N48" s="261"/>
      <c r="O48" s="261"/>
      <c r="P48" s="261"/>
      <c r="Q48" s="269">
        <f>SUM(Q31,Q46)</f>
        <v>0</v>
      </c>
      <c r="R48" s="269"/>
      <c r="S48" s="269"/>
      <c r="T48" s="269">
        <f>SUM(T31,T46)</f>
        <v>0</v>
      </c>
      <c r="U48" s="269"/>
      <c r="V48" s="269"/>
      <c r="W48" s="269">
        <f>SUM(W31,W46)</f>
        <v>0</v>
      </c>
      <c r="X48" s="269"/>
      <c r="Y48" s="269"/>
      <c r="Z48" s="269">
        <f>SUM(Z31,Z46)</f>
        <v>0</v>
      </c>
      <c r="AA48" s="269"/>
      <c r="AB48" s="269"/>
      <c r="AC48" s="269">
        <f>SUM(AC31,AC46)</f>
        <v>0</v>
      </c>
      <c r="AD48" s="269"/>
      <c r="AE48" s="269"/>
      <c r="AF48" s="269">
        <f>SUM(AF31,AF46)</f>
        <v>0</v>
      </c>
      <c r="AG48" s="269"/>
      <c r="AH48" s="269"/>
      <c r="AI48" s="269">
        <f>SUM(AI31,AI46)</f>
        <v>0</v>
      </c>
      <c r="AJ48" s="269"/>
      <c r="AK48" s="269"/>
      <c r="AL48" s="269">
        <f>SUM(AL31,AL46)</f>
        <v>0</v>
      </c>
      <c r="AM48" s="269"/>
      <c r="AN48" s="269"/>
      <c r="AO48" s="269">
        <f>SUM(AO31,AO46)</f>
        <v>0</v>
      </c>
      <c r="AP48" s="269"/>
      <c r="AQ48" s="269"/>
      <c r="AR48" s="269">
        <f>SUM(AR31,AR46)</f>
        <v>0</v>
      </c>
      <c r="AS48" s="269"/>
      <c r="AT48" s="269"/>
      <c r="AU48" s="56"/>
      <c r="AV48" s="56"/>
    </row>
    <row r="49" spans="1:48" s="57" customFormat="1" ht="30" customHeight="1" x14ac:dyDescent="0.3">
      <c r="A49" s="56"/>
      <c r="B49" s="56"/>
      <c r="C49" s="56"/>
      <c r="D49" s="56"/>
      <c r="E49" s="56"/>
      <c r="F49" s="56"/>
      <c r="G49" s="56"/>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1"/>
      <c r="AM49" s="271"/>
      <c r="AN49" s="271"/>
      <c r="AO49" s="271"/>
      <c r="AP49" s="271"/>
      <c r="AQ49" s="271"/>
      <c r="AR49" s="271"/>
      <c r="AS49" s="271"/>
      <c r="AT49" s="271"/>
      <c r="AU49" s="56"/>
      <c r="AV49" s="56"/>
    </row>
    <row r="50" spans="1:48" s="57" customFormat="1" ht="30" customHeight="1" x14ac:dyDescent="0.3">
      <c r="A50" s="56"/>
      <c r="B50" s="56"/>
      <c r="C50" s="56"/>
      <c r="D50" s="56"/>
      <c r="E50" s="56"/>
      <c r="F50" s="56"/>
      <c r="G50" s="56"/>
      <c r="H50" s="235" t="s">
        <v>905</v>
      </c>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7"/>
      <c r="AU50" s="56"/>
      <c r="AV50" s="56"/>
    </row>
    <row r="51" spans="1:48" s="57" customFormat="1" ht="30" customHeight="1" x14ac:dyDescent="0.3">
      <c r="A51" s="56"/>
      <c r="B51" s="56"/>
      <c r="C51" s="56"/>
      <c r="D51" s="56"/>
      <c r="E51" s="56"/>
      <c r="F51" s="56"/>
      <c r="G51" s="56"/>
      <c r="H51" s="280" t="s">
        <v>906</v>
      </c>
      <c r="I51" s="281"/>
      <c r="J51" s="281"/>
      <c r="K51" s="281"/>
      <c r="L51" s="281"/>
      <c r="M51" s="281"/>
      <c r="N51" s="281"/>
      <c r="O51" s="281"/>
      <c r="P51" s="282"/>
      <c r="Q51" s="283">
        <f>SUMIFS(Input[Fed G&amp;C E&amp;G],Input[Institution Name],$H$1)</f>
        <v>0</v>
      </c>
      <c r="R51" s="283"/>
      <c r="S51" s="283"/>
      <c r="T51" s="283">
        <f>SUMIFS(Input[Fed G&amp;C Desg],Input[Institution Name],$H$1)</f>
        <v>0</v>
      </c>
      <c r="U51" s="283"/>
      <c r="V51" s="283"/>
      <c r="W51" s="283">
        <f>SUMIFS(Input[Fed G&amp;C Aux],Input[Institution Name],$H$1)</f>
        <v>0</v>
      </c>
      <c r="X51" s="283"/>
      <c r="Y51" s="283"/>
      <c r="Z51" s="283">
        <f>SUMIFS(Input[Fed G&amp;C R Exp],Input[Institution Name],$H$1)</f>
        <v>0</v>
      </c>
      <c r="AA51" s="283"/>
      <c r="AB51" s="283"/>
      <c r="AC51" s="283">
        <f>SUMIFS(Input[Fed G&amp;C Loan],Input[Institution Name],$H$1)</f>
        <v>0</v>
      </c>
      <c r="AD51" s="283"/>
      <c r="AE51" s="283"/>
      <c r="AF51" s="283">
        <f>SUMIFS(Input[Fed G&amp;C Annuity],Input[Institution Name],$H$1)</f>
        <v>0</v>
      </c>
      <c r="AG51" s="283"/>
      <c r="AH51" s="283"/>
      <c r="AI51" s="283">
        <f>SUMIFS(Input[Fed G&amp;C Unexp],Input[Institution Name],$H$1)</f>
        <v>0</v>
      </c>
      <c r="AJ51" s="283"/>
      <c r="AK51" s="283"/>
      <c r="AL51" s="283">
        <f>SUMIFS(Input[Fed G&amp;C R of Ind],Input[Institution Name],$H$1)</f>
        <v>0</v>
      </c>
      <c r="AM51" s="283"/>
      <c r="AN51" s="283"/>
      <c r="AO51" s="283">
        <f>SUMIFS(Input[Fed G&amp;C Inv in P],Input[Institution Name],$H$1)</f>
        <v>0</v>
      </c>
      <c r="AP51" s="283"/>
      <c r="AQ51" s="283"/>
      <c r="AR51" s="269">
        <f>SUM(Q51:AO51)</f>
        <v>0</v>
      </c>
      <c r="AS51" s="269"/>
      <c r="AT51" s="269"/>
      <c r="AU51" s="56"/>
      <c r="AV51" s="56"/>
    </row>
    <row r="52" spans="1:48" s="57" customFormat="1" ht="30" customHeight="1" x14ac:dyDescent="0.3">
      <c r="A52" s="56"/>
      <c r="B52" s="56"/>
      <c r="C52" s="56"/>
      <c r="D52" s="56"/>
      <c r="E52" s="56"/>
      <c r="F52" s="56"/>
      <c r="G52" s="56"/>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71"/>
      <c r="AI52" s="271"/>
      <c r="AJ52" s="271"/>
      <c r="AK52" s="271"/>
      <c r="AL52" s="271"/>
      <c r="AM52" s="271"/>
      <c r="AN52" s="271"/>
      <c r="AO52" s="271"/>
      <c r="AP52" s="271"/>
      <c r="AQ52" s="271"/>
      <c r="AR52" s="271"/>
      <c r="AS52" s="271"/>
      <c r="AT52" s="271"/>
      <c r="AU52" s="56"/>
      <c r="AV52" s="56"/>
    </row>
    <row r="53" spans="1:48" s="57" customFormat="1" ht="30" customHeight="1" x14ac:dyDescent="0.3">
      <c r="A53" s="56"/>
      <c r="B53" s="56"/>
      <c r="C53" s="56"/>
      <c r="D53" s="56"/>
      <c r="E53" s="56"/>
      <c r="F53" s="56"/>
      <c r="G53" s="56"/>
      <c r="H53" s="235" t="s">
        <v>907</v>
      </c>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c r="AI53" s="236"/>
      <c r="AJ53" s="236"/>
      <c r="AK53" s="236"/>
      <c r="AL53" s="236"/>
      <c r="AM53" s="236"/>
      <c r="AN53" s="236"/>
      <c r="AO53" s="236"/>
      <c r="AP53" s="236"/>
      <c r="AQ53" s="236"/>
      <c r="AR53" s="236"/>
      <c r="AS53" s="236"/>
      <c r="AT53" s="237"/>
      <c r="AU53" s="56"/>
      <c r="AV53" s="56"/>
    </row>
    <row r="54" spans="1:48" s="57" customFormat="1" ht="30" customHeight="1" x14ac:dyDescent="0.3">
      <c r="A54" s="56"/>
      <c r="B54" s="56"/>
      <c r="C54" s="56"/>
      <c r="D54" s="56"/>
      <c r="E54" s="56"/>
      <c r="F54" s="56"/>
      <c r="G54" s="56"/>
      <c r="H54" s="280" t="s">
        <v>908</v>
      </c>
      <c r="I54" s="281"/>
      <c r="J54" s="281"/>
      <c r="K54" s="281"/>
      <c r="L54" s="281"/>
      <c r="M54" s="281"/>
      <c r="N54" s="281"/>
      <c r="O54" s="281"/>
      <c r="P54" s="282"/>
      <c r="Q54" s="283">
        <f>SUMIFS(Input[Prof Fees E&amp;G],Input[Institution Name],$H$1)</f>
        <v>0</v>
      </c>
      <c r="R54" s="283"/>
      <c r="S54" s="283"/>
      <c r="T54" s="283">
        <f>SUMIFS(Input[Prof Fees Desg],Input[Institution Name],$H$1)</f>
        <v>0</v>
      </c>
      <c r="U54" s="283"/>
      <c r="V54" s="283"/>
      <c r="W54" s="283">
        <f>SUMIFS(Input[Prof Fees Aux],Input[Institution Name],$H$1)</f>
        <v>0</v>
      </c>
      <c r="X54" s="283"/>
      <c r="Y54" s="283"/>
      <c r="Z54" s="283">
        <f>SUMIFS(Input[Prof Fees R Exp],Input[Institution Name],$H$1)</f>
        <v>0</v>
      </c>
      <c r="AA54" s="283"/>
      <c r="AB54" s="283"/>
      <c r="AC54" s="283">
        <f>SUMIFS(Input[Prof Fees Loan],Input[Institution Name],$H$1)</f>
        <v>0</v>
      </c>
      <c r="AD54" s="283"/>
      <c r="AE54" s="283"/>
      <c r="AF54" s="283">
        <f>SUMIFS(Input[Prof Fees Annuity],Input[Institution Name],$H$1)</f>
        <v>0</v>
      </c>
      <c r="AG54" s="283"/>
      <c r="AH54" s="283"/>
      <c r="AI54" s="283">
        <f>SUMIFS(Input[Prof Fees Unexp],Input[Institution Name],$H$1)</f>
        <v>0</v>
      </c>
      <c r="AJ54" s="283"/>
      <c r="AK54" s="283"/>
      <c r="AL54" s="283">
        <f>SUMIFS(Input[Prof Fees R of Ind],Input[Institution Name],$H$1)</f>
        <v>0</v>
      </c>
      <c r="AM54" s="283"/>
      <c r="AN54" s="283"/>
      <c r="AO54" s="283">
        <f>SUMIFS(Input[Prof Fees Inv in P],Input[Institution Name],$H$1)</f>
        <v>0</v>
      </c>
      <c r="AP54" s="283"/>
      <c r="AQ54" s="283"/>
      <c r="AR54" s="269">
        <f>SUM(Q54:AO54)</f>
        <v>0</v>
      </c>
      <c r="AS54" s="269"/>
      <c r="AT54" s="269"/>
      <c r="AU54" s="56"/>
      <c r="AV54" s="56"/>
    </row>
    <row r="55" spans="1:48" s="57" customFormat="1" ht="30" customHeight="1" x14ac:dyDescent="0.3">
      <c r="A55" s="56"/>
      <c r="B55" s="56"/>
      <c r="C55" s="56"/>
      <c r="D55" s="56"/>
      <c r="E55" s="56"/>
      <c r="F55" s="56"/>
      <c r="G55" s="56"/>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71"/>
      <c r="AI55" s="271"/>
      <c r="AJ55" s="271"/>
      <c r="AK55" s="271"/>
      <c r="AL55" s="271"/>
      <c r="AM55" s="271"/>
      <c r="AN55" s="271"/>
      <c r="AO55" s="271"/>
      <c r="AP55" s="271"/>
      <c r="AQ55" s="271"/>
      <c r="AR55" s="271"/>
      <c r="AS55" s="271"/>
      <c r="AT55" s="271"/>
      <c r="AU55" s="56"/>
      <c r="AV55" s="56"/>
    </row>
    <row r="56" spans="1:48" s="57" customFormat="1" ht="30" customHeight="1" x14ac:dyDescent="0.3">
      <c r="A56" s="56"/>
      <c r="B56" s="56"/>
      <c r="C56" s="56"/>
      <c r="D56" s="56"/>
      <c r="E56" s="56"/>
      <c r="F56" s="56"/>
      <c r="G56" s="56"/>
      <c r="H56" s="235" t="s">
        <v>909</v>
      </c>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7"/>
      <c r="AU56" s="56"/>
      <c r="AV56" s="56"/>
    </row>
    <row r="57" spans="1:48" s="57" customFormat="1" ht="30" customHeight="1" x14ac:dyDescent="0.3">
      <c r="A57" s="56"/>
      <c r="B57" s="56"/>
      <c r="C57" s="56"/>
      <c r="D57" s="56"/>
      <c r="E57" s="56"/>
      <c r="F57" s="56"/>
      <c r="G57" s="56"/>
      <c r="H57" s="280" t="s">
        <v>908</v>
      </c>
      <c r="I57" s="281"/>
      <c r="J57" s="281"/>
      <c r="K57" s="281"/>
      <c r="L57" s="281"/>
      <c r="M57" s="281"/>
      <c r="N57" s="281"/>
      <c r="O57" s="281"/>
      <c r="P57" s="282"/>
      <c r="Q57" s="283">
        <f>SUMIFS(Input[H&amp;C E&amp;G],Input[Institution Name],$H$1)</f>
        <v>0</v>
      </c>
      <c r="R57" s="283"/>
      <c r="S57" s="283"/>
      <c r="T57" s="283">
        <f>SUMIFS(Input[H&amp;C Desg],Input[Institution Name],$H$1)</f>
        <v>0</v>
      </c>
      <c r="U57" s="283"/>
      <c r="V57" s="283"/>
      <c r="W57" s="283">
        <f>SUMIFS(Input[H&amp;C Aux],Input[Institution Name],$H$1)</f>
        <v>0</v>
      </c>
      <c r="X57" s="283"/>
      <c r="Y57" s="283"/>
      <c r="Z57" s="283">
        <f>SUMIFS(Input[H&amp;C R Exp],Input[Institution Name],$H$1)</f>
        <v>0</v>
      </c>
      <c r="AA57" s="283"/>
      <c r="AB57" s="283"/>
      <c r="AC57" s="283">
        <f>SUMIFS(Input[H&amp;C Loan],Input[Institution Name],$H$1)</f>
        <v>0</v>
      </c>
      <c r="AD57" s="283"/>
      <c r="AE57" s="283"/>
      <c r="AF57" s="283">
        <f>SUMIFS(Input[H&amp;C Annuity],Input[Institution Name],$H$1)</f>
        <v>0</v>
      </c>
      <c r="AG57" s="283"/>
      <c r="AH57" s="283"/>
      <c r="AI57" s="283">
        <f>SUMIFS(Input[H&amp;C Unexp],Input[Institution Name],$H$1)</f>
        <v>0</v>
      </c>
      <c r="AJ57" s="283"/>
      <c r="AK57" s="283"/>
      <c r="AL57" s="283">
        <f>SUMIFS(Input[H&amp;C R of Ind],Input[Institution Name],$H$1)</f>
        <v>0</v>
      </c>
      <c r="AM57" s="283"/>
      <c r="AN57" s="283"/>
      <c r="AO57" s="283">
        <f>SUMIFS(Input[H&amp;C Inv in P],Input[Institution Name],$H$1)</f>
        <v>0</v>
      </c>
      <c r="AP57" s="283"/>
      <c r="AQ57" s="283"/>
      <c r="AR57" s="264">
        <f>SUM(Q57:AO57)</f>
        <v>0</v>
      </c>
      <c r="AS57" s="269"/>
      <c r="AT57" s="269"/>
      <c r="AU57" s="56"/>
      <c r="AV57" s="56"/>
    </row>
    <row r="58" spans="1:48" s="57" customFormat="1" ht="30" customHeight="1" x14ac:dyDescent="0.3">
      <c r="A58" s="56"/>
      <c r="B58" s="56"/>
      <c r="C58" s="56"/>
      <c r="D58" s="56"/>
      <c r="E58" s="56"/>
      <c r="F58" s="56"/>
      <c r="G58" s="56"/>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1"/>
      <c r="AP58" s="271"/>
      <c r="AQ58" s="271"/>
      <c r="AR58" s="271"/>
      <c r="AS58" s="271"/>
      <c r="AT58" s="271"/>
      <c r="AU58" s="56"/>
      <c r="AV58" s="56"/>
    </row>
    <row r="59" spans="1:48" s="57" customFormat="1" ht="30" customHeight="1" x14ac:dyDescent="0.3">
      <c r="A59" s="56"/>
      <c r="B59" s="56"/>
      <c r="C59" s="56"/>
      <c r="D59" s="56"/>
      <c r="E59" s="56"/>
      <c r="F59" s="56"/>
      <c r="G59" s="56"/>
      <c r="H59" s="235" t="s">
        <v>910</v>
      </c>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c r="AI59" s="236"/>
      <c r="AJ59" s="236"/>
      <c r="AK59" s="236"/>
      <c r="AL59" s="236"/>
      <c r="AM59" s="236"/>
      <c r="AN59" s="236"/>
      <c r="AO59" s="236"/>
      <c r="AP59" s="236"/>
      <c r="AQ59" s="236"/>
      <c r="AR59" s="236"/>
      <c r="AS59" s="236"/>
      <c r="AT59" s="237"/>
      <c r="AU59" s="56"/>
      <c r="AV59" s="56"/>
    </row>
    <row r="60" spans="1:48" s="57" customFormat="1" ht="30" customHeight="1" x14ac:dyDescent="0.3">
      <c r="A60" s="56"/>
      <c r="B60" s="56"/>
      <c r="C60" s="56"/>
      <c r="D60" s="56"/>
      <c r="E60" s="56"/>
      <c r="F60" s="56"/>
      <c r="G60" s="56"/>
      <c r="H60" s="246" t="s">
        <v>911</v>
      </c>
      <c r="I60" s="247"/>
      <c r="J60" s="247"/>
      <c r="K60" s="247"/>
      <c r="L60" s="247"/>
      <c r="M60" s="247"/>
      <c r="N60" s="247"/>
      <c r="O60" s="247"/>
      <c r="P60" s="248"/>
      <c r="Q60" s="285">
        <f>SUMIFS(Input[End &amp; Int Inc E&amp;G],Input[Institution Name],$H$1)</f>
        <v>0</v>
      </c>
      <c r="R60" s="278"/>
      <c r="S60" s="278"/>
      <c r="T60" s="278">
        <f>SUMIFS(Input[End &amp; Int Inc Desg],Input[Institution Name],$H$1)</f>
        <v>0</v>
      </c>
      <c r="U60" s="278"/>
      <c r="V60" s="278"/>
      <c r="W60" s="278">
        <f>SUMIFS(Input[End &amp; Int Inc Aux],Input[Institution Name],$H$1)</f>
        <v>0</v>
      </c>
      <c r="X60" s="278"/>
      <c r="Y60" s="278"/>
      <c r="Z60" s="278">
        <f>SUMIFS(Input[End &amp; Int Inc R Exp],Input[Institution Name],$H$1)</f>
        <v>0</v>
      </c>
      <c r="AA60" s="278"/>
      <c r="AB60" s="278"/>
      <c r="AC60" s="278">
        <f>SUMIFS(Input[End &amp; Int Inc Loan],Input[Institution Name],$H$1)</f>
        <v>0</v>
      </c>
      <c r="AD60" s="278"/>
      <c r="AE60" s="278"/>
      <c r="AF60" s="278">
        <f>SUMIFS(Input[End &amp; Int Inc Annuity],Input[Institution Name],$H$1)</f>
        <v>0</v>
      </c>
      <c r="AG60" s="278"/>
      <c r="AH60" s="278"/>
      <c r="AI60" s="278">
        <f>SUMIFS(Input[End &amp; Int Inc Unexp],Input[Institution Name],$H$1)</f>
        <v>0</v>
      </c>
      <c r="AJ60" s="278"/>
      <c r="AK60" s="278"/>
      <c r="AL60" s="278">
        <f>SUMIFS(Input[End &amp; Int Inc R of Ind],Input[Institution Name],$H$1)</f>
        <v>0</v>
      </c>
      <c r="AM60" s="278"/>
      <c r="AN60" s="278"/>
      <c r="AO60" s="278">
        <f>SUMIFS(Input[End &amp; Int Inc Inv in P],Input[Institution Name],$H$1)</f>
        <v>0</v>
      </c>
      <c r="AP60" s="278"/>
      <c r="AQ60" s="279"/>
      <c r="AR60" s="258">
        <f t="shared" ref="AR60:AR65" si="0">SUM(Q60:AO60)</f>
        <v>0</v>
      </c>
      <c r="AS60" s="258"/>
      <c r="AT60" s="258"/>
      <c r="AU60" s="56"/>
      <c r="AV60" s="56"/>
    </row>
    <row r="61" spans="1:48" s="57" customFormat="1" ht="30" customHeight="1" x14ac:dyDescent="0.3">
      <c r="A61" s="56"/>
      <c r="B61" s="56"/>
      <c r="C61" s="56"/>
      <c r="D61" s="56"/>
      <c r="E61" s="56"/>
      <c r="F61" s="56"/>
      <c r="G61" s="56"/>
      <c r="H61" s="254" t="s">
        <v>912</v>
      </c>
      <c r="I61" s="255"/>
      <c r="J61" s="255"/>
      <c r="K61" s="255"/>
      <c r="L61" s="255"/>
      <c r="M61" s="255"/>
      <c r="N61" s="255"/>
      <c r="O61" s="255"/>
      <c r="P61" s="256"/>
      <c r="Q61" s="284">
        <f>SUMIFS(Input[Loc Gov G E&amp;G],Input[Institution Name],$H$1)</f>
        <v>0</v>
      </c>
      <c r="R61" s="257"/>
      <c r="S61" s="257"/>
      <c r="T61" s="257">
        <f>SUMIFS(Input[Loc Gov G Desg],Input[Institution Name],$H$1)</f>
        <v>0</v>
      </c>
      <c r="U61" s="257"/>
      <c r="V61" s="257"/>
      <c r="W61" s="257">
        <f>SUMIFS(Input[Loc Gov G Aux],Input[Institution Name],$H$1)</f>
        <v>0</v>
      </c>
      <c r="X61" s="257"/>
      <c r="Y61" s="257"/>
      <c r="Z61" s="257">
        <f>SUMIFS(Input[Loc Gov G R Exp],Input[Institution Name],$H$1)</f>
        <v>0</v>
      </c>
      <c r="AA61" s="257"/>
      <c r="AB61" s="257"/>
      <c r="AC61" s="257">
        <f>SUMIFS(Input[Loc Gov G Loan],Input[Institution Name],$H$1)</f>
        <v>0</v>
      </c>
      <c r="AD61" s="257"/>
      <c r="AE61" s="257"/>
      <c r="AF61" s="257">
        <f>SUMIFS(Input[Loc Gov G Annuity],Input[Institution Name],$H$1)</f>
        <v>0</v>
      </c>
      <c r="AG61" s="257"/>
      <c r="AH61" s="257"/>
      <c r="AI61" s="257">
        <f>SUMIFS(Input[Loc Gov G Unexp],Input[Institution Name],$H$1)</f>
        <v>0</v>
      </c>
      <c r="AJ61" s="257"/>
      <c r="AK61" s="257"/>
      <c r="AL61" s="257">
        <f>SUMIFS(Input[Loc Gov G R of Ind],Input[Institution Name],$H$1)</f>
        <v>0</v>
      </c>
      <c r="AM61" s="257"/>
      <c r="AN61" s="257"/>
      <c r="AO61" s="257">
        <f>SUMIFS(Input[Loc Gov G Inv in P],Input[Institution Name],$H$1)</f>
        <v>0</v>
      </c>
      <c r="AP61" s="257"/>
      <c r="AQ61" s="259"/>
      <c r="AR61" s="260">
        <f t="shared" si="0"/>
        <v>0</v>
      </c>
      <c r="AS61" s="260"/>
      <c r="AT61" s="260"/>
      <c r="AU61" s="56"/>
      <c r="AV61" s="56"/>
    </row>
    <row r="62" spans="1:48" s="57" customFormat="1" ht="30" customHeight="1" x14ac:dyDescent="0.3">
      <c r="A62" s="56"/>
      <c r="B62" s="56"/>
      <c r="C62" s="56"/>
      <c r="D62" s="56"/>
      <c r="E62" s="56"/>
      <c r="F62" s="56"/>
      <c r="G62" s="56"/>
      <c r="H62" s="254" t="s">
        <v>913</v>
      </c>
      <c r="I62" s="255"/>
      <c r="J62" s="255"/>
      <c r="K62" s="255"/>
      <c r="L62" s="255"/>
      <c r="M62" s="255"/>
      <c r="N62" s="255"/>
      <c r="O62" s="255"/>
      <c r="P62" s="256"/>
      <c r="Q62" s="284">
        <f>SUMIFS(Input[Pvt G&amp;G E&amp;G],Input[Institution Name],$H$1)</f>
        <v>0</v>
      </c>
      <c r="R62" s="257"/>
      <c r="S62" s="257"/>
      <c r="T62" s="257">
        <f>SUMIFS(Input[Pvt G&amp;G Desg],Input[Institution Name],$H$1)</f>
        <v>0</v>
      </c>
      <c r="U62" s="257"/>
      <c r="V62" s="257"/>
      <c r="W62" s="257">
        <f>SUMIFS(Input[Pvt G&amp;G Aux],Input[Institution Name],$H$1)</f>
        <v>0</v>
      </c>
      <c r="X62" s="257"/>
      <c r="Y62" s="257"/>
      <c r="Z62" s="257">
        <f>SUMIFS(Input[Pvt G&amp;G R Exp],Input[Institution Name],$H$1)</f>
        <v>0</v>
      </c>
      <c r="AA62" s="257"/>
      <c r="AB62" s="257"/>
      <c r="AC62" s="257">
        <f>SUMIFS(Input[Pvt G&amp;G Loan],Input[Institution Name],$H$1)</f>
        <v>0</v>
      </c>
      <c r="AD62" s="257"/>
      <c r="AE62" s="257"/>
      <c r="AF62" s="257">
        <f>SUMIFS(Input[Pvt G&amp;G Annuity],Input[Institution Name],$H$1)</f>
        <v>0</v>
      </c>
      <c r="AG62" s="257"/>
      <c r="AH62" s="257"/>
      <c r="AI62" s="257">
        <f>SUMIFS(Input[Pvt G&amp;G Unexp],Input[Institution Name],$H$1)</f>
        <v>0</v>
      </c>
      <c r="AJ62" s="257"/>
      <c r="AK62" s="257"/>
      <c r="AL62" s="257">
        <f>SUMIFS(Input[Pvt G&amp;G R of Ind],Input[Institution Name],$H$1)</f>
        <v>0</v>
      </c>
      <c r="AM62" s="257"/>
      <c r="AN62" s="257"/>
      <c r="AO62" s="257">
        <f>SUMIFS(Input[Pvt G&amp;G Inv in P],Input[Institution Name],$H$1)</f>
        <v>0</v>
      </c>
      <c r="AP62" s="257"/>
      <c r="AQ62" s="259"/>
      <c r="AR62" s="260">
        <f t="shared" si="0"/>
        <v>0</v>
      </c>
      <c r="AS62" s="260"/>
      <c r="AT62" s="260"/>
      <c r="AU62" s="56"/>
      <c r="AV62" s="56"/>
    </row>
    <row r="63" spans="1:48" s="57" customFormat="1" ht="30" customHeight="1" x14ac:dyDescent="0.3">
      <c r="A63" s="56"/>
      <c r="B63" s="56"/>
      <c r="C63" s="56"/>
      <c r="D63" s="56"/>
      <c r="E63" s="56"/>
      <c r="F63" s="56"/>
      <c r="G63" s="56"/>
      <c r="H63" s="254" t="s">
        <v>914</v>
      </c>
      <c r="I63" s="255"/>
      <c r="J63" s="255"/>
      <c r="K63" s="255"/>
      <c r="L63" s="255"/>
      <c r="M63" s="255"/>
      <c r="N63" s="255"/>
      <c r="O63" s="255"/>
      <c r="P63" s="256"/>
      <c r="Q63" s="284">
        <f>SUMIFS(Input[S&amp;S E&amp;G],Input[Institution Name],$H$1)</f>
        <v>0</v>
      </c>
      <c r="R63" s="257"/>
      <c r="S63" s="257"/>
      <c r="T63" s="257">
        <f>SUMIFS(Input[S&amp;S Desg],Input[Institution Name],$H$1)</f>
        <v>0</v>
      </c>
      <c r="U63" s="257"/>
      <c r="V63" s="257"/>
      <c r="W63" s="257">
        <f>SUMIFS(Input[S&amp;S Aux],Input[Institution Name],$H$1)</f>
        <v>0</v>
      </c>
      <c r="X63" s="257"/>
      <c r="Y63" s="257"/>
      <c r="Z63" s="257">
        <f>SUMIFS(Input[S&amp;S R Exp],Input[Institution Name],$H$1)</f>
        <v>0</v>
      </c>
      <c r="AA63" s="257"/>
      <c r="AB63" s="257"/>
      <c r="AC63" s="257">
        <f>SUMIFS(Input[S&amp;S Loan],Input[Institution Name],$H$1)</f>
        <v>0</v>
      </c>
      <c r="AD63" s="257"/>
      <c r="AE63" s="257"/>
      <c r="AF63" s="257">
        <f>SUMIFS(Input[S&amp;S Annuity],Input[Institution Name],$H$1)</f>
        <v>0</v>
      </c>
      <c r="AG63" s="257"/>
      <c r="AH63" s="257"/>
      <c r="AI63" s="257">
        <f>SUMIFS(Input[S&amp;S Unexp],Input[Institution Name],$H$1)</f>
        <v>0</v>
      </c>
      <c r="AJ63" s="257"/>
      <c r="AK63" s="257"/>
      <c r="AL63" s="257">
        <f>SUMIFS(Input[S&amp;S R of Ind],Input[Institution Name],$H$1)</f>
        <v>0</v>
      </c>
      <c r="AM63" s="257"/>
      <c r="AN63" s="257"/>
      <c r="AO63" s="257">
        <f>SUMIFS(Input[S&amp;S Inv in P],Input[Institution Name],$H$1)</f>
        <v>0</v>
      </c>
      <c r="AP63" s="257"/>
      <c r="AQ63" s="259"/>
      <c r="AR63" s="260">
        <f t="shared" si="0"/>
        <v>0</v>
      </c>
      <c r="AS63" s="260"/>
      <c r="AT63" s="260"/>
      <c r="AU63" s="56"/>
      <c r="AV63" s="56"/>
    </row>
    <row r="64" spans="1:48" s="57" customFormat="1" ht="30" customHeight="1" x14ac:dyDescent="0.3">
      <c r="A64" s="56"/>
      <c r="B64" s="56"/>
      <c r="C64" s="56"/>
      <c r="D64" s="56"/>
      <c r="E64" s="56"/>
      <c r="F64" s="56"/>
      <c r="G64" s="56"/>
      <c r="H64" s="254" t="s">
        <v>915</v>
      </c>
      <c r="I64" s="255"/>
      <c r="J64" s="255"/>
      <c r="K64" s="255"/>
      <c r="L64" s="255"/>
      <c r="M64" s="255"/>
      <c r="N64" s="255"/>
      <c r="O64" s="255"/>
      <c r="P64" s="256"/>
      <c r="Q64" s="284">
        <f>SUMIFS(Input[Net Aux Ent E&amp;G],Input[Institution Name],$H$1)</f>
        <v>0</v>
      </c>
      <c r="R64" s="257"/>
      <c r="S64" s="257"/>
      <c r="T64" s="257">
        <f>SUMIFS(Input[Net Aux Ent Desg],Input[Institution Name],$H$1)</f>
        <v>0</v>
      </c>
      <c r="U64" s="257"/>
      <c r="V64" s="257"/>
      <c r="W64" s="257">
        <f>SUMIFS(Input[Net Aux Ent Aux],Input[Institution Name],$H$1)</f>
        <v>0</v>
      </c>
      <c r="X64" s="257"/>
      <c r="Y64" s="257"/>
      <c r="Z64" s="257">
        <f>SUMIFS(Input[Net Aux Ent R Exp],Input[Institution Name],$H$1)</f>
        <v>0</v>
      </c>
      <c r="AA64" s="257"/>
      <c r="AB64" s="257"/>
      <c r="AC64" s="257">
        <f>SUMIFS(Input[Net Aux Ent Loan],Input[Institution Name],$H$1)</f>
        <v>0</v>
      </c>
      <c r="AD64" s="257"/>
      <c r="AE64" s="257"/>
      <c r="AF64" s="257">
        <f>SUMIFS(Input[Net Aux Ent Annuity],Input[Institution Name],$H$1)</f>
        <v>0</v>
      </c>
      <c r="AG64" s="257"/>
      <c r="AH64" s="257"/>
      <c r="AI64" s="257">
        <f>SUMIFS(Input[Net Aux Ent Unexp],Input[Institution Name],$H$1)</f>
        <v>0</v>
      </c>
      <c r="AJ64" s="257"/>
      <c r="AK64" s="257"/>
      <c r="AL64" s="257">
        <f>SUMIFS(Input[Net Aux Ent R of Ind],Input[Institution Name],$H$1)</f>
        <v>0</v>
      </c>
      <c r="AM64" s="257"/>
      <c r="AN64" s="257"/>
      <c r="AO64" s="257">
        <f>SUMIFS(Input[Net Aux Ent Inv in P],Input[Institution Name],$H$1)</f>
        <v>0</v>
      </c>
      <c r="AP64" s="257"/>
      <c r="AQ64" s="259"/>
      <c r="AR64" s="260">
        <f t="shared" si="0"/>
        <v>0</v>
      </c>
      <c r="AS64" s="260"/>
      <c r="AT64" s="260"/>
      <c r="AU64" s="56"/>
      <c r="AV64" s="56"/>
    </row>
    <row r="65" spans="1:48" s="57" customFormat="1" ht="30" customHeight="1" x14ac:dyDescent="0.3">
      <c r="A65" s="56"/>
      <c r="B65" s="56"/>
      <c r="C65" s="56"/>
      <c r="D65" s="56"/>
      <c r="E65" s="56"/>
      <c r="F65" s="56"/>
      <c r="G65" s="56"/>
      <c r="H65" s="265" t="s">
        <v>916</v>
      </c>
      <c r="I65" s="266"/>
      <c r="J65" s="266"/>
      <c r="K65" s="266"/>
      <c r="L65" s="266"/>
      <c r="M65" s="266"/>
      <c r="N65" s="266"/>
      <c r="O65" s="266"/>
      <c r="P65" s="267"/>
      <c r="Q65" s="286">
        <f>SUMIFS(Input[Oth Inc E&amp;G],Input[Institution Name],$H$1)</f>
        <v>0</v>
      </c>
      <c r="R65" s="268"/>
      <c r="S65" s="268"/>
      <c r="T65" s="268">
        <f>SUMIFS(Input[Oth Inc Desg],Input[Institution Name],$H$1)</f>
        <v>0</v>
      </c>
      <c r="U65" s="268"/>
      <c r="V65" s="268"/>
      <c r="W65" s="268">
        <f>SUMIFS(Input[Oth Inc Aux],Input[Institution Name],$H$1)</f>
        <v>0</v>
      </c>
      <c r="X65" s="268"/>
      <c r="Y65" s="268"/>
      <c r="Z65" s="268">
        <f>SUMIFS(Input[Oth Inc R Exp],Input[Institution Name],$H$1)</f>
        <v>0</v>
      </c>
      <c r="AA65" s="268"/>
      <c r="AB65" s="268"/>
      <c r="AC65" s="268">
        <f>SUMIFS(Input[Oth Inc Loan],Input[Institution Name],$H$1)</f>
        <v>0</v>
      </c>
      <c r="AD65" s="268"/>
      <c r="AE65" s="268"/>
      <c r="AF65" s="268">
        <f>SUMIFS(Input[Oth Inc Annuity],Input[Institution Name],$H$1)</f>
        <v>0</v>
      </c>
      <c r="AG65" s="268"/>
      <c r="AH65" s="268"/>
      <c r="AI65" s="268">
        <f>SUMIFS(Input[Oth Inc Unexp],Input[Institution Name],$H$1)</f>
        <v>0</v>
      </c>
      <c r="AJ65" s="268"/>
      <c r="AK65" s="268"/>
      <c r="AL65" s="268">
        <f>SUMIFS(Input[Oth Inc R of Ind],Input[Institution Name],$H$1)</f>
        <v>0</v>
      </c>
      <c r="AM65" s="268"/>
      <c r="AN65" s="268"/>
      <c r="AO65" s="268">
        <f>SUMIFS(Input[Oth Inc Inv in P],Input[Institution Name],$H$1)</f>
        <v>0</v>
      </c>
      <c r="AP65" s="268"/>
      <c r="AQ65" s="270"/>
      <c r="AR65" s="260">
        <f t="shared" si="0"/>
        <v>0</v>
      </c>
      <c r="AS65" s="260"/>
      <c r="AT65" s="260"/>
      <c r="AU65" s="56"/>
      <c r="AV65" s="56"/>
    </row>
    <row r="66" spans="1:48" s="57" customFormat="1" ht="30" customHeight="1" x14ac:dyDescent="0.3">
      <c r="A66" s="56"/>
      <c r="B66" s="56"/>
      <c r="C66" s="56"/>
      <c r="D66" s="56"/>
      <c r="E66" s="56"/>
      <c r="F66" s="56"/>
      <c r="G66" s="56"/>
      <c r="H66" s="261" t="s">
        <v>917</v>
      </c>
      <c r="I66" s="261"/>
      <c r="J66" s="261"/>
      <c r="K66" s="261"/>
      <c r="L66" s="261"/>
      <c r="M66" s="261"/>
      <c r="N66" s="261"/>
      <c r="O66" s="261"/>
      <c r="P66" s="261"/>
      <c r="Q66" s="269">
        <f>SUM(Q60:S65)</f>
        <v>0</v>
      </c>
      <c r="R66" s="269"/>
      <c r="S66" s="269"/>
      <c r="T66" s="269">
        <f>SUM(T60:V65)</f>
        <v>0</v>
      </c>
      <c r="U66" s="269"/>
      <c r="V66" s="269"/>
      <c r="W66" s="269">
        <f>SUM(W60:Y65)</f>
        <v>0</v>
      </c>
      <c r="X66" s="269"/>
      <c r="Y66" s="269"/>
      <c r="Z66" s="269">
        <f>SUM(Z60:AB65)</f>
        <v>0</v>
      </c>
      <c r="AA66" s="269"/>
      <c r="AB66" s="269"/>
      <c r="AC66" s="269">
        <f>SUM(AC60:AE65)</f>
        <v>0</v>
      </c>
      <c r="AD66" s="269"/>
      <c r="AE66" s="269"/>
      <c r="AF66" s="269">
        <f>SUM(AF60:AH65)</f>
        <v>0</v>
      </c>
      <c r="AG66" s="269"/>
      <c r="AH66" s="269"/>
      <c r="AI66" s="269">
        <f>SUM(AI60:AK65)</f>
        <v>0</v>
      </c>
      <c r="AJ66" s="269"/>
      <c r="AK66" s="269"/>
      <c r="AL66" s="269">
        <f>SUM(AL60:AN65)</f>
        <v>0</v>
      </c>
      <c r="AM66" s="269"/>
      <c r="AN66" s="269"/>
      <c r="AO66" s="269">
        <f>SUM(AO60:AQ65)</f>
        <v>0</v>
      </c>
      <c r="AP66" s="269"/>
      <c r="AQ66" s="269"/>
      <c r="AR66" s="269">
        <f>SUM(AR60:AT65)</f>
        <v>0</v>
      </c>
      <c r="AS66" s="269"/>
      <c r="AT66" s="269"/>
      <c r="AU66" s="56"/>
      <c r="AV66" s="56"/>
    </row>
    <row r="67" spans="1:48" s="57" customFormat="1" ht="30" customHeight="1" x14ac:dyDescent="0.3">
      <c r="A67" s="56"/>
      <c r="B67" s="56"/>
      <c r="C67" s="56"/>
      <c r="D67" s="56"/>
      <c r="E67" s="56"/>
      <c r="F67" s="56"/>
      <c r="G67" s="56"/>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1"/>
      <c r="AF67" s="271"/>
      <c r="AG67" s="271"/>
      <c r="AH67" s="271"/>
      <c r="AI67" s="271"/>
      <c r="AJ67" s="271"/>
      <c r="AK67" s="271"/>
      <c r="AL67" s="271"/>
      <c r="AM67" s="271"/>
      <c r="AN67" s="271"/>
      <c r="AO67" s="271"/>
      <c r="AP67" s="271"/>
      <c r="AQ67" s="271"/>
      <c r="AR67" s="271"/>
      <c r="AS67" s="271"/>
      <c r="AT67" s="271"/>
      <c r="AU67" s="56"/>
      <c r="AV67" s="56"/>
    </row>
    <row r="68" spans="1:48" s="57" customFormat="1" ht="30" customHeight="1" x14ac:dyDescent="0.3">
      <c r="A68" s="56"/>
      <c r="B68" s="56"/>
      <c r="C68" s="56"/>
      <c r="D68" s="56"/>
      <c r="E68" s="56"/>
      <c r="F68" s="56"/>
      <c r="G68" s="56"/>
      <c r="H68" s="261" t="s">
        <v>918</v>
      </c>
      <c r="I68" s="261"/>
      <c r="J68" s="261"/>
      <c r="K68" s="261"/>
      <c r="L68" s="261"/>
      <c r="M68" s="261"/>
      <c r="N68" s="261"/>
      <c r="O68" s="261"/>
      <c r="P68" s="261"/>
      <c r="Q68" s="269">
        <f>SUM(Q15,Q31,Q46,Q51,Q54,Q57,Q66)</f>
        <v>0</v>
      </c>
      <c r="R68" s="269"/>
      <c r="S68" s="269"/>
      <c r="T68" s="269">
        <f>SUM(T15,T31,T46,T51,T54,T57,T66)</f>
        <v>0</v>
      </c>
      <c r="U68" s="269"/>
      <c r="V68" s="269"/>
      <c r="W68" s="269">
        <f>SUM(W15,W31,W46,W51,W54,W57,W66)</f>
        <v>0</v>
      </c>
      <c r="X68" s="269"/>
      <c r="Y68" s="269"/>
      <c r="Z68" s="269">
        <f>SUM(Z15,Z31,Z46,Z51,Z54,Z57,Z66)</f>
        <v>0</v>
      </c>
      <c r="AA68" s="269"/>
      <c r="AB68" s="269"/>
      <c r="AC68" s="269">
        <f>SUM(AC15,AC31,AC46,AC51,AC54,AC57,AC66)</f>
        <v>0</v>
      </c>
      <c r="AD68" s="269"/>
      <c r="AE68" s="269"/>
      <c r="AF68" s="269">
        <f>SUM(AF15,AF31,AF46,AF51,AF54,AF57,AF66)</f>
        <v>0</v>
      </c>
      <c r="AG68" s="269"/>
      <c r="AH68" s="269"/>
      <c r="AI68" s="269">
        <f>SUM(AI15,AI31,AI46,AI51,AI54,AI57,AI66)</f>
        <v>0</v>
      </c>
      <c r="AJ68" s="269"/>
      <c r="AK68" s="269"/>
      <c r="AL68" s="269">
        <f>SUM(AL15,AL31,AL46,AL51,AL54,AL57,AL66)</f>
        <v>0</v>
      </c>
      <c r="AM68" s="269"/>
      <c r="AN68" s="269"/>
      <c r="AO68" s="269">
        <f>SUM(AO15,AO31,AO46,AO51,AO54,AO57,AO66)</f>
        <v>0</v>
      </c>
      <c r="AP68" s="269"/>
      <c r="AQ68" s="269"/>
      <c r="AR68" s="269">
        <f>SUM(AR15,AR31,AR46,AR51,AR54,AR57,AR66)</f>
        <v>0</v>
      </c>
      <c r="AS68" s="269"/>
      <c r="AT68" s="269"/>
      <c r="AU68" s="56"/>
      <c r="AV68" s="56"/>
    </row>
    <row r="69" spans="1:48" s="57" customFormat="1" ht="30" customHeight="1" x14ac:dyDescent="0.3">
      <c r="A69" s="56"/>
      <c r="B69" s="56"/>
      <c r="C69" s="56"/>
      <c r="D69" s="56"/>
      <c r="E69" s="56"/>
      <c r="F69" s="56"/>
      <c r="G69" s="56"/>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71"/>
      <c r="AI69" s="271"/>
      <c r="AJ69" s="271"/>
      <c r="AK69" s="271"/>
      <c r="AL69" s="271"/>
      <c r="AM69" s="271"/>
      <c r="AN69" s="271"/>
      <c r="AO69" s="271"/>
      <c r="AP69" s="271"/>
      <c r="AQ69" s="271"/>
      <c r="AR69" s="271"/>
      <c r="AS69" s="271"/>
      <c r="AT69" s="271"/>
      <c r="AU69" s="56"/>
      <c r="AV69" s="56"/>
    </row>
    <row r="70" spans="1:48" s="57" customFormat="1" ht="30" customHeight="1" x14ac:dyDescent="0.3">
      <c r="A70" s="56"/>
      <c r="B70" s="56"/>
      <c r="C70" s="56"/>
      <c r="D70" s="56"/>
      <c r="E70" s="56"/>
      <c r="F70" s="56"/>
      <c r="G70" s="56"/>
      <c r="H70" s="250" t="s">
        <v>919</v>
      </c>
      <c r="I70" s="251"/>
      <c r="J70" s="251"/>
      <c r="K70" s="251"/>
      <c r="L70" s="251"/>
      <c r="M70" s="251"/>
      <c r="N70" s="251"/>
      <c r="O70" s="251"/>
      <c r="P70" s="251"/>
      <c r="Q70" s="231" t="s">
        <v>876</v>
      </c>
      <c r="R70" s="231"/>
      <c r="S70" s="231"/>
      <c r="T70" s="231" t="s">
        <v>877</v>
      </c>
      <c r="U70" s="231"/>
      <c r="V70" s="231"/>
      <c r="W70" s="231" t="s">
        <v>878</v>
      </c>
      <c r="X70" s="231"/>
      <c r="Y70" s="231"/>
      <c r="Z70" s="231" t="s">
        <v>879</v>
      </c>
      <c r="AA70" s="231"/>
      <c r="AB70" s="231"/>
      <c r="AC70" s="231" t="s">
        <v>880</v>
      </c>
      <c r="AD70" s="231"/>
      <c r="AE70" s="231"/>
      <c r="AF70" s="231" t="s">
        <v>881</v>
      </c>
      <c r="AG70" s="231"/>
      <c r="AH70" s="231"/>
      <c r="AI70" s="231" t="s">
        <v>882</v>
      </c>
      <c r="AJ70" s="231"/>
      <c r="AK70" s="231"/>
      <c r="AL70" s="231" t="s">
        <v>883</v>
      </c>
      <c r="AM70" s="231"/>
      <c r="AN70" s="231"/>
      <c r="AO70" s="231" t="s">
        <v>884</v>
      </c>
      <c r="AP70" s="231"/>
      <c r="AQ70" s="231"/>
      <c r="AR70" s="231" t="s">
        <v>67</v>
      </c>
      <c r="AS70" s="231"/>
      <c r="AT70" s="233"/>
      <c r="AU70" s="56"/>
      <c r="AV70" s="56"/>
    </row>
    <row r="71" spans="1:48" s="57" customFormat="1" ht="30" customHeight="1" x14ac:dyDescent="0.3">
      <c r="A71" s="56"/>
      <c r="B71" s="56"/>
      <c r="C71" s="56"/>
      <c r="D71" s="56"/>
      <c r="E71" s="56"/>
      <c r="F71" s="56"/>
      <c r="G71" s="56"/>
      <c r="H71" s="252"/>
      <c r="I71" s="288"/>
      <c r="J71" s="288"/>
      <c r="K71" s="288"/>
      <c r="L71" s="288"/>
      <c r="M71" s="288"/>
      <c r="N71" s="288"/>
      <c r="O71" s="288"/>
      <c r="P71" s="288"/>
      <c r="Q71" s="287"/>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34"/>
      <c r="AU71" s="56"/>
      <c r="AV71" s="56"/>
    </row>
    <row r="72" spans="1:48" s="57" customFormat="1" ht="30" customHeight="1" x14ac:dyDescent="0.3">
      <c r="A72" s="56"/>
      <c r="B72" s="56"/>
      <c r="C72" s="56"/>
      <c r="D72" s="56"/>
      <c r="E72" s="56"/>
      <c r="F72" s="56"/>
      <c r="G72" s="56"/>
      <c r="H72" s="252"/>
      <c r="I72" s="288"/>
      <c r="J72" s="288"/>
      <c r="K72" s="288"/>
      <c r="L72" s="288"/>
      <c r="M72" s="288"/>
      <c r="N72" s="288"/>
      <c r="O72" s="288"/>
      <c r="P72" s="288"/>
      <c r="Q72" s="287"/>
      <c r="R72" s="287"/>
      <c r="S72" s="287"/>
      <c r="T72" s="287"/>
      <c r="U72" s="287"/>
      <c r="V72" s="287"/>
      <c r="W72" s="287"/>
      <c r="X72" s="287"/>
      <c r="Y72" s="287"/>
      <c r="Z72" s="287"/>
      <c r="AA72" s="287"/>
      <c r="AB72" s="287"/>
      <c r="AC72" s="287"/>
      <c r="AD72" s="287"/>
      <c r="AE72" s="287"/>
      <c r="AF72" s="287"/>
      <c r="AG72" s="287"/>
      <c r="AH72" s="287"/>
      <c r="AI72" s="287"/>
      <c r="AJ72" s="287"/>
      <c r="AK72" s="287"/>
      <c r="AL72" s="287"/>
      <c r="AM72" s="287"/>
      <c r="AN72" s="287"/>
      <c r="AO72" s="287"/>
      <c r="AP72" s="287"/>
      <c r="AQ72" s="287"/>
      <c r="AR72" s="287"/>
      <c r="AS72" s="287"/>
      <c r="AT72" s="234"/>
      <c r="AU72" s="56"/>
      <c r="AV72" s="56"/>
    </row>
    <row r="73" spans="1:48" s="57" customFormat="1" ht="30" customHeight="1" x14ac:dyDescent="0.3">
      <c r="A73" s="56"/>
      <c r="B73" s="56"/>
      <c r="C73" s="56"/>
      <c r="D73" s="56"/>
      <c r="E73" s="56"/>
      <c r="F73" s="56"/>
      <c r="G73" s="56"/>
      <c r="H73" s="235" t="s">
        <v>920</v>
      </c>
      <c r="I73" s="236"/>
      <c r="J73" s="236"/>
      <c r="K73" s="236"/>
      <c r="L73" s="236"/>
      <c r="M73" s="236"/>
      <c r="N73" s="236"/>
      <c r="O73" s="236"/>
      <c r="P73" s="236"/>
      <c r="Q73" s="236"/>
      <c r="R73" s="236"/>
      <c r="S73" s="236"/>
      <c r="T73" s="236"/>
      <c r="U73" s="236"/>
      <c r="V73" s="236"/>
      <c r="W73" s="236"/>
      <c r="X73" s="236"/>
      <c r="Y73" s="236"/>
      <c r="Z73" s="236"/>
      <c r="AA73" s="236"/>
      <c r="AB73" s="236"/>
      <c r="AC73" s="236"/>
      <c r="AD73" s="236"/>
      <c r="AE73" s="236"/>
      <c r="AF73" s="236"/>
      <c r="AG73" s="236"/>
      <c r="AH73" s="236"/>
      <c r="AI73" s="236"/>
      <c r="AJ73" s="236"/>
      <c r="AK73" s="236"/>
      <c r="AL73" s="236"/>
      <c r="AM73" s="236"/>
      <c r="AN73" s="236"/>
      <c r="AO73" s="236"/>
      <c r="AP73" s="236"/>
      <c r="AQ73" s="236"/>
      <c r="AR73" s="236"/>
      <c r="AS73" s="236"/>
      <c r="AT73" s="237"/>
      <c r="AU73" s="56"/>
      <c r="AV73" s="56"/>
    </row>
    <row r="74" spans="1:48" s="57" customFormat="1" ht="30" customHeight="1" x14ac:dyDescent="0.3">
      <c r="A74" s="56"/>
      <c r="B74" s="56"/>
      <c r="C74" s="56"/>
      <c r="D74" s="56"/>
      <c r="E74" s="56"/>
      <c r="F74" s="56"/>
      <c r="G74" s="56"/>
      <c r="H74" s="246" t="s">
        <v>921</v>
      </c>
      <c r="I74" s="247"/>
      <c r="J74" s="247"/>
      <c r="K74" s="247"/>
      <c r="L74" s="247"/>
      <c r="M74" s="247"/>
      <c r="N74" s="247"/>
      <c r="O74" s="247"/>
      <c r="P74" s="290"/>
      <c r="Q74" s="249">
        <f>SUMIFS(Input[Instr E&amp;G],Input[Institution Name],$H$1)</f>
        <v>0</v>
      </c>
      <c r="R74" s="249"/>
      <c r="S74" s="249"/>
      <c r="T74" s="249">
        <f>SUMIFS(Input[Instr Desg],Input[Institution Name],$H$1)</f>
        <v>0</v>
      </c>
      <c r="U74" s="249"/>
      <c r="V74" s="249"/>
      <c r="W74" s="249">
        <f>SUMIFS(Input[Instr Aux],Input[Institution Name],$H$1)</f>
        <v>0</v>
      </c>
      <c r="X74" s="249"/>
      <c r="Y74" s="249"/>
      <c r="Z74" s="249">
        <f>SUMIFS(Input[Instr R Exp],Input[Institution Name],$H$1)</f>
        <v>0</v>
      </c>
      <c r="AA74" s="249"/>
      <c r="AB74" s="249"/>
      <c r="AC74" s="249">
        <f>SUMIFS(Input[Instr Loan],Input[Institution Name],$H$1)</f>
        <v>0</v>
      </c>
      <c r="AD74" s="249"/>
      <c r="AE74" s="249"/>
      <c r="AF74" s="249">
        <f>SUMIFS(Input[Instr Annuity],Input[Institution Name],$H$1)</f>
        <v>0</v>
      </c>
      <c r="AG74" s="249"/>
      <c r="AH74" s="249"/>
      <c r="AI74" s="249">
        <f>SUMIFS(Input[Instr Unexp],Input[Institution Name],$H$1)</f>
        <v>0</v>
      </c>
      <c r="AJ74" s="249"/>
      <c r="AK74" s="249"/>
      <c r="AL74" s="249">
        <f>SUMIFS(Input[Instr R of Ind],Input[Institution Name],$H$1)</f>
        <v>0</v>
      </c>
      <c r="AM74" s="249"/>
      <c r="AN74" s="249"/>
      <c r="AO74" s="249">
        <f>SUMIFS(Input[Instr Inv in P],Input[Institution Name],$H$1)</f>
        <v>0</v>
      </c>
      <c r="AP74" s="249"/>
      <c r="AQ74" s="276"/>
      <c r="AR74" s="277">
        <f t="shared" ref="AR74:AR85" si="1">SUM(Q74:AO74)</f>
        <v>0</v>
      </c>
      <c r="AS74" s="277"/>
      <c r="AT74" s="277"/>
      <c r="AU74" s="56"/>
      <c r="AV74" s="56"/>
    </row>
    <row r="75" spans="1:48" s="57" customFormat="1" ht="30" customHeight="1" x14ac:dyDescent="0.3">
      <c r="A75" s="56"/>
      <c r="B75" s="56"/>
      <c r="C75" s="56"/>
      <c r="D75" s="56"/>
      <c r="E75" s="56"/>
      <c r="F75" s="56"/>
      <c r="G75" s="56"/>
      <c r="H75" s="254" t="s">
        <v>922</v>
      </c>
      <c r="I75" s="255"/>
      <c r="J75" s="255"/>
      <c r="K75" s="255"/>
      <c r="L75" s="255"/>
      <c r="M75" s="255"/>
      <c r="N75" s="255"/>
      <c r="O75" s="255"/>
      <c r="P75" s="289"/>
      <c r="Q75" s="257">
        <f>SUMIFS(Input[Res E&amp;G],Input[Institution Name],$H$1)</f>
        <v>0</v>
      </c>
      <c r="R75" s="257"/>
      <c r="S75" s="257"/>
      <c r="T75" s="257">
        <f>SUMIFS(Input[Res Desg],Input[Institution Name],$H$1)</f>
        <v>0</v>
      </c>
      <c r="U75" s="257"/>
      <c r="V75" s="257"/>
      <c r="W75" s="257">
        <f>SUMIFS(Input[Res Aux],Input[Institution Name],$H$1)</f>
        <v>0</v>
      </c>
      <c r="X75" s="257"/>
      <c r="Y75" s="257"/>
      <c r="Z75" s="257">
        <f>SUMIFS(Input[Res R Exp],Input[Institution Name],$H$1)</f>
        <v>0</v>
      </c>
      <c r="AA75" s="257"/>
      <c r="AB75" s="257"/>
      <c r="AC75" s="257">
        <f>SUMIFS(Input[Res Loan],Input[Institution Name],$H$1)</f>
        <v>0</v>
      </c>
      <c r="AD75" s="257"/>
      <c r="AE75" s="257"/>
      <c r="AF75" s="257">
        <f>SUMIFS(Input[Res Annuity],Input[Institution Name],$H$1)</f>
        <v>0</v>
      </c>
      <c r="AG75" s="257"/>
      <c r="AH75" s="257"/>
      <c r="AI75" s="257">
        <f>SUMIFS(Input[Res Unexp],Input[Institution Name],$H$1)</f>
        <v>0</v>
      </c>
      <c r="AJ75" s="257"/>
      <c r="AK75" s="257"/>
      <c r="AL75" s="257">
        <f>SUMIFS(Input[Res R of Ind],Input[Institution Name],$H$1)</f>
        <v>0</v>
      </c>
      <c r="AM75" s="257"/>
      <c r="AN75" s="257"/>
      <c r="AO75" s="257">
        <f>SUMIFS(Input[Res Inv in P],Input[Institution Name],$H$1)</f>
        <v>0</v>
      </c>
      <c r="AP75" s="257"/>
      <c r="AQ75" s="259"/>
      <c r="AR75" s="260">
        <f t="shared" si="1"/>
        <v>0</v>
      </c>
      <c r="AS75" s="260"/>
      <c r="AT75" s="260"/>
      <c r="AU75" s="56"/>
      <c r="AV75" s="56"/>
    </row>
    <row r="76" spans="1:48" s="57" customFormat="1" ht="30" customHeight="1" x14ac:dyDescent="0.3">
      <c r="A76" s="56"/>
      <c r="B76" s="56"/>
      <c r="C76" s="56"/>
      <c r="D76" s="56"/>
      <c r="E76" s="56"/>
      <c r="F76" s="56"/>
      <c r="G76" s="56"/>
      <c r="H76" s="254" t="s">
        <v>923</v>
      </c>
      <c r="I76" s="255"/>
      <c r="J76" s="255"/>
      <c r="K76" s="255"/>
      <c r="L76" s="255"/>
      <c r="M76" s="255"/>
      <c r="N76" s="255"/>
      <c r="O76" s="255"/>
      <c r="P76" s="289"/>
      <c r="Q76" s="257">
        <f>SUMIFS(Input[Pub Srv E&amp;G],Input[Institution Name],$H$1)</f>
        <v>0</v>
      </c>
      <c r="R76" s="257"/>
      <c r="S76" s="257"/>
      <c r="T76" s="257">
        <f>SUMIFS(Input[Pub Srv Desg],Input[Institution Name],$H$1)</f>
        <v>0</v>
      </c>
      <c r="U76" s="257"/>
      <c r="V76" s="257"/>
      <c r="W76" s="257">
        <f>SUMIFS(Input[Pub Srv Aux],Input[Institution Name],$H$1)</f>
        <v>0</v>
      </c>
      <c r="X76" s="257"/>
      <c r="Y76" s="257"/>
      <c r="Z76" s="257">
        <f>SUMIFS(Input[Pub Srv R Exp],Input[Institution Name],$H$1)</f>
        <v>0</v>
      </c>
      <c r="AA76" s="257"/>
      <c r="AB76" s="257"/>
      <c r="AC76" s="257">
        <f>SUMIFS(Input[Pub Srv Loan],Input[Institution Name],$H$1)</f>
        <v>0</v>
      </c>
      <c r="AD76" s="257"/>
      <c r="AE76" s="257"/>
      <c r="AF76" s="257">
        <f>SUMIFS(Input[Pub Srv Annuity],Input[Institution Name],$H$1)</f>
        <v>0</v>
      </c>
      <c r="AG76" s="257"/>
      <c r="AH76" s="257"/>
      <c r="AI76" s="257">
        <f>SUMIFS(Input[Pub Srv Unexp],Input[Institution Name],$H$1)</f>
        <v>0</v>
      </c>
      <c r="AJ76" s="257"/>
      <c r="AK76" s="257"/>
      <c r="AL76" s="257">
        <f>SUMIFS(Input[Pub Srv R of Ind],Input[Institution Name],$H$1)</f>
        <v>0</v>
      </c>
      <c r="AM76" s="257"/>
      <c r="AN76" s="257"/>
      <c r="AO76" s="257">
        <f>SUMIFS(Input[Pub Srv Inv in P],Input[Institution Name],$H$1)</f>
        <v>0</v>
      </c>
      <c r="AP76" s="257"/>
      <c r="AQ76" s="259"/>
      <c r="AR76" s="260">
        <f t="shared" si="1"/>
        <v>0</v>
      </c>
      <c r="AS76" s="260"/>
      <c r="AT76" s="260"/>
      <c r="AU76" s="56"/>
      <c r="AV76" s="56"/>
    </row>
    <row r="77" spans="1:48" s="57" customFormat="1" ht="30" customHeight="1" x14ac:dyDescent="0.3">
      <c r="A77" s="56"/>
      <c r="B77" s="56"/>
      <c r="C77" s="56"/>
      <c r="D77" s="56"/>
      <c r="E77" s="56"/>
      <c r="F77" s="56"/>
      <c r="G77" s="56"/>
      <c r="H77" s="254" t="s">
        <v>909</v>
      </c>
      <c r="I77" s="255"/>
      <c r="J77" s="255"/>
      <c r="K77" s="255"/>
      <c r="L77" s="255"/>
      <c r="M77" s="255"/>
      <c r="N77" s="255"/>
      <c r="O77" s="255"/>
      <c r="P77" s="289"/>
      <c r="Q77" s="257">
        <f>SUMIFS(Input[H&amp;C (OU) E&amp;G],Input[Institution Name],$H$1)</f>
        <v>0</v>
      </c>
      <c r="R77" s="257"/>
      <c r="S77" s="257"/>
      <c r="T77" s="257">
        <f>SUMIFS(Input[H&amp;C (OU) Desg],Input[Institution Name],$H$1)</f>
        <v>0</v>
      </c>
      <c r="U77" s="257"/>
      <c r="V77" s="257"/>
      <c r="W77" s="257">
        <f>SUMIFS(Input[H&amp;C (OU) Aux],Input[Institution Name],$H$1)</f>
        <v>0</v>
      </c>
      <c r="X77" s="257"/>
      <c r="Y77" s="257"/>
      <c r="Z77" s="257">
        <f>SUMIFS(Input[H&amp;C (OU) R Exp],Input[Institution Name],$H$1)</f>
        <v>0</v>
      </c>
      <c r="AA77" s="257"/>
      <c r="AB77" s="257"/>
      <c r="AC77" s="257">
        <f>SUMIFS(Input[H&amp;C (OU) Loan],Input[Institution Name],$H$1)</f>
        <v>0</v>
      </c>
      <c r="AD77" s="257"/>
      <c r="AE77" s="257"/>
      <c r="AF77" s="257">
        <f>SUMIFS(Input[H&amp;C (OU) Annuity],Input[Institution Name],$H$1)</f>
        <v>0</v>
      </c>
      <c r="AG77" s="257"/>
      <c r="AH77" s="257"/>
      <c r="AI77" s="257">
        <f>SUMIFS(Input[H&amp;C (OU) Unexp],Input[Institution Name],$H$1)</f>
        <v>0</v>
      </c>
      <c r="AJ77" s="257"/>
      <c r="AK77" s="257"/>
      <c r="AL77" s="257">
        <f>SUMIFS(Input[H&amp;C (OU) R of Ind],Input[Institution Name],$H$1)</f>
        <v>0</v>
      </c>
      <c r="AM77" s="257"/>
      <c r="AN77" s="257"/>
      <c r="AO77" s="257">
        <f>SUMIFS(Input[H&amp;C (OU) Inv in P],Input[Institution Name],$H$1)</f>
        <v>0</v>
      </c>
      <c r="AP77" s="257"/>
      <c r="AQ77" s="259"/>
      <c r="AR77" s="260">
        <f t="shared" si="1"/>
        <v>0</v>
      </c>
      <c r="AS77" s="260"/>
      <c r="AT77" s="260"/>
      <c r="AU77" s="56"/>
      <c r="AV77" s="56"/>
    </row>
    <row r="78" spans="1:48" s="57" customFormat="1" ht="30" customHeight="1" x14ac:dyDescent="0.3">
      <c r="A78" s="56"/>
      <c r="B78" s="56"/>
      <c r="C78" s="56"/>
      <c r="D78" s="56"/>
      <c r="E78" s="56"/>
      <c r="F78" s="56"/>
      <c r="G78" s="56"/>
      <c r="H78" s="254" t="s">
        <v>924</v>
      </c>
      <c r="I78" s="255"/>
      <c r="J78" s="255"/>
      <c r="K78" s="255"/>
      <c r="L78" s="255"/>
      <c r="M78" s="255"/>
      <c r="N78" s="255"/>
      <c r="O78" s="255"/>
      <c r="P78" s="289"/>
      <c r="Q78" s="257">
        <f>SUMIFS(Input[Acad Sup E&amp;G],Input[Institution Name],$H$1)</f>
        <v>0</v>
      </c>
      <c r="R78" s="257"/>
      <c r="S78" s="257"/>
      <c r="T78" s="257">
        <f>SUMIFS(Input[Acad Sup Desg],Input[Institution Name],$H$1)</f>
        <v>0</v>
      </c>
      <c r="U78" s="257"/>
      <c r="V78" s="257"/>
      <c r="W78" s="257">
        <f>SUMIFS(Input[Acad Sup Aux],Input[Institution Name],$H$1)</f>
        <v>0</v>
      </c>
      <c r="X78" s="257"/>
      <c r="Y78" s="257"/>
      <c r="Z78" s="257">
        <f>SUMIFS(Input[Acad Sup R Exp],Input[Institution Name],$H$1)</f>
        <v>0</v>
      </c>
      <c r="AA78" s="257"/>
      <c r="AB78" s="257"/>
      <c r="AC78" s="257">
        <f>SUMIFS(Input[Acad Sup Loan],Input[Institution Name],$H$1)</f>
        <v>0</v>
      </c>
      <c r="AD78" s="257"/>
      <c r="AE78" s="257"/>
      <c r="AF78" s="257">
        <f>SUMIFS(Input[Acad Sup Annuity],Input[Institution Name],$H$1)</f>
        <v>0</v>
      </c>
      <c r="AG78" s="257"/>
      <c r="AH78" s="257"/>
      <c r="AI78" s="257">
        <f>SUMIFS(Input[Acad Sup Unexp],Input[Institution Name],$H$1)</f>
        <v>0</v>
      </c>
      <c r="AJ78" s="257"/>
      <c r="AK78" s="257"/>
      <c r="AL78" s="257">
        <f>SUMIFS(Input[Acad Sup R of Ind],Input[Institution Name],$H$1)</f>
        <v>0</v>
      </c>
      <c r="AM78" s="257"/>
      <c r="AN78" s="257"/>
      <c r="AO78" s="257">
        <f>SUMIFS(Input[Acad Sup Inv in P],Input[Institution Name],$H$1)</f>
        <v>0</v>
      </c>
      <c r="AP78" s="257"/>
      <c r="AQ78" s="259"/>
      <c r="AR78" s="260">
        <f t="shared" si="1"/>
        <v>0</v>
      </c>
      <c r="AS78" s="260"/>
      <c r="AT78" s="260"/>
      <c r="AU78" s="56"/>
      <c r="AV78" s="56"/>
    </row>
    <row r="79" spans="1:48" s="57" customFormat="1" ht="30" customHeight="1" x14ac:dyDescent="0.3">
      <c r="A79" s="56"/>
      <c r="B79" s="56"/>
      <c r="C79" s="56"/>
      <c r="D79" s="56"/>
      <c r="E79" s="56"/>
      <c r="F79" s="56"/>
      <c r="G79" s="56"/>
      <c r="H79" s="254" t="s">
        <v>925</v>
      </c>
      <c r="I79" s="255"/>
      <c r="J79" s="255"/>
      <c r="K79" s="255"/>
      <c r="L79" s="255"/>
      <c r="M79" s="255"/>
      <c r="N79" s="255"/>
      <c r="O79" s="255"/>
      <c r="P79" s="289"/>
      <c r="Q79" s="257">
        <f>SUMIFS(Input[Stu Svc E&amp;G],Input[Institution Name],$H$1)</f>
        <v>0</v>
      </c>
      <c r="R79" s="257"/>
      <c r="S79" s="257"/>
      <c r="T79" s="257">
        <f>SUMIFS(Input[Stu Svc Desg],Input[Institution Name],$H$1)</f>
        <v>0</v>
      </c>
      <c r="U79" s="257"/>
      <c r="V79" s="257"/>
      <c r="W79" s="257">
        <f>SUMIFS(Input[Stu Svc Aux],Input[Institution Name],$H$1)</f>
        <v>0</v>
      </c>
      <c r="X79" s="257"/>
      <c r="Y79" s="257"/>
      <c r="Z79" s="257">
        <f>SUMIFS(Input[Stu Svc R Exp],Input[Institution Name],$H$1)</f>
        <v>0</v>
      </c>
      <c r="AA79" s="257"/>
      <c r="AB79" s="257"/>
      <c r="AC79" s="257">
        <f>SUMIFS(Input[Stu Svc Loan],Input[Institution Name],$H$1)</f>
        <v>0</v>
      </c>
      <c r="AD79" s="257"/>
      <c r="AE79" s="257"/>
      <c r="AF79" s="257">
        <f>SUMIFS(Input[Stu Svc Annuity],Input[Institution Name],$H$1)</f>
        <v>0</v>
      </c>
      <c r="AG79" s="257"/>
      <c r="AH79" s="257"/>
      <c r="AI79" s="257">
        <f>SUMIFS(Input[Stu Svc Unexp],Input[Institution Name],$H$1)</f>
        <v>0</v>
      </c>
      <c r="AJ79" s="257"/>
      <c r="AK79" s="257"/>
      <c r="AL79" s="257">
        <f>SUMIFS(Input[Stu Svc R of Ind],Input[Institution Name],$H$1)</f>
        <v>0</v>
      </c>
      <c r="AM79" s="257"/>
      <c r="AN79" s="257"/>
      <c r="AO79" s="257">
        <f>SUMIFS(Input[Stu Svc Inv in P],Input[Institution Name],$H$1)</f>
        <v>0</v>
      </c>
      <c r="AP79" s="257"/>
      <c r="AQ79" s="259"/>
      <c r="AR79" s="260">
        <f t="shared" si="1"/>
        <v>0</v>
      </c>
      <c r="AS79" s="260"/>
      <c r="AT79" s="260"/>
      <c r="AU79" s="56"/>
      <c r="AV79" s="56"/>
    </row>
    <row r="80" spans="1:48" s="57" customFormat="1" ht="30" customHeight="1" x14ac:dyDescent="0.3">
      <c r="A80" s="56"/>
      <c r="B80" s="56"/>
      <c r="C80" s="56"/>
      <c r="D80" s="56"/>
      <c r="E80" s="56"/>
      <c r="F80" s="56"/>
      <c r="G80" s="56"/>
      <c r="H80" s="254" t="s">
        <v>926</v>
      </c>
      <c r="I80" s="255"/>
      <c r="J80" s="255"/>
      <c r="K80" s="255"/>
      <c r="L80" s="255"/>
      <c r="M80" s="255"/>
      <c r="N80" s="255"/>
      <c r="O80" s="255"/>
      <c r="P80" s="289"/>
      <c r="Q80" s="257">
        <f>SUMIFS(Input[Inst. Spt E&amp;G],Input[Institution Name],$H$1)</f>
        <v>0</v>
      </c>
      <c r="R80" s="257"/>
      <c r="S80" s="257"/>
      <c r="T80" s="257">
        <f>SUMIFS(Input[Inst. Spt Desg],Input[Institution Name],$H$1)</f>
        <v>0</v>
      </c>
      <c r="U80" s="257"/>
      <c r="V80" s="257"/>
      <c r="W80" s="257">
        <f>SUMIFS(Input[Inst. Spt Aux],Input[Institution Name],$H$1)</f>
        <v>0</v>
      </c>
      <c r="X80" s="257"/>
      <c r="Y80" s="257"/>
      <c r="Z80" s="257">
        <f>SUMIFS(Input[Inst. Spt R Exp],Input[Institution Name],$H$1)</f>
        <v>0</v>
      </c>
      <c r="AA80" s="257"/>
      <c r="AB80" s="257"/>
      <c r="AC80" s="257">
        <f>SUMIFS(Input[Inst. Spt Loan],Input[Institution Name],$H$1)</f>
        <v>0</v>
      </c>
      <c r="AD80" s="257"/>
      <c r="AE80" s="257"/>
      <c r="AF80" s="257">
        <f>SUMIFS(Input[Inst. Spt Annuity],Input[Institution Name],$H$1)</f>
        <v>0</v>
      </c>
      <c r="AG80" s="257"/>
      <c r="AH80" s="257"/>
      <c r="AI80" s="257">
        <f>SUMIFS(Input[Inst. Spt Unexp],Input[Institution Name],$H$1)</f>
        <v>0</v>
      </c>
      <c r="AJ80" s="257"/>
      <c r="AK80" s="257"/>
      <c r="AL80" s="257">
        <f>SUMIFS(Input[Inst. Spt R of Ind],Input[Institution Name],$H$1)</f>
        <v>0</v>
      </c>
      <c r="AM80" s="257"/>
      <c r="AN80" s="257"/>
      <c r="AO80" s="257">
        <f>SUMIFS(Input[Inst. Spt Inv in P],Input[Institution Name],$H$1)</f>
        <v>0</v>
      </c>
      <c r="AP80" s="257"/>
      <c r="AQ80" s="259"/>
      <c r="AR80" s="260">
        <f t="shared" si="1"/>
        <v>0</v>
      </c>
      <c r="AS80" s="260"/>
      <c r="AT80" s="260"/>
      <c r="AU80" s="56"/>
      <c r="AV80" s="56"/>
    </row>
    <row r="81" spans="1:48" s="57" customFormat="1" ht="30" customHeight="1" x14ac:dyDescent="0.3">
      <c r="A81" s="56"/>
      <c r="B81" s="56"/>
      <c r="C81" s="56"/>
      <c r="D81" s="56"/>
      <c r="E81" s="56"/>
      <c r="F81" s="56"/>
      <c r="G81" s="56"/>
      <c r="H81" s="254" t="s">
        <v>927</v>
      </c>
      <c r="I81" s="255"/>
      <c r="J81" s="255"/>
      <c r="K81" s="255"/>
      <c r="L81" s="255"/>
      <c r="M81" s="255"/>
      <c r="N81" s="255"/>
      <c r="O81" s="255"/>
      <c r="P81" s="289"/>
      <c r="Q81" s="257">
        <f>SUMIFS(Input[M&amp;O Plnt E&amp;G],Input[Institution Name],$H$1)</f>
        <v>0</v>
      </c>
      <c r="R81" s="257"/>
      <c r="S81" s="257"/>
      <c r="T81" s="257">
        <f>SUMIFS(Input[M&amp;O Plnt Desg],Input[Institution Name],$H$1)</f>
        <v>0</v>
      </c>
      <c r="U81" s="257"/>
      <c r="V81" s="257"/>
      <c r="W81" s="257">
        <f>SUMIFS(Input[M&amp;O Plnt Aux],Input[Institution Name],$H$1)</f>
        <v>0</v>
      </c>
      <c r="X81" s="257"/>
      <c r="Y81" s="257"/>
      <c r="Z81" s="257">
        <f>SUMIFS(Input[M&amp;O Plnt R Exp],Input[Institution Name],$H$1)</f>
        <v>0</v>
      </c>
      <c r="AA81" s="257"/>
      <c r="AB81" s="257"/>
      <c r="AC81" s="257">
        <f>SUMIFS(Input[M&amp;O Plnt Loan],Input[Institution Name],$H$1)</f>
        <v>0</v>
      </c>
      <c r="AD81" s="257"/>
      <c r="AE81" s="257"/>
      <c r="AF81" s="257">
        <f>SUMIFS(Input[M&amp;O Plnt Annuity],Input[Institution Name],$H$1)</f>
        <v>0</v>
      </c>
      <c r="AG81" s="257"/>
      <c r="AH81" s="257"/>
      <c r="AI81" s="257">
        <f>SUMIFS(Input[M&amp;O Plnt Unexp],Input[Institution Name],$H$1)</f>
        <v>0</v>
      </c>
      <c r="AJ81" s="257"/>
      <c r="AK81" s="257"/>
      <c r="AL81" s="257">
        <f>SUMIFS(Input[M&amp;O Plnt R of Ind],Input[Institution Name],$H$1)</f>
        <v>0</v>
      </c>
      <c r="AM81" s="257"/>
      <c r="AN81" s="257"/>
      <c r="AO81" s="257">
        <f>SUMIFS(Input[M&amp;O Plnt Inv in P],Input[Institution Name],$H$1)</f>
        <v>0</v>
      </c>
      <c r="AP81" s="257"/>
      <c r="AQ81" s="259"/>
      <c r="AR81" s="260">
        <f t="shared" si="1"/>
        <v>0</v>
      </c>
      <c r="AS81" s="260"/>
      <c r="AT81" s="260"/>
      <c r="AU81" s="56"/>
      <c r="AV81" s="56"/>
    </row>
    <row r="82" spans="1:48" s="57" customFormat="1" ht="30" customHeight="1" x14ac:dyDescent="0.3">
      <c r="A82" s="56"/>
      <c r="B82" s="56"/>
      <c r="C82" s="56"/>
      <c r="D82" s="56"/>
      <c r="E82" s="56"/>
      <c r="F82" s="56"/>
      <c r="G82" s="56"/>
      <c r="H82" s="254" t="s">
        <v>928</v>
      </c>
      <c r="I82" s="255"/>
      <c r="J82" s="255"/>
      <c r="K82" s="255"/>
      <c r="L82" s="255"/>
      <c r="M82" s="255"/>
      <c r="N82" s="255"/>
      <c r="O82" s="255"/>
      <c r="P82" s="289"/>
      <c r="Q82" s="257">
        <f>SUMIFS(Input[Schl &amp; Fell E&amp;G],Input[Institution Name],$H$1)</f>
        <v>0</v>
      </c>
      <c r="R82" s="257"/>
      <c r="S82" s="257"/>
      <c r="T82" s="257">
        <f>SUMIFS(Input[Schl &amp; Fell Desg],Input[Institution Name],$H$1)</f>
        <v>0</v>
      </c>
      <c r="U82" s="257"/>
      <c r="V82" s="257"/>
      <c r="W82" s="257">
        <f>SUMIFS(Input[Schl &amp; Fell Aux],Input[Institution Name],$H$1)</f>
        <v>0</v>
      </c>
      <c r="X82" s="257"/>
      <c r="Y82" s="257"/>
      <c r="Z82" s="257">
        <f>SUMIFS(Input[Schl &amp; Fell R Exp],Input[Institution Name],$H$1)</f>
        <v>0</v>
      </c>
      <c r="AA82" s="257"/>
      <c r="AB82" s="257"/>
      <c r="AC82" s="257">
        <f>SUMIFS(Input[Schl &amp; Fell Loan],Input[Institution Name],$H$1)</f>
        <v>0</v>
      </c>
      <c r="AD82" s="257"/>
      <c r="AE82" s="257"/>
      <c r="AF82" s="257">
        <f>SUMIFS(Input[Schl &amp; Fell Annuity],Input[Institution Name],$H$1)</f>
        <v>0</v>
      </c>
      <c r="AG82" s="257"/>
      <c r="AH82" s="257"/>
      <c r="AI82" s="257">
        <f>SUMIFS(Input[Schl &amp; Fell Unexp],Input[Institution Name],$H$1)</f>
        <v>0</v>
      </c>
      <c r="AJ82" s="257"/>
      <c r="AK82" s="257"/>
      <c r="AL82" s="257">
        <f>SUMIFS(Input[Schl &amp; Fell R of Ind],Input[Institution Name],$H$1)</f>
        <v>0</v>
      </c>
      <c r="AM82" s="257"/>
      <c r="AN82" s="257"/>
      <c r="AO82" s="257">
        <f>SUMIFS(Input[Schl &amp; Fell Inv in P],Input[Institution Name],$H$1)</f>
        <v>0</v>
      </c>
      <c r="AP82" s="257"/>
      <c r="AQ82" s="259"/>
      <c r="AR82" s="260">
        <f t="shared" si="1"/>
        <v>0</v>
      </c>
      <c r="AS82" s="260"/>
      <c r="AT82" s="260"/>
      <c r="AU82" s="56"/>
      <c r="AV82" s="56"/>
    </row>
    <row r="83" spans="1:48" s="57" customFormat="1" ht="30" customHeight="1" x14ac:dyDescent="0.3">
      <c r="A83" s="56"/>
      <c r="B83" s="56"/>
      <c r="C83" s="56"/>
      <c r="D83" s="56"/>
      <c r="E83" s="56"/>
      <c r="F83" s="56"/>
      <c r="G83" s="56"/>
      <c r="H83" s="254" t="s">
        <v>929</v>
      </c>
      <c r="I83" s="255"/>
      <c r="J83" s="255"/>
      <c r="K83" s="255"/>
      <c r="L83" s="255"/>
      <c r="M83" s="255"/>
      <c r="N83" s="255"/>
      <c r="O83" s="255"/>
      <c r="P83" s="289"/>
      <c r="Q83" s="257">
        <f>SUMIFS(Input[Aux Ent E&amp;G],Input[Institution Name],$H$1)</f>
        <v>0</v>
      </c>
      <c r="R83" s="257"/>
      <c r="S83" s="257"/>
      <c r="T83" s="257">
        <f>SUMIFS(Input[Aux Ent Desg],Input[Institution Name],$H$1)</f>
        <v>0</v>
      </c>
      <c r="U83" s="257"/>
      <c r="V83" s="257"/>
      <c r="W83" s="257">
        <f>SUMIFS(Input[Aux Ent Aux],Input[Institution Name],$H$1)</f>
        <v>0</v>
      </c>
      <c r="X83" s="257"/>
      <c r="Y83" s="257"/>
      <c r="Z83" s="257">
        <f>SUMIFS(Input[Aux Ent R Exp],Input[Institution Name],$H$1)</f>
        <v>0</v>
      </c>
      <c r="AA83" s="257"/>
      <c r="AB83" s="257"/>
      <c r="AC83" s="257">
        <f>SUMIFS(Input[Aux Ent Loan],Input[Institution Name],$H$1)</f>
        <v>0</v>
      </c>
      <c r="AD83" s="257"/>
      <c r="AE83" s="257"/>
      <c r="AF83" s="257">
        <f>SUMIFS(Input[Aux Ent Annuity],Input[Institution Name],$H$1)</f>
        <v>0</v>
      </c>
      <c r="AG83" s="257"/>
      <c r="AH83" s="257"/>
      <c r="AI83" s="257">
        <f>SUMIFS(Input[Aux Ent Unexp],Input[Institution Name],$H$1)</f>
        <v>0</v>
      </c>
      <c r="AJ83" s="257"/>
      <c r="AK83" s="257"/>
      <c r="AL83" s="257">
        <f>SUMIFS(Input[Aux Ent R of Ind],Input[Institution Name],$H$1)</f>
        <v>0</v>
      </c>
      <c r="AM83" s="257"/>
      <c r="AN83" s="257"/>
      <c r="AO83" s="257">
        <f>SUMIFS(Input[Aux Ent Inv in P],Input[Institution Name],$H$1)</f>
        <v>0</v>
      </c>
      <c r="AP83" s="257"/>
      <c r="AQ83" s="259"/>
      <c r="AR83" s="260">
        <f t="shared" si="1"/>
        <v>0</v>
      </c>
      <c r="AS83" s="260"/>
      <c r="AT83" s="260"/>
      <c r="AU83" s="56"/>
      <c r="AV83" s="56"/>
    </row>
    <row r="84" spans="1:48" s="57" customFormat="1" ht="30" customHeight="1" x14ac:dyDescent="0.3">
      <c r="A84" s="56"/>
      <c r="B84" s="56"/>
      <c r="C84" s="56"/>
      <c r="D84" s="56"/>
      <c r="E84" s="56"/>
      <c r="F84" s="56"/>
      <c r="G84" s="56"/>
      <c r="H84" s="254" t="s">
        <v>930</v>
      </c>
      <c r="I84" s="255"/>
      <c r="J84" s="255"/>
      <c r="K84" s="255"/>
      <c r="L84" s="255"/>
      <c r="M84" s="255"/>
      <c r="N84" s="255"/>
      <c r="O84" s="255"/>
      <c r="P84" s="289"/>
      <c r="Q84" s="257">
        <f>SUMIFS(Input[Cap Out fund E&amp;G],Input[Institution Name],$H$1)</f>
        <v>0</v>
      </c>
      <c r="R84" s="257"/>
      <c r="S84" s="257"/>
      <c r="T84" s="257">
        <f>SUMIFS(Input[Cap Out fund Desg],Input[Institution Name],$H$1)</f>
        <v>0</v>
      </c>
      <c r="U84" s="257"/>
      <c r="V84" s="257"/>
      <c r="W84" s="257">
        <f>SUMIFS(Input[Cap Out fund Aux],Input[Institution Name],$H$1)</f>
        <v>0</v>
      </c>
      <c r="X84" s="257"/>
      <c r="Y84" s="257"/>
      <c r="Z84" s="257">
        <f>SUMIFS(Input[Cap Out fund R Exp],Input[Institution Name],$H$1)</f>
        <v>0</v>
      </c>
      <c r="AA84" s="257"/>
      <c r="AB84" s="257"/>
      <c r="AC84" s="257">
        <f>SUMIFS(Input[Cap Out fund Loan],Input[Institution Name],$H$1)</f>
        <v>0</v>
      </c>
      <c r="AD84" s="257"/>
      <c r="AE84" s="257"/>
      <c r="AF84" s="257">
        <f>SUMIFS(Input[Cap Out fund Annuity],Input[Institution Name],$H$1)</f>
        <v>0</v>
      </c>
      <c r="AG84" s="257"/>
      <c r="AH84" s="257"/>
      <c r="AI84" s="257">
        <f>SUMIFS(Input[Cap Out fund Unexp],Input[Institution Name],$H$1)</f>
        <v>0</v>
      </c>
      <c r="AJ84" s="257"/>
      <c r="AK84" s="257"/>
      <c r="AL84" s="257">
        <f>SUMIFS(Input[Cap Out fund R of Ind],Input[Institution Name],$H$1)</f>
        <v>0</v>
      </c>
      <c r="AM84" s="257"/>
      <c r="AN84" s="257"/>
      <c r="AO84" s="257">
        <f>SUMIFS(Input[Cap Out fund Inv in P],Input[Institution Name],$H$1)</f>
        <v>0</v>
      </c>
      <c r="AP84" s="257"/>
      <c r="AQ84" s="259"/>
      <c r="AR84" s="260">
        <f t="shared" si="1"/>
        <v>0</v>
      </c>
      <c r="AS84" s="260"/>
      <c r="AT84" s="260"/>
      <c r="AU84" s="56"/>
      <c r="AV84" s="56"/>
    </row>
    <row r="85" spans="1:48" s="57" customFormat="1" ht="30" customHeight="1" x14ac:dyDescent="0.3">
      <c r="A85" s="56"/>
      <c r="B85" s="56"/>
      <c r="C85" s="56"/>
      <c r="D85" s="56"/>
      <c r="E85" s="56"/>
      <c r="F85" s="56"/>
      <c r="G85" s="56"/>
      <c r="H85" s="265" t="s">
        <v>931</v>
      </c>
      <c r="I85" s="266"/>
      <c r="J85" s="266"/>
      <c r="K85" s="266"/>
      <c r="L85" s="266"/>
      <c r="M85" s="266"/>
      <c r="N85" s="266"/>
      <c r="O85" s="266"/>
      <c r="P85" s="291"/>
      <c r="Q85" s="268">
        <f>SUMIFS(Input[Oth Exp E&amp;G],Input[Institution Name],$H$1)</f>
        <v>0</v>
      </c>
      <c r="R85" s="268"/>
      <c r="S85" s="268"/>
      <c r="T85" s="268">
        <f>SUMIFS(Input[Oth Exp Desg],Input[Institution Name],$H$1)</f>
        <v>0</v>
      </c>
      <c r="U85" s="268"/>
      <c r="V85" s="268"/>
      <c r="W85" s="268">
        <f>SUMIFS(Input[Oth Exp Aux],Input[Institution Name],$H$1)</f>
        <v>0</v>
      </c>
      <c r="X85" s="268"/>
      <c r="Y85" s="268"/>
      <c r="Z85" s="268">
        <f>SUMIFS(Input[Oth Exp R Exp],Input[Institution Name],$H$1)</f>
        <v>0</v>
      </c>
      <c r="AA85" s="268"/>
      <c r="AB85" s="268"/>
      <c r="AC85" s="268">
        <f>SUMIFS(Input[Oth Exp Loan],Input[Institution Name],$H$1)</f>
        <v>0</v>
      </c>
      <c r="AD85" s="268"/>
      <c r="AE85" s="268"/>
      <c r="AF85" s="268">
        <f>SUMIFS(Input[Oth Exp Annuity],Input[Institution Name],$H$1)</f>
        <v>0</v>
      </c>
      <c r="AG85" s="268"/>
      <c r="AH85" s="268"/>
      <c r="AI85" s="268">
        <f>SUMIFS(Input[Oth Exp Unexp],Input[Institution Name],$H$1)</f>
        <v>0</v>
      </c>
      <c r="AJ85" s="268"/>
      <c r="AK85" s="268"/>
      <c r="AL85" s="268">
        <f>SUMIFS(Input[Oth Exp R of Ind],Input[Institution Name],$H$1)</f>
        <v>0</v>
      </c>
      <c r="AM85" s="268"/>
      <c r="AN85" s="268"/>
      <c r="AO85" s="268">
        <f>SUMIFS(Input[Oth Exp Inv in P],Input[Institution Name],$H$1)</f>
        <v>0</v>
      </c>
      <c r="AP85" s="268"/>
      <c r="AQ85" s="270"/>
      <c r="AR85" s="260">
        <f t="shared" si="1"/>
        <v>0</v>
      </c>
      <c r="AS85" s="260"/>
      <c r="AT85" s="260"/>
      <c r="AU85" s="56"/>
      <c r="AV85" s="56"/>
    </row>
    <row r="86" spans="1:48" s="57" customFormat="1" ht="30" customHeight="1" x14ac:dyDescent="0.3">
      <c r="A86" s="56"/>
      <c r="B86" s="56"/>
      <c r="C86" s="56"/>
      <c r="D86" s="56"/>
      <c r="E86" s="56"/>
      <c r="F86" s="56"/>
      <c r="G86" s="56"/>
      <c r="H86" s="261" t="s">
        <v>917</v>
      </c>
      <c r="I86" s="261"/>
      <c r="J86" s="261"/>
      <c r="K86" s="261"/>
      <c r="L86" s="261"/>
      <c r="M86" s="261"/>
      <c r="N86" s="261"/>
      <c r="O86" s="261"/>
      <c r="P86" s="261"/>
      <c r="Q86" s="269">
        <f>SUM(Q74:S85)</f>
        <v>0</v>
      </c>
      <c r="R86" s="269"/>
      <c r="S86" s="269"/>
      <c r="T86" s="269">
        <f>SUM(T74:V85)</f>
        <v>0</v>
      </c>
      <c r="U86" s="269"/>
      <c r="V86" s="269"/>
      <c r="W86" s="269">
        <f>SUM(W74:Y85)</f>
        <v>0</v>
      </c>
      <c r="X86" s="269"/>
      <c r="Y86" s="269"/>
      <c r="Z86" s="269">
        <f>SUM(Z74:AB85)</f>
        <v>0</v>
      </c>
      <c r="AA86" s="269"/>
      <c r="AB86" s="269"/>
      <c r="AC86" s="269">
        <f>SUM(AC74:AE85)</f>
        <v>0</v>
      </c>
      <c r="AD86" s="269"/>
      <c r="AE86" s="269"/>
      <c r="AF86" s="269">
        <f>SUM(AF74:AH85)</f>
        <v>0</v>
      </c>
      <c r="AG86" s="269"/>
      <c r="AH86" s="269"/>
      <c r="AI86" s="269">
        <f>SUM(AI74:AK85)</f>
        <v>0</v>
      </c>
      <c r="AJ86" s="269"/>
      <c r="AK86" s="269"/>
      <c r="AL86" s="269">
        <f>SUM(AL74:AN85)</f>
        <v>0</v>
      </c>
      <c r="AM86" s="269"/>
      <c r="AN86" s="269"/>
      <c r="AO86" s="269">
        <f>SUM(AO74:AQ85)</f>
        <v>0</v>
      </c>
      <c r="AP86" s="269"/>
      <c r="AQ86" s="269"/>
      <c r="AR86" s="269">
        <f>SUM(AR74:AT85)</f>
        <v>0</v>
      </c>
      <c r="AS86" s="269"/>
      <c r="AT86" s="269"/>
      <c r="AU86" s="56"/>
      <c r="AV86" s="56"/>
    </row>
    <row r="87" spans="1:48" s="57" customFormat="1" ht="30" customHeight="1" x14ac:dyDescent="0.3">
      <c r="A87" s="56"/>
      <c r="B87" s="56"/>
      <c r="C87" s="56"/>
      <c r="D87" s="56"/>
      <c r="E87" s="56"/>
      <c r="F87" s="56"/>
      <c r="G87" s="56"/>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56"/>
      <c r="AV87" s="56"/>
    </row>
    <row r="88" spans="1:48" s="57" customFormat="1" ht="30" customHeight="1" x14ac:dyDescent="0.3">
      <c r="A88" s="56"/>
      <c r="B88" s="56"/>
      <c r="C88" s="56"/>
      <c r="D88" s="56"/>
      <c r="E88" s="56"/>
      <c r="F88" s="56"/>
      <c r="G88" s="56"/>
      <c r="H88" s="235" t="s">
        <v>932</v>
      </c>
      <c r="I88" s="236"/>
      <c r="J88" s="236"/>
      <c r="K88" s="236"/>
      <c r="L88" s="236"/>
      <c r="M88" s="236"/>
      <c r="N88" s="236"/>
      <c r="O88" s="236"/>
      <c r="P88" s="236"/>
      <c r="Q88" s="236"/>
      <c r="R88" s="236"/>
      <c r="S88" s="236"/>
      <c r="T88" s="236"/>
      <c r="U88" s="236"/>
      <c r="V88" s="236"/>
      <c r="W88" s="236"/>
      <c r="X88" s="236"/>
      <c r="Y88" s="236"/>
      <c r="Z88" s="236"/>
      <c r="AA88" s="236"/>
      <c r="AB88" s="236"/>
      <c r="AC88" s="236"/>
      <c r="AD88" s="236"/>
      <c r="AE88" s="236"/>
      <c r="AF88" s="236"/>
      <c r="AG88" s="236"/>
      <c r="AH88" s="236"/>
      <c r="AI88" s="236"/>
      <c r="AJ88" s="236"/>
      <c r="AK88" s="236"/>
      <c r="AL88" s="236"/>
      <c r="AM88" s="236"/>
      <c r="AN88" s="236"/>
      <c r="AO88" s="236"/>
      <c r="AP88" s="236"/>
      <c r="AQ88" s="236"/>
      <c r="AR88" s="236"/>
      <c r="AS88" s="236"/>
      <c r="AT88" s="237"/>
      <c r="AU88" s="56"/>
      <c r="AV88" s="56"/>
    </row>
    <row r="89" spans="1:48" s="57" customFormat="1" ht="30" customHeight="1" x14ac:dyDescent="0.3">
      <c r="A89" s="56"/>
      <c r="B89" s="56"/>
      <c r="C89" s="56"/>
      <c r="D89" s="56"/>
      <c r="E89" s="56"/>
      <c r="F89" s="56"/>
      <c r="G89" s="56"/>
      <c r="H89" s="246" t="s">
        <v>933</v>
      </c>
      <c r="I89" s="247"/>
      <c r="J89" s="247"/>
      <c r="K89" s="247"/>
      <c r="L89" s="247"/>
      <c r="M89" s="247"/>
      <c r="N89" s="247"/>
      <c r="O89" s="247"/>
      <c r="P89" s="290"/>
      <c r="Q89" s="249">
        <f>SUMIFS(Input[Cap Out n-Fund E&amp;G],Input[Institution Name],$H$1)</f>
        <v>0</v>
      </c>
      <c r="R89" s="249"/>
      <c r="S89" s="249"/>
      <c r="T89" s="249">
        <f>SUMIFS(Input[Cap Out n-Fund Desg],Input[Institution Name],$H$1)</f>
        <v>0</v>
      </c>
      <c r="U89" s="249"/>
      <c r="V89" s="249"/>
      <c r="W89" s="249">
        <f>SUMIFS(Input[Cap Out n-Fund Aux],Input[Institution Name],$H$1)</f>
        <v>0</v>
      </c>
      <c r="X89" s="249"/>
      <c r="Y89" s="249"/>
      <c r="Z89" s="249">
        <f>SUMIFS(Input[Cap Out n-Fund R Exp],Input[Institution Name],$H$1)</f>
        <v>0</v>
      </c>
      <c r="AA89" s="249"/>
      <c r="AB89" s="249"/>
      <c r="AC89" s="249">
        <f>SUMIFS(Input[Cap Out n-Fund Loan],Input[Institution Name],$H$1)</f>
        <v>0</v>
      </c>
      <c r="AD89" s="249"/>
      <c r="AE89" s="249"/>
      <c r="AF89" s="249">
        <f>SUMIFS(Input[Cap Out n-Fund Annuity],Input[Institution Name],$H$1)</f>
        <v>0</v>
      </c>
      <c r="AG89" s="249"/>
      <c r="AH89" s="249"/>
      <c r="AI89" s="249">
        <f>SUMIFS(Input[Cap Out n-Fund Unexp],Input[Institution Name],$H$1)</f>
        <v>0</v>
      </c>
      <c r="AJ89" s="249"/>
      <c r="AK89" s="249"/>
      <c r="AL89" s="249">
        <f>SUMIFS(Input[Cap Out n-Fund R of Ind],Input[Institution Name],$H$1)</f>
        <v>0</v>
      </c>
      <c r="AM89" s="249"/>
      <c r="AN89" s="249"/>
      <c r="AO89" s="249">
        <f>SUMIFS(Input[Cap Out n-Fund Inv in P],Input[Institution Name],$H$1)</f>
        <v>0</v>
      </c>
      <c r="AP89" s="249"/>
      <c r="AQ89" s="276"/>
      <c r="AR89" s="277">
        <f>SUM(Q89:AO89)</f>
        <v>0</v>
      </c>
      <c r="AS89" s="277"/>
      <c r="AT89" s="277"/>
      <c r="AU89" s="59"/>
      <c r="AV89" s="59"/>
    </row>
    <row r="90" spans="1:48" s="57" customFormat="1" ht="30" customHeight="1" x14ac:dyDescent="0.3">
      <c r="A90" s="56"/>
      <c r="B90" s="56"/>
      <c r="C90" s="56"/>
      <c r="D90" s="56"/>
      <c r="E90" s="56"/>
      <c r="F90" s="56"/>
      <c r="G90" s="56"/>
      <c r="H90" s="254" t="s">
        <v>934</v>
      </c>
      <c r="I90" s="255"/>
      <c r="J90" s="255"/>
      <c r="K90" s="255"/>
      <c r="L90" s="255"/>
      <c r="M90" s="255"/>
      <c r="N90" s="255"/>
      <c r="O90" s="255"/>
      <c r="P90" s="289"/>
      <c r="Q90" s="257">
        <f>SUMIFS(Input[M&amp;Nm Xfrs E&amp;G],Input[Institution Name],$H$1)</f>
        <v>0</v>
      </c>
      <c r="R90" s="257"/>
      <c r="S90" s="257"/>
      <c r="T90" s="257">
        <f>SUMIFS(Input[M&amp;Nm Xfrs Desg],Input[Institution Name],$H$1)</f>
        <v>0</v>
      </c>
      <c r="U90" s="257"/>
      <c r="V90" s="257"/>
      <c r="W90" s="257">
        <f>SUMIFS(Input[M&amp;Nm Xfrs Aux],Input[Institution Name],$H$1)</f>
        <v>0</v>
      </c>
      <c r="X90" s="257"/>
      <c r="Y90" s="257"/>
      <c r="Z90" s="257">
        <f>SUMIFS(Input[M&amp;Nm Xfrs R Exp],Input[Institution Name],$H$1)</f>
        <v>0</v>
      </c>
      <c r="AA90" s="257"/>
      <c r="AB90" s="257"/>
      <c r="AC90" s="257">
        <f>SUMIFS(Input[M&amp;Nm Xfrs Loan],Input[Institution Name],$H$1)</f>
        <v>0</v>
      </c>
      <c r="AD90" s="257"/>
      <c r="AE90" s="257"/>
      <c r="AF90" s="257">
        <f>SUMIFS(Input[M&amp;Nm Xfrs Annuity],Input[Institution Name],$H$1)</f>
        <v>0</v>
      </c>
      <c r="AG90" s="257"/>
      <c r="AH90" s="257"/>
      <c r="AI90" s="257">
        <f>SUMIFS(Input[M&amp;Nm Xfrs Unexp],Input[Institution Name],$H$1)</f>
        <v>0</v>
      </c>
      <c r="AJ90" s="257"/>
      <c r="AK90" s="257"/>
      <c r="AL90" s="257">
        <f>SUMIFS(Input[M&amp;Nm Xfrs R of Ind],Input[Institution Name],$H$1)</f>
        <v>0</v>
      </c>
      <c r="AM90" s="257"/>
      <c r="AN90" s="257"/>
      <c r="AO90" s="257">
        <f>SUMIFS(Input[M&amp;Nm Xfrs Inv in P],Input[Institution Name],$H$1)</f>
        <v>0</v>
      </c>
      <c r="AP90" s="257"/>
      <c r="AQ90" s="259"/>
      <c r="AR90" s="260">
        <f>SUM(Q90:AO90)</f>
        <v>0</v>
      </c>
      <c r="AS90" s="260"/>
      <c r="AT90" s="260"/>
      <c r="AU90" s="59"/>
      <c r="AV90" s="59"/>
    </row>
    <row r="91" spans="1:48" s="57" customFormat="1" ht="30" customHeight="1" x14ac:dyDescent="0.3">
      <c r="A91" s="56"/>
      <c r="B91" s="56"/>
      <c r="C91" s="56"/>
      <c r="D91" s="56"/>
      <c r="E91" s="56"/>
      <c r="F91" s="56"/>
      <c r="G91" s="56"/>
      <c r="H91" s="254" t="s">
        <v>935</v>
      </c>
      <c r="I91" s="255"/>
      <c r="J91" s="255"/>
      <c r="K91" s="255"/>
      <c r="L91" s="255"/>
      <c r="M91" s="255"/>
      <c r="N91" s="255"/>
      <c r="O91" s="255"/>
      <c r="P91" s="289"/>
      <c r="Q91" s="257">
        <f>SUMIFS(Input[Bond Xfrs In E&amp;G],Input[Institution Name],$H$1)</f>
        <v>0</v>
      </c>
      <c r="R91" s="257"/>
      <c r="S91" s="257"/>
      <c r="T91" s="257">
        <f>SUMIFS(Input[Bond Xfrs In Desg],Input[Institution Name],$H$1)</f>
        <v>0</v>
      </c>
      <c r="U91" s="257"/>
      <c r="V91" s="257"/>
      <c r="W91" s="257">
        <f>SUMIFS(Input[Bond Xfrs In Aux],Input[Institution Name],$H$1)</f>
        <v>0</v>
      </c>
      <c r="X91" s="257"/>
      <c r="Y91" s="257"/>
      <c r="Z91" s="257">
        <f>SUMIFS(Input[Bond Xfrs In R Exp],Input[Institution Name],$H$1)</f>
        <v>0</v>
      </c>
      <c r="AA91" s="257"/>
      <c r="AB91" s="257"/>
      <c r="AC91" s="257">
        <f>SUMIFS(Input[Bond Xfrs In Loan],Input[Institution Name],$H$1)</f>
        <v>0</v>
      </c>
      <c r="AD91" s="257"/>
      <c r="AE91" s="257"/>
      <c r="AF91" s="257">
        <f>SUMIFS(Input[Bond Xfrs In Annuity],Input[Institution Name],$H$1)</f>
        <v>0</v>
      </c>
      <c r="AG91" s="257"/>
      <c r="AH91" s="257"/>
      <c r="AI91" s="257">
        <f>SUMIFS(Input[Bond Xfrs In Unexp],Input[Institution Name],$H$1)</f>
        <v>0</v>
      </c>
      <c r="AJ91" s="257"/>
      <c r="AK91" s="257"/>
      <c r="AL91" s="257">
        <f>SUMIFS(Input[Bond Xfrs In R of Ind],Input[Institution Name],$H$1)</f>
        <v>0</v>
      </c>
      <c r="AM91" s="257"/>
      <c r="AN91" s="257"/>
      <c r="AO91" s="257">
        <f>SUMIFS(Input[Bond Xfrs In Inv in P],Input[Institution Name],$H$1)</f>
        <v>0</v>
      </c>
      <c r="AP91" s="257"/>
      <c r="AQ91" s="259"/>
      <c r="AR91" s="260">
        <f>SUM(Q91:AO91)</f>
        <v>0</v>
      </c>
      <c r="AS91" s="260"/>
      <c r="AT91" s="260"/>
      <c r="AU91" s="59"/>
      <c r="AV91" s="59"/>
    </row>
    <row r="92" spans="1:48" s="57" customFormat="1" ht="30" customHeight="1" x14ac:dyDescent="0.3">
      <c r="A92" s="56"/>
      <c r="B92" s="56"/>
      <c r="C92" s="56"/>
      <c r="D92" s="56"/>
      <c r="E92" s="56"/>
      <c r="F92" s="56"/>
      <c r="G92" s="56"/>
      <c r="H92" s="265" t="s">
        <v>936</v>
      </c>
      <c r="I92" s="266"/>
      <c r="J92" s="266"/>
      <c r="K92" s="266"/>
      <c r="L92" s="266"/>
      <c r="M92" s="266"/>
      <c r="N92" s="266"/>
      <c r="O92" s="266"/>
      <c r="P92" s="291"/>
      <c r="Q92" s="268">
        <f>SUMIFS(Input[Debt Srv Pay E&amp;G],Input[Institution Name],$H$1)</f>
        <v>0</v>
      </c>
      <c r="R92" s="268"/>
      <c r="S92" s="268"/>
      <c r="T92" s="268">
        <f>SUMIFS(Input[Debt Srv Pay Desg],Input[Institution Name],$H$1)</f>
        <v>0</v>
      </c>
      <c r="U92" s="268"/>
      <c r="V92" s="268"/>
      <c r="W92" s="268">
        <f>SUMIFS(Input[Debt Srv Pay Aux],Input[Institution Name],$H$1)</f>
        <v>0</v>
      </c>
      <c r="X92" s="268"/>
      <c r="Y92" s="268"/>
      <c r="Z92" s="268">
        <f>SUMIFS(Input[Debt Srv Pay R Exp],Input[Institution Name],$H$1)</f>
        <v>0</v>
      </c>
      <c r="AA92" s="268"/>
      <c r="AB92" s="268"/>
      <c r="AC92" s="268">
        <f>SUMIFS(Input[Debt Srv Pay Loan],Input[Institution Name],$H$1)</f>
        <v>0</v>
      </c>
      <c r="AD92" s="268"/>
      <c r="AE92" s="268"/>
      <c r="AF92" s="268">
        <f>SUMIFS(Input[Debt Srv Pay Annuity],Input[Institution Name],$H$1)</f>
        <v>0</v>
      </c>
      <c r="AG92" s="268"/>
      <c r="AH92" s="268"/>
      <c r="AI92" s="268">
        <f>SUMIFS(Input[Debt Srv Pay Unexp],Input[Institution Name],$H$1)</f>
        <v>0</v>
      </c>
      <c r="AJ92" s="268"/>
      <c r="AK92" s="268"/>
      <c r="AL92" s="268">
        <f>SUMIFS(Input[Debt Srv Pay R of Ind],Input[Institution Name],$H$1)</f>
        <v>0</v>
      </c>
      <c r="AM92" s="268"/>
      <c r="AN92" s="268"/>
      <c r="AO92" s="268">
        <f>SUMIFS(Input[Debt Srv Pay Inv in P],Input[Institution Name],$H$1)</f>
        <v>0</v>
      </c>
      <c r="AP92" s="268"/>
      <c r="AQ92" s="270"/>
      <c r="AR92" s="260">
        <f>SUM(Q92:AO92)</f>
        <v>0</v>
      </c>
      <c r="AS92" s="260"/>
      <c r="AT92" s="260"/>
      <c r="AU92" s="59"/>
      <c r="AV92" s="59"/>
    </row>
    <row r="93" spans="1:48" s="57" customFormat="1" ht="30" customHeight="1" x14ac:dyDescent="0.3">
      <c r="A93" s="56"/>
      <c r="B93" s="56"/>
      <c r="C93" s="56"/>
      <c r="D93" s="56"/>
      <c r="E93" s="56"/>
      <c r="F93" s="56"/>
      <c r="G93" s="56"/>
      <c r="H93" s="261" t="s">
        <v>917</v>
      </c>
      <c r="I93" s="261"/>
      <c r="J93" s="261"/>
      <c r="K93" s="261"/>
      <c r="L93" s="261"/>
      <c r="M93" s="261"/>
      <c r="N93" s="261"/>
      <c r="O93" s="261"/>
      <c r="P93" s="261"/>
      <c r="Q93" s="269">
        <f>SUM(Q89:S92)</f>
        <v>0</v>
      </c>
      <c r="R93" s="269"/>
      <c r="S93" s="269"/>
      <c r="T93" s="269">
        <f>SUM(T89:V92)</f>
        <v>0</v>
      </c>
      <c r="U93" s="269"/>
      <c r="V93" s="269"/>
      <c r="W93" s="269">
        <f>SUM(W89:Y92)</f>
        <v>0</v>
      </c>
      <c r="X93" s="269"/>
      <c r="Y93" s="269"/>
      <c r="Z93" s="269">
        <f>SUM(Z89:AB92)</f>
        <v>0</v>
      </c>
      <c r="AA93" s="269"/>
      <c r="AB93" s="269"/>
      <c r="AC93" s="269">
        <f>SUM(AC89:AE92)</f>
        <v>0</v>
      </c>
      <c r="AD93" s="269"/>
      <c r="AE93" s="269"/>
      <c r="AF93" s="269">
        <f>SUM(AF89:AH92)</f>
        <v>0</v>
      </c>
      <c r="AG93" s="269"/>
      <c r="AH93" s="269"/>
      <c r="AI93" s="269">
        <f>SUM(AI89:AK92)</f>
        <v>0</v>
      </c>
      <c r="AJ93" s="269"/>
      <c r="AK93" s="269"/>
      <c r="AL93" s="269">
        <f>SUM(AL89:AN92)</f>
        <v>0</v>
      </c>
      <c r="AM93" s="269"/>
      <c r="AN93" s="269"/>
      <c r="AO93" s="269">
        <f>SUM(AO89:AQ92)</f>
        <v>0</v>
      </c>
      <c r="AP93" s="269"/>
      <c r="AQ93" s="269"/>
      <c r="AR93" s="269">
        <f>SUM(AR89:AT92)</f>
        <v>0</v>
      </c>
      <c r="AS93" s="269"/>
      <c r="AT93" s="269"/>
      <c r="AU93" s="59"/>
      <c r="AV93" s="59"/>
    </row>
    <row r="94" spans="1:48" s="57" customFormat="1" ht="30" customHeight="1" x14ac:dyDescent="0.3">
      <c r="A94" s="56"/>
      <c r="B94" s="56"/>
      <c r="C94" s="56"/>
      <c r="D94" s="56"/>
      <c r="E94" s="56"/>
      <c r="F94" s="56"/>
      <c r="G94" s="56"/>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59"/>
      <c r="AV94" s="59"/>
    </row>
    <row r="95" spans="1:48" s="57" customFormat="1" ht="30" customHeight="1" x14ac:dyDescent="0.3">
      <c r="A95" s="56"/>
      <c r="B95" s="56"/>
      <c r="C95" s="56"/>
      <c r="D95" s="56"/>
      <c r="E95" s="56"/>
      <c r="F95" s="56"/>
      <c r="G95" s="56"/>
      <c r="H95" s="235" t="s">
        <v>937</v>
      </c>
      <c r="I95" s="236"/>
      <c r="J95" s="236"/>
      <c r="K95" s="236"/>
      <c r="L95" s="236"/>
      <c r="M95" s="236"/>
      <c r="N95" s="236"/>
      <c r="O95" s="236"/>
      <c r="P95" s="236"/>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7"/>
      <c r="AU95" s="59"/>
      <c r="AV95" s="59"/>
    </row>
    <row r="96" spans="1:48" s="57" customFormat="1" ht="30" customHeight="1" x14ac:dyDescent="0.3">
      <c r="A96" s="56"/>
      <c r="B96" s="56"/>
      <c r="C96" s="56"/>
      <c r="D96" s="56"/>
      <c r="E96" s="56"/>
      <c r="F96" s="56"/>
      <c r="G96" s="56"/>
      <c r="H96" s="246" t="s">
        <v>938</v>
      </c>
      <c r="I96" s="247"/>
      <c r="J96" s="247"/>
      <c r="K96" s="247"/>
      <c r="L96" s="247"/>
      <c r="M96" s="247"/>
      <c r="N96" s="247"/>
      <c r="O96" s="247"/>
      <c r="P96" s="290"/>
      <c r="Q96" s="249">
        <f>SUMIFS(Input[Unreal G/L E&amp;G],Input[Institution Name],$H$1)</f>
        <v>0</v>
      </c>
      <c r="R96" s="249"/>
      <c r="S96" s="249"/>
      <c r="T96" s="249">
        <f>SUMIFS(Input[Unreal G/L Desg],Input[Institution Name],$H$1)</f>
        <v>0</v>
      </c>
      <c r="U96" s="249"/>
      <c r="V96" s="249"/>
      <c r="W96" s="249">
        <f>SUMIFS(Input[Unreal G/L Aux],Input[Institution Name],$H$1)</f>
        <v>0</v>
      </c>
      <c r="X96" s="249"/>
      <c r="Y96" s="249"/>
      <c r="Z96" s="249">
        <f>SUMIFS(Input[Unreal G/L R Exp],Input[Institution Name],$H$1)</f>
        <v>0</v>
      </c>
      <c r="AA96" s="249"/>
      <c r="AB96" s="249"/>
      <c r="AC96" s="249">
        <f>SUMIFS(Input[Unreal G/L Loan],Input[Institution Name],$H$1)</f>
        <v>0</v>
      </c>
      <c r="AD96" s="249"/>
      <c r="AE96" s="249"/>
      <c r="AF96" s="249">
        <f>SUMIFS(Input[Unreal G/L Annuity],Input[Institution Name],$H$1)</f>
        <v>0</v>
      </c>
      <c r="AG96" s="249"/>
      <c r="AH96" s="249"/>
      <c r="AI96" s="249">
        <f>SUMIFS(Input[Unreal G/L Unexp],Input[Institution Name],$H$1)</f>
        <v>0</v>
      </c>
      <c r="AJ96" s="249"/>
      <c r="AK96" s="249"/>
      <c r="AL96" s="249">
        <f>SUMIFS(Input[Unreal G/L R of Ind],Input[Institution Name],$H$1)</f>
        <v>0</v>
      </c>
      <c r="AM96" s="249"/>
      <c r="AN96" s="249"/>
      <c r="AO96" s="249">
        <f>SUMIFS(Input[Unreal G/L Inv in P],Input[Institution Name],$H$1)</f>
        <v>0</v>
      </c>
      <c r="AP96" s="249"/>
      <c r="AQ96" s="276"/>
      <c r="AR96" s="277">
        <f>SUM(Q96:AO96)</f>
        <v>0</v>
      </c>
      <c r="AS96" s="277"/>
      <c r="AT96" s="277"/>
      <c r="AU96" s="59"/>
      <c r="AV96" s="59"/>
    </row>
    <row r="97" spans="1:48" s="57" customFormat="1" ht="30" customHeight="1" x14ac:dyDescent="0.3">
      <c r="A97" s="56"/>
      <c r="B97" s="56"/>
      <c r="C97" s="56"/>
      <c r="D97" s="56"/>
      <c r="E97" s="56"/>
      <c r="F97" s="56"/>
      <c r="G97" s="56"/>
      <c r="H97" s="265" t="s">
        <v>939</v>
      </c>
      <c r="I97" s="266"/>
      <c r="J97" s="266"/>
      <c r="K97" s="266"/>
      <c r="L97" s="266"/>
      <c r="M97" s="266"/>
      <c r="N97" s="266"/>
      <c r="O97" s="266"/>
      <c r="P97" s="291"/>
      <c r="Q97" s="268">
        <f>SUMIFS(Input[Add End E&amp;G],Input[Institution Name],$H$1)</f>
        <v>0</v>
      </c>
      <c r="R97" s="268"/>
      <c r="S97" s="268"/>
      <c r="T97" s="268">
        <f>SUMIFS(Input[Add End Desg],Input[Institution Name],$H$1)</f>
        <v>0</v>
      </c>
      <c r="U97" s="268"/>
      <c r="V97" s="268"/>
      <c r="W97" s="268">
        <f>SUMIFS(Input[Add End Aux],Input[Institution Name],$H$1)</f>
        <v>0</v>
      </c>
      <c r="X97" s="268"/>
      <c r="Y97" s="268"/>
      <c r="Z97" s="268">
        <f>SUMIFS(Input[Add End R Exp],Input[Institution Name],$H$1)</f>
        <v>0</v>
      </c>
      <c r="AA97" s="268"/>
      <c r="AB97" s="268"/>
      <c r="AC97" s="268">
        <f>SUMIFS(Input[Add End Loan],Input[Institution Name],$H$1)</f>
        <v>0</v>
      </c>
      <c r="AD97" s="268"/>
      <c r="AE97" s="268"/>
      <c r="AF97" s="268">
        <f>SUMIFS(Input[Add End Annuity],Input[Institution Name],$H$1)</f>
        <v>0</v>
      </c>
      <c r="AG97" s="268"/>
      <c r="AH97" s="268"/>
      <c r="AI97" s="268">
        <f>SUMIFS(Input[Add End Unexp],Input[Institution Name],$H$1)</f>
        <v>0</v>
      </c>
      <c r="AJ97" s="268"/>
      <c r="AK97" s="268"/>
      <c r="AL97" s="268">
        <f>SUMIFS(Input[Add End R of Ind],Input[Institution Name],$H$1)</f>
        <v>0</v>
      </c>
      <c r="AM97" s="268"/>
      <c r="AN97" s="268"/>
      <c r="AO97" s="268">
        <f>SUMIFS(Input[Add End Inv in P],Input[Institution Name],$H$1)</f>
        <v>0</v>
      </c>
      <c r="AP97" s="268"/>
      <c r="AQ97" s="270"/>
      <c r="AR97" s="260">
        <f>SUM(Q97:AO97)</f>
        <v>0</v>
      </c>
      <c r="AS97" s="260"/>
      <c r="AT97" s="260"/>
      <c r="AU97" s="59"/>
      <c r="AV97" s="59"/>
    </row>
    <row r="98" spans="1:48" s="57" customFormat="1" ht="30" customHeight="1" x14ac:dyDescent="0.3">
      <c r="A98" s="56"/>
      <c r="B98" s="56"/>
      <c r="C98" s="56"/>
      <c r="D98" s="56"/>
      <c r="E98" s="56"/>
      <c r="F98" s="56"/>
      <c r="G98" s="56"/>
      <c r="H98" s="261" t="s">
        <v>917</v>
      </c>
      <c r="I98" s="261"/>
      <c r="J98" s="261"/>
      <c r="K98" s="261"/>
      <c r="L98" s="261"/>
      <c r="M98" s="261"/>
      <c r="N98" s="261"/>
      <c r="O98" s="261"/>
      <c r="P98" s="261"/>
      <c r="Q98" s="269">
        <f>SUM(Q96:S97)</f>
        <v>0</v>
      </c>
      <c r="R98" s="269"/>
      <c r="S98" s="269"/>
      <c r="T98" s="269">
        <f>SUM(T96:V97)</f>
        <v>0</v>
      </c>
      <c r="U98" s="269"/>
      <c r="V98" s="269"/>
      <c r="W98" s="269">
        <f>SUM(W96:Y97)</f>
        <v>0</v>
      </c>
      <c r="X98" s="269"/>
      <c r="Y98" s="269"/>
      <c r="Z98" s="269">
        <f>SUM(Z96:AB97)</f>
        <v>0</v>
      </c>
      <c r="AA98" s="269"/>
      <c r="AB98" s="269"/>
      <c r="AC98" s="269">
        <f>SUM(AC96:AE97)</f>
        <v>0</v>
      </c>
      <c r="AD98" s="269"/>
      <c r="AE98" s="269"/>
      <c r="AF98" s="269">
        <f>SUM(AF96:AH97)</f>
        <v>0</v>
      </c>
      <c r="AG98" s="269"/>
      <c r="AH98" s="269"/>
      <c r="AI98" s="269">
        <f>SUM(AI96:AK97)</f>
        <v>0</v>
      </c>
      <c r="AJ98" s="269"/>
      <c r="AK98" s="269"/>
      <c r="AL98" s="269">
        <f>SUM(AL96:AN97)</f>
        <v>0</v>
      </c>
      <c r="AM98" s="269"/>
      <c r="AN98" s="269"/>
      <c r="AO98" s="269">
        <f>SUM(AO96:AQ97)</f>
        <v>0</v>
      </c>
      <c r="AP98" s="269"/>
      <c r="AQ98" s="269"/>
      <c r="AR98" s="269">
        <f>SUM(AR96:AT97)</f>
        <v>0</v>
      </c>
      <c r="AS98" s="269"/>
      <c r="AT98" s="269"/>
      <c r="AU98" s="59"/>
      <c r="AV98" s="59"/>
    </row>
    <row r="99" spans="1:48" s="57" customFormat="1" ht="30" customHeight="1" x14ac:dyDescent="0.3">
      <c r="A99" s="56"/>
      <c r="B99" s="56"/>
      <c r="C99" s="56"/>
      <c r="D99" s="56"/>
      <c r="E99" s="56"/>
      <c r="F99" s="56"/>
      <c r="G99" s="56"/>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59"/>
      <c r="AV99" s="59"/>
    </row>
    <row r="100" spans="1:48" s="57" customFormat="1" ht="30" customHeight="1" x14ac:dyDescent="0.3">
      <c r="A100" s="56"/>
      <c r="B100" s="56"/>
      <c r="C100" s="56"/>
      <c r="D100" s="56"/>
      <c r="E100" s="56"/>
      <c r="F100" s="56"/>
      <c r="G100" s="56"/>
      <c r="H100" s="261" t="s">
        <v>940</v>
      </c>
      <c r="I100" s="261"/>
      <c r="J100" s="261"/>
      <c r="K100" s="261"/>
      <c r="L100" s="261"/>
      <c r="M100" s="261"/>
      <c r="N100" s="261"/>
      <c r="O100" s="261"/>
      <c r="P100" s="261"/>
      <c r="Q100" s="269">
        <f>Q68-Q86+Q93+Q98</f>
        <v>0</v>
      </c>
      <c r="R100" s="269"/>
      <c r="S100" s="269"/>
      <c r="T100" s="269">
        <f>T68-T86+T93+T98</f>
        <v>0</v>
      </c>
      <c r="U100" s="269"/>
      <c r="V100" s="269"/>
      <c r="W100" s="269">
        <f>W68-W86+W93+W98</f>
        <v>0</v>
      </c>
      <c r="X100" s="269"/>
      <c r="Y100" s="269"/>
      <c r="Z100" s="269">
        <f>Z68-Z86+Z93+Z98</f>
        <v>0</v>
      </c>
      <c r="AA100" s="269"/>
      <c r="AB100" s="269"/>
      <c r="AC100" s="269">
        <f>AC68-AC86+AC93+AC98</f>
        <v>0</v>
      </c>
      <c r="AD100" s="269"/>
      <c r="AE100" s="269"/>
      <c r="AF100" s="269">
        <f>AF68-AF86+AF93+AF98</f>
        <v>0</v>
      </c>
      <c r="AG100" s="269"/>
      <c r="AH100" s="269"/>
      <c r="AI100" s="269">
        <f>AI68-AI86+AI93+AI98</f>
        <v>0</v>
      </c>
      <c r="AJ100" s="269"/>
      <c r="AK100" s="269"/>
      <c r="AL100" s="269">
        <f>AL68-AL86+AL93+AL98</f>
        <v>0</v>
      </c>
      <c r="AM100" s="269"/>
      <c r="AN100" s="269"/>
      <c r="AO100" s="269">
        <f>AO68-AO86+AO93+AO98</f>
        <v>0</v>
      </c>
      <c r="AP100" s="269"/>
      <c r="AQ100" s="269"/>
      <c r="AR100" s="269">
        <f>AR68-AR86+AR93+AR98</f>
        <v>0</v>
      </c>
      <c r="AS100" s="269"/>
      <c r="AT100" s="269"/>
      <c r="AU100" s="59"/>
      <c r="AV100" s="59"/>
    </row>
    <row r="101" spans="1:48" s="57" customFormat="1" ht="30" customHeight="1" x14ac:dyDescent="0.3">
      <c r="A101" s="56"/>
      <c r="B101" s="56"/>
      <c r="C101" s="56"/>
      <c r="D101" s="56"/>
      <c r="E101" s="56"/>
      <c r="F101" s="56"/>
      <c r="G101" s="56"/>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59"/>
      <c r="AV101" s="59"/>
    </row>
    <row r="102" spans="1:48" s="57" customFormat="1" ht="30" customHeight="1" x14ac:dyDescent="0.3">
      <c r="A102" s="56"/>
      <c r="B102" s="56"/>
      <c r="C102" s="56"/>
      <c r="D102" s="56"/>
      <c r="E102" s="56"/>
      <c r="F102" s="56"/>
      <c r="G102" s="56"/>
      <c r="H102" s="235"/>
      <c r="I102" s="236"/>
      <c r="J102" s="236"/>
      <c r="K102" s="236"/>
      <c r="L102" s="236"/>
      <c r="M102" s="236"/>
      <c r="N102" s="236"/>
      <c r="O102" s="236"/>
      <c r="P102" s="236"/>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7"/>
      <c r="AU102" s="59"/>
      <c r="AV102" s="59"/>
    </row>
    <row r="103" spans="1:48" s="57" customFormat="1" ht="30" customHeight="1" x14ac:dyDescent="0.3">
      <c r="A103" s="56"/>
      <c r="B103" s="56"/>
      <c r="C103" s="56"/>
      <c r="D103" s="56"/>
      <c r="E103" s="56"/>
      <c r="F103" s="56"/>
      <c r="G103" s="56"/>
      <c r="H103" s="246" t="s">
        <v>941</v>
      </c>
      <c r="I103" s="247"/>
      <c r="J103" s="247"/>
      <c r="K103" s="247"/>
      <c r="L103" s="247"/>
      <c r="M103" s="247"/>
      <c r="N103" s="247"/>
      <c r="O103" s="247"/>
      <c r="P103" s="290"/>
      <c r="Q103" s="278">
        <f>SUMIFS(Input[Bond Proceeds E&amp;G],Input[Institution Name],$H$1)</f>
        <v>0</v>
      </c>
      <c r="R103" s="278"/>
      <c r="S103" s="278"/>
      <c r="T103" s="278">
        <f>SUMIFS(Input[Bond Proceeds Desg],Input[Institution Name],$H$1)</f>
        <v>0</v>
      </c>
      <c r="U103" s="278"/>
      <c r="V103" s="278"/>
      <c r="W103" s="278">
        <f>SUMIFS(Input[Bond Proceeds Aux],Input[Institution Name],$H$1)</f>
        <v>0</v>
      </c>
      <c r="X103" s="278"/>
      <c r="Y103" s="278"/>
      <c r="Z103" s="278">
        <f>SUMIFS(Input[Bond Proceeds R Exp],Input[Institution Name],$H$1)</f>
        <v>0</v>
      </c>
      <c r="AA103" s="278"/>
      <c r="AB103" s="278"/>
      <c r="AC103" s="278">
        <f>SUMIFS(Input[Bond Proceeds Loan],Input[Institution Name],$H$1)</f>
        <v>0</v>
      </c>
      <c r="AD103" s="278"/>
      <c r="AE103" s="278"/>
      <c r="AF103" s="278">
        <f>SUMIFS(Input[Bond Proceeds Annuity],Input[Institution Name],$H$1)</f>
        <v>0</v>
      </c>
      <c r="AG103" s="278"/>
      <c r="AH103" s="278"/>
      <c r="AI103" s="278">
        <f>SUMIFS(Input[Bond Proceeds Unexp],Input[Institution Name],$H$1)</f>
        <v>0</v>
      </c>
      <c r="AJ103" s="278"/>
      <c r="AK103" s="278"/>
      <c r="AL103" s="278">
        <f>SUMIFS(Input[Bond Proceeds R of Ind],Input[Institution Name],$H$1)</f>
        <v>0</v>
      </c>
      <c r="AM103" s="278"/>
      <c r="AN103" s="278"/>
      <c r="AO103" s="278">
        <f>SUMIFS(Input[Bond Proceeds Inv in P],Input[Institution Name],$H$1)</f>
        <v>0</v>
      </c>
      <c r="AP103" s="278"/>
      <c r="AQ103" s="279"/>
      <c r="AR103" s="258">
        <f t="shared" ref="AR103:AR108" si="2">SUM(Q103:AO103)</f>
        <v>0</v>
      </c>
      <c r="AS103" s="258"/>
      <c r="AT103" s="258"/>
      <c r="AU103" s="59"/>
      <c r="AV103" s="59"/>
    </row>
    <row r="104" spans="1:48" s="57" customFormat="1" ht="30" customHeight="1" x14ac:dyDescent="0.3">
      <c r="A104" s="56"/>
      <c r="B104" s="56"/>
      <c r="C104" s="56"/>
      <c r="D104" s="56"/>
      <c r="E104" s="56"/>
      <c r="F104" s="56"/>
      <c r="G104" s="56"/>
      <c r="H104" s="254" t="s">
        <v>942</v>
      </c>
      <c r="I104" s="255"/>
      <c r="J104" s="255"/>
      <c r="K104" s="255"/>
      <c r="L104" s="255"/>
      <c r="M104" s="255"/>
      <c r="N104" s="255"/>
      <c r="O104" s="255"/>
      <c r="P104" s="289"/>
      <c r="Q104" s="257">
        <f>SUMIFS(Input[Dep Exp E&amp;G],Input[Institution Name],$H$1)</f>
        <v>0</v>
      </c>
      <c r="R104" s="257"/>
      <c r="S104" s="257"/>
      <c r="T104" s="257">
        <f>SUMIFS(Input[Dep Exp Desg],Input[Institution Name],$H$1)</f>
        <v>0</v>
      </c>
      <c r="U104" s="257"/>
      <c r="V104" s="257"/>
      <c r="W104" s="257">
        <f>SUMIFS(Input[Dep Exp Aux],Input[Institution Name],$H$1)</f>
        <v>0</v>
      </c>
      <c r="X104" s="257"/>
      <c r="Y104" s="257"/>
      <c r="Z104" s="257">
        <f>SUMIFS(Input[Dep Exp R Exp],Input[Institution Name],$H$1)</f>
        <v>0</v>
      </c>
      <c r="AA104" s="257"/>
      <c r="AB104" s="257"/>
      <c r="AC104" s="257">
        <f>SUMIFS(Input[Dep Exp Loan],Input[Institution Name],$H$1)</f>
        <v>0</v>
      </c>
      <c r="AD104" s="257"/>
      <c r="AE104" s="257"/>
      <c r="AF104" s="257">
        <f>SUMIFS(Input[Dep Exp Annuity],Input[Institution Name],$H$1)</f>
        <v>0</v>
      </c>
      <c r="AG104" s="257"/>
      <c r="AH104" s="257"/>
      <c r="AI104" s="257">
        <f>SUMIFS(Input[Dep Exp Unexp],Input[Institution Name],$H$1)</f>
        <v>0</v>
      </c>
      <c r="AJ104" s="257"/>
      <c r="AK104" s="257"/>
      <c r="AL104" s="257">
        <f>SUMIFS(Input[Dep Exp R of Ind],Input[Institution Name],$H$1)</f>
        <v>0</v>
      </c>
      <c r="AM104" s="257"/>
      <c r="AN104" s="257"/>
      <c r="AO104" s="257">
        <f>SUMIFS(Input[Dep Exp Inv in P],Input[Institution Name],$H$1)</f>
        <v>0</v>
      </c>
      <c r="AP104" s="257"/>
      <c r="AQ104" s="259"/>
      <c r="AR104" s="260">
        <f t="shared" si="2"/>
        <v>0</v>
      </c>
      <c r="AS104" s="260"/>
      <c r="AT104" s="260"/>
      <c r="AU104" s="59"/>
      <c r="AV104" s="59"/>
    </row>
    <row r="105" spans="1:48" s="57" customFormat="1" ht="30" customHeight="1" x14ac:dyDescent="0.3">
      <c r="A105" s="56"/>
      <c r="B105" s="56"/>
      <c r="C105" s="56"/>
      <c r="D105" s="56"/>
      <c r="E105" s="56"/>
      <c r="F105" s="56"/>
      <c r="G105" s="56"/>
      <c r="H105" s="254" t="s">
        <v>943</v>
      </c>
      <c r="I105" s="255"/>
      <c r="J105" s="255"/>
      <c r="K105" s="255"/>
      <c r="L105" s="255"/>
      <c r="M105" s="255"/>
      <c r="N105" s="255"/>
      <c r="O105" s="255"/>
      <c r="P105" s="289"/>
      <c r="Q105" s="257">
        <f>SUMIFS(Input[Xfr Cap Sys E&amp;G],Input[Institution Name],$H$1)</f>
        <v>0</v>
      </c>
      <c r="R105" s="257"/>
      <c r="S105" s="257"/>
      <c r="T105" s="257">
        <f>SUMIFS(Input[Xfr Cap Sys Desg],Input[Institution Name],$H$1)</f>
        <v>0</v>
      </c>
      <c r="U105" s="257"/>
      <c r="V105" s="257"/>
      <c r="W105" s="257">
        <f>SUMIFS(Input[Xfr Cap Sys Aux],Input[Institution Name],$H$1)</f>
        <v>0</v>
      </c>
      <c r="X105" s="257"/>
      <c r="Y105" s="257"/>
      <c r="Z105" s="257">
        <f>SUMIFS(Input[Xfr Cap Sys R Exp],Input[Institution Name],$H$1)</f>
        <v>0</v>
      </c>
      <c r="AA105" s="257"/>
      <c r="AB105" s="257"/>
      <c r="AC105" s="257">
        <f>SUMIFS(Input[Xfr Cap Sys Loan],Input[Institution Name],$H$1)</f>
        <v>0</v>
      </c>
      <c r="AD105" s="257"/>
      <c r="AE105" s="257"/>
      <c r="AF105" s="257">
        <f>SUMIFS(Input[Xfr Cap Sys Annuity],Input[Institution Name],$H$1)</f>
        <v>0</v>
      </c>
      <c r="AG105" s="257"/>
      <c r="AH105" s="257"/>
      <c r="AI105" s="257">
        <f>SUMIFS(Input[Xfr Cap Sys Unexp],Input[Institution Name],$H$1)</f>
        <v>0</v>
      </c>
      <c r="AJ105" s="257"/>
      <c r="AK105" s="257"/>
      <c r="AL105" s="257">
        <f>SUMIFS(Input[Xfr Cap Sys R of Ind],Input[Institution Name],$H$1)</f>
        <v>0</v>
      </c>
      <c r="AM105" s="257"/>
      <c r="AN105" s="257"/>
      <c r="AO105" s="257">
        <f>SUMIFS(Input[Xfr Cap Sys Inv in P],Input[Institution Name],$H$1)</f>
        <v>0</v>
      </c>
      <c r="AP105" s="257"/>
      <c r="AQ105" s="259"/>
      <c r="AR105" s="260">
        <f t="shared" si="2"/>
        <v>0</v>
      </c>
      <c r="AS105" s="260"/>
      <c r="AT105" s="260"/>
      <c r="AU105" s="59"/>
      <c r="AV105" s="59"/>
    </row>
    <row r="106" spans="1:48" s="57" customFormat="1" ht="30" customHeight="1" x14ac:dyDescent="0.3">
      <c r="A106" s="56"/>
      <c r="B106" s="56"/>
      <c r="C106" s="56"/>
      <c r="D106" s="56"/>
      <c r="E106" s="56"/>
      <c r="F106" s="56"/>
      <c r="G106" s="56"/>
      <c r="H106" s="254" t="s">
        <v>944</v>
      </c>
      <c r="I106" s="255"/>
      <c r="J106" s="255"/>
      <c r="K106" s="255"/>
      <c r="L106" s="255"/>
      <c r="M106" s="255"/>
      <c r="N106" s="255"/>
      <c r="O106" s="255"/>
      <c r="P106" s="289"/>
      <c r="Q106" s="257">
        <f>SUMIFS(Input[OPEB Exp E&amp;G],Input[Institution Name],$H$1)</f>
        <v>0</v>
      </c>
      <c r="R106" s="257"/>
      <c r="S106" s="257"/>
      <c r="T106" s="257">
        <f>SUMIFS(Input[OPEB Exp Desg],Input[Institution Name],$H$1)</f>
        <v>0</v>
      </c>
      <c r="U106" s="257"/>
      <c r="V106" s="257"/>
      <c r="W106" s="257">
        <f>SUMIFS(Input[OPEB Exp Aux],Input[Institution Name],$H$1)</f>
        <v>0</v>
      </c>
      <c r="X106" s="257"/>
      <c r="Y106" s="257"/>
      <c r="Z106" s="257">
        <f>SUMIFS(Input[OPEB Exp R Exp],Input[Institution Name],$H$1)</f>
        <v>0</v>
      </c>
      <c r="AA106" s="257"/>
      <c r="AB106" s="257"/>
      <c r="AC106" s="257">
        <f>SUMIFS(Input[OPEB Exp Loan],Input[Institution Name],$H$1)</f>
        <v>0</v>
      </c>
      <c r="AD106" s="257"/>
      <c r="AE106" s="257"/>
      <c r="AF106" s="257">
        <f>SUMIFS(Input[OPEB Exp Annuity],Input[Institution Name],$H$1)</f>
        <v>0</v>
      </c>
      <c r="AG106" s="257"/>
      <c r="AH106" s="257"/>
      <c r="AI106" s="257">
        <f>SUMIFS(Input[OPEB Exp Unexp],Input[Institution Name],$H$1)</f>
        <v>0</v>
      </c>
      <c r="AJ106" s="257"/>
      <c r="AK106" s="257"/>
      <c r="AL106" s="257">
        <f>SUMIFS(Input[OPEB Exp R of Ind],Input[Institution Name],$H$1)</f>
        <v>0</v>
      </c>
      <c r="AM106" s="257"/>
      <c r="AN106" s="257"/>
      <c r="AO106" s="257">
        <f>SUMIFS(Input[OPEB Exp Inv in P],Input[Institution Name],$H$1)</f>
        <v>0</v>
      </c>
      <c r="AP106" s="257"/>
      <c r="AQ106" s="259"/>
      <c r="AR106" s="260">
        <f t="shared" si="2"/>
        <v>0</v>
      </c>
      <c r="AS106" s="260"/>
      <c r="AT106" s="260"/>
      <c r="AU106" s="59"/>
      <c r="AV106" s="59"/>
    </row>
    <row r="107" spans="1:48" s="57" customFormat="1" ht="30" customHeight="1" x14ac:dyDescent="0.3">
      <c r="A107" s="56"/>
      <c r="B107" s="56"/>
      <c r="C107" s="56"/>
      <c r="D107" s="56"/>
      <c r="E107" s="56"/>
      <c r="F107" s="56"/>
      <c r="G107" s="56"/>
      <c r="H107" s="254" t="s">
        <v>945</v>
      </c>
      <c r="I107" s="255"/>
      <c r="J107" s="255"/>
      <c r="K107" s="255"/>
      <c r="L107" s="255"/>
      <c r="M107" s="255"/>
      <c r="N107" s="255"/>
      <c r="O107" s="255"/>
      <c r="P107" s="289"/>
      <c r="Q107" s="257">
        <f>SUMIFS(Input[Non-Cash Cap E&amp;G],Input[Institution Name],$H$1)</f>
        <v>0</v>
      </c>
      <c r="R107" s="257"/>
      <c r="S107" s="257"/>
      <c r="T107" s="257">
        <f>SUMIFS(Input[Non-Cash Cap Desg],Input[Institution Name],$H$1)</f>
        <v>0</v>
      </c>
      <c r="U107" s="257"/>
      <c r="V107" s="257"/>
      <c r="W107" s="257">
        <f>SUMIFS(Input[Non-Cash Cap Aux],Input[Institution Name],$H$1)</f>
        <v>0</v>
      </c>
      <c r="X107" s="257"/>
      <c r="Y107" s="257"/>
      <c r="Z107" s="257">
        <f>SUMIFS(Input[Non-Cash Cap R Exp],Input[Institution Name],$H$1)</f>
        <v>0</v>
      </c>
      <c r="AA107" s="257"/>
      <c r="AB107" s="257"/>
      <c r="AC107" s="257">
        <f>SUMIFS(Input[Non-Cash Cap Loan],Input[Institution Name],$H$1)</f>
        <v>0</v>
      </c>
      <c r="AD107" s="257"/>
      <c r="AE107" s="257"/>
      <c r="AF107" s="257">
        <f>SUMIFS(Input[Non-Cash Cap Annuity],Input[Institution Name],$H$1)</f>
        <v>0</v>
      </c>
      <c r="AG107" s="257"/>
      <c r="AH107" s="257"/>
      <c r="AI107" s="257">
        <f>SUMIFS(Input[Non-Cash Cap Unexp],Input[Institution Name],$H$1)</f>
        <v>0</v>
      </c>
      <c r="AJ107" s="257"/>
      <c r="AK107" s="257"/>
      <c r="AL107" s="257">
        <f>SUMIFS(Input[Non-Cash Cap R of Ind],Input[Institution Name],$H$1)</f>
        <v>0</v>
      </c>
      <c r="AM107" s="257"/>
      <c r="AN107" s="257"/>
      <c r="AO107" s="257">
        <f>SUMIFS(Input[Non-Cash Cap Inv in P],Input[Institution Name],$H$1)</f>
        <v>0</v>
      </c>
      <c r="AP107" s="257"/>
      <c r="AQ107" s="259"/>
      <c r="AR107" s="260">
        <f t="shared" si="2"/>
        <v>0</v>
      </c>
      <c r="AS107" s="260"/>
      <c r="AT107" s="260"/>
      <c r="AU107" s="59"/>
      <c r="AV107" s="59"/>
    </row>
    <row r="108" spans="1:48" s="57" customFormat="1" ht="30" customHeight="1" x14ac:dyDescent="0.3">
      <c r="A108" s="56"/>
      <c r="B108" s="56"/>
      <c r="C108" s="56"/>
      <c r="D108" s="56"/>
      <c r="E108" s="56"/>
      <c r="F108" s="56"/>
      <c r="G108" s="56"/>
      <c r="H108" s="265" t="s">
        <v>946</v>
      </c>
      <c r="I108" s="266"/>
      <c r="J108" s="266"/>
      <c r="K108" s="266"/>
      <c r="L108" s="266"/>
      <c r="M108" s="266"/>
      <c r="N108" s="266"/>
      <c r="O108" s="266"/>
      <c r="P108" s="291"/>
      <c r="Q108" s="268">
        <f>SUMIFS(Input[Cap Out E&amp;G],Input[Institution Name],$H$1)</f>
        <v>0</v>
      </c>
      <c r="R108" s="268"/>
      <c r="S108" s="268"/>
      <c r="T108" s="268">
        <f>SUMIFS(Input[Cap Out Desg],Input[Institution Name],$H$1)</f>
        <v>0</v>
      </c>
      <c r="U108" s="268"/>
      <c r="V108" s="268"/>
      <c r="W108" s="268">
        <f>SUMIFS(Input[Cap Out Aux],Input[Institution Name],$H$1)</f>
        <v>0</v>
      </c>
      <c r="X108" s="268"/>
      <c r="Y108" s="268"/>
      <c r="Z108" s="268">
        <f>SUMIFS(Input[Cap Out R Exp],Input[Institution Name],$H$1)</f>
        <v>0</v>
      </c>
      <c r="AA108" s="268"/>
      <c r="AB108" s="268"/>
      <c r="AC108" s="268">
        <f>SUMIFS(Input[Cap Out Loan],Input[Institution Name],$H$1)</f>
        <v>0</v>
      </c>
      <c r="AD108" s="268"/>
      <c r="AE108" s="268"/>
      <c r="AF108" s="268">
        <f>SUMIFS(Input[Cap Out Annuity],Input[Institution Name],$H$1)</f>
        <v>0</v>
      </c>
      <c r="AG108" s="268"/>
      <c r="AH108" s="268"/>
      <c r="AI108" s="268">
        <f>SUMIFS(Input[Cap Out Unexp],Input[Institution Name],$H$1)</f>
        <v>0</v>
      </c>
      <c r="AJ108" s="268"/>
      <c r="AK108" s="268"/>
      <c r="AL108" s="268">
        <f>SUMIFS(Input[Cap Out R of Ind],Input[Institution Name],$H$1)</f>
        <v>0</v>
      </c>
      <c r="AM108" s="268"/>
      <c r="AN108" s="268"/>
      <c r="AO108" s="268">
        <f>SUMIFS(Input[Cap Out Inv in P],Input[Institution Name],$H$1)</f>
        <v>0</v>
      </c>
      <c r="AP108" s="268"/>
      <c r="AQ108" s="270"/>
      <c r="AR108" s="260">
        <f t="shared" si="2"/>
        <v>0</v>
      </c>
      <c r="AS108" s="260"/>
      <c r="AT108" s="260"/>
      <c r="AU108" s="59"/>
      <c r="AV108" s="59"/>
    </row>
    <row r="109" spans="1:48" s="57" customFormat="1" ht="30" customHeight="1" x14ac:dyDescent="0.3">
      <c r="A109" s="56"/>
      <c r="B109" s="56"/>
      <c r="C109" s="56"/>
      <c r="D109" s="56"/>
      <c r="E109" s="56"/>
      <c r="F109" s="56"/>
      <c r="G109" s="56"/>
      <c r="H109" s="261"/>
      <c r="I109" s="261"/>
      <c r="J109" s="261"/>
      <c r="K109" s="261"/>
      <c r="L109" s="261"/>
      <c r="M109" s="261"/>
      <c r="N109" s="261"/>
      <c r="O109" s="261"/>
      <c r="P109" s="261"/>
      <c r="Q109" s="269">
        <f>SUM(Q100,Q103:S108)</f>
        <v>0</v>
      </c>
      <c r="R109" s="269"/>
      <c r="S109" s="269"/>
      <c r="T109" s="269">
        <f>SUM(T100,T103:V108)</f>
        <v>0</v>
      </c>
      <c r="U109" s="269"/>
      <c r="V109" s="269"/>
      <c r="W109" s="269">
        <f>SUM(W100,W103:Y108)</f>
        <v>0</v>
      </c>
      <c r="X109" s="269"/>
      <c r="Y109" s="269"/>
      <c r="Z109" s="269">
        <f>SUM(Z100,Z103:AB108)</f>
        <v>0</v>
      </c>
      <c r="AA109" s="269"/>
      <c r="AB109" s="269"/>
      <c r="AC109" s="269">
        <f>SUM(AC100,AC103:AE108)</f>
        <v>0</v>
      </c>
      <c r="AD109" s="269"/>
      <c r="AE109" s="269"/>
      <c r="AF109" s="269">
        <f>SUM(AF100,AF103:AH108)</f>
        <v>0</v>
      </c>
      <c r="AG109" s="269"/>
      <c r="AH109" s="269"/>
      <c r="AI109" s="269">
        <f>SUM(AI100,AI103:AK108)</f>
        <v>0</v>
      </c>
      <c r="AJ109" s="269"/>
      <c r="AK109" s="269"/>
      <c r="AL109" s="269">
        <f>SUM(AL100,AL103:AN108)</f>
        <v>0</v>
      </c>
      <c r="AM109" s="269"/>
      <c r="AN109" s="269"/>
      <c r="AO109" s="269">
        <f>SUM(AO100,AO103:AQ108)</f>
        <v>0</v>
      </c>
      <c r="AP109" s="269"/>
      <c r="AQ109" s="269"/>
      <c r="AR109" s="269">
        <f>SUM(AR100,AR103:AT108)</f>
        <v>0</v>
      </c>
      <c r="AS109" s="269"/>
      <c r="AT109" s="269"/>
      <c r="AU109" s="59"/>
      <c r="AV109" s="59"/>
    </row>
    <row r="110" spans="1:48" s="57" customFormat="1" ht="30" customHeight="1" x14ac:dyDescent="0.3">
      <c r="A110" s="56"/>
      <c r="B110" s="56"/>
      <c r="C110" s="56"/>
      <c r="D110" s="56"/>
      <c r="E110" s="56"/>
      <c r="F110" s="56"/>
      <c r="G110" s="56"/>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71"/>
      <c r="AI110" s="271"/>
      <c r="AJ110" s="271"/>
      <c r="AK110" s="271"/>
      <c r="AL110" s="271"/>
      <c r="AM110" s="271"/>
      <c r="AN110" s="271"/>
      <c r="AO110" s="271"/>
      <c r="AP110" s="271"/>
      <c r="AQ110" s="271"/>
      <c r="AR110" s="271"/>
      <c r="AS110" s="271"/>
      <c r="AT110" s="271"/>
      <c r="AU110" s="59"/>
      <c r="AV110" s="59"/>
    </row>
    <row r="111" spans="1:48" s="57" customFormat="1" ht="30" customHeight="1" x14ac:dyDescent="0.3">
      <c r="A111" s="56"/>
      <c r="B111" s="56"/>
      <c r="C111" s="56"/>
      <c r="D111" s="56"/>
      <c r="E111" s="56"/>
      <c r="F111" s="56"/>
      <c r="G111" s="56"/>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97"/>
      <c r="AH111" s="295" t="s">
        <v>947</v>
      </c>
      <c r="AI111" s="296"/>
      <c r="AJ111" s="296"/>
      <c r="AK111" s="296"/>
      <c r="AL111" s="296"/>
      <c r="AM111" s="296"/>
      <c r="AN111" s="296"/>
      <c r="AO111" s="296"/>
      <c r="AP111" s="296"/>
      <c r="AQ111" s="296"/>
      <c r="AR111" s="296"/>
      <c r="AS111" s="296"/>
      <c r="AT111" s="297"/>
      <c r="AU111" s="59"/>
      <c r="AV111" s="59"/>
    </row>
    <row r="112" spans="1:48" s="57" customFormat="1" ht="30" customHeight="1" x14ac:dyDescent="0.3">
      <c r="A112" s="56"/>
      <c r="B112" s="56"/>
      <c r="C112" s="56"/>
      <c r="D112" s="56"/>
      <c r="E112" s="56"/>
      <c r="F112" s="56"/>
      <c r="G112" s="56"/>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298" t="s">
        <v>948</v>
      </c>
      <c r="AI112" s="299"/>
      <c r="AJ112" s="299"/>
      <c r="AK112" s="299"/>
      <c r="AL112" s="299"/>
      <c r="AM112" s="299"/>
      <c r="AN112" s="299"/>
      <c r="AO112" s="299"/>
      <c r="AP112" s="299"/>
      <c r="AQ112" s="300"/>
      <c r="AR112" s="258" t="str">
        <f>IF($AO$100&lt;=0,"N/A",$AO$100)</f>
        <v>N/A</v>
      </c>
      <c r="AS112" s="258"/>
      <c r="AT112" s="258"/>
      <c r="AU112" s="59"/>
      <c r="AV112" s="59"/>
    </row>
    <row r="113" spans="1:48" s="57" customFormat="1" ht="30" customHeight="1" x14ac:dyDescent="0.3">
      <c r="A113" s="56"/>
      <c r="B113" s="56"/>
      <c r="C113" s="56"/>
      <c r="D113" s="56"/>
      <c r="E113" s="56"/>
      <c r="F113" s="56"/>
      <c r="G113" s="56"/>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254" t="s">
        <v>949</v>
      </c>
      <c r="AI113" s="255"/>
      <c r="AJ113" s="255"/>
      <c r="AK113" s="255"/>
      <c r="AL113" s="255"/>
      <c r="AM113" s="255"/>
      <c r="AN113" s="255"/>
      <c r="AO113" s="255"/>
      <c r="AP113" s="255"/>
      <c r="AQ113" s="256"/>
      <c r="AR113" s="257">
        <f>SUMIFS(Input[Footnote Rev Rec''d],Input[Institution Name],$H$1)</f>
        <v>0</v>
      </c>
      <c r="AS113" s="257"/>
      <c r="AT113" s="259"/>
      <c r="AU113" s="59"/>
      <c r="AV113" s="59"/>
    </row>
    <row r="114" spans="1:48" s="57" customFormat="1" ht="30" customHeight="1" x14ac:dyDescent="0.3">
      <c r="A114" s="56"/>
      <c r="B114" s="56"/>
      <c r="C114" s="56"/>
      <c r="D114" s="56"/>
      <c r="E114" s="56"/>
      <c r="F114" s="56"/>
      <c r="G114" s="56"/>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254" t="s">
        <v>950</v>
      </c>
      <c r="AI114" s="255"/>
      <c r="AJ114" s="255"/>
      <c r="AK114" s="255"/>
      <c r="AL114" s="255"/>
      <c r="AM114" s="255"/>
      <c r="AN114" s="255"/>
      <c r="AO114" s="255"/>
      <c r="AP114" s="255"/>
      <c r="AQ114" s="256"/>
      <c r="AR114" s="257">
        <f>SUMIFS(Input[Footnote Non Exp],Input[Institution Name],$H$1)</f>
        <v>0</v>
      </c>
      <c r="AS114" s="257"/>
      <c r="AT114" s="259"/>
      <c r="AU114" s="59"/>
      <c r="AV114" s="59"/>
    </row>
    <row r="115" spans="1:48" s="57" customFormat="1" ht="30" customHeight="1" x14ac:dyDescent="0.3">
      <c r="A115" s="56"/>
      <c r="B115" s="56"/>
      <c r="C115" s="56"/>
      <c r="D115" s="56"/>
      <c r="E115" s="56"/>
      <c r="F115" s="56"/>
      <c r="G115" s="56"/>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265" t="s">
        <v>951</v>
      </c>
      <c r="AI115" s="266"/>
      <c r="AJ115" s="266"/>
      <c r="AK115" s="266"/>
      <c r="AL115" s="266"/>
      <c r="AM115" s="266"/>
      <c r="AN115" s="266"/>
      <c r="AO115" s="266"/>
      <c r="AP115" s="266"/>
      <c r="AQ115" s="267"/>
      <c r="AR115" s="292">
        <f>IF(AR112="N/A",0,AR112-AR113-AR114)</f>
        <v>0</v>
      </c>
      <c r="AS115" s="292"/>
      <c r="AT115" s="292"/>
      <c r="AU115" s="59"/>
      <c r="AV115" s="59"/>
    </row>
    <row r="116" spans="1:48" s="57" customFormat="1" ht="30" customHeight="1" x14ac:dyDescent="0.3">
      <c r="A116" s="56"/>
      <c r="B116" s="56"/>
      <c r="C116" s="56"/>
      <c r="D116" s="56"/>
      <c r="E116" s="56"/>
      <c r="F116" s="56"/>
      <c r="G116" s="56"/>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59"/>
      <c r="AR116" s="59"/>
      <c r="AS116" s="59"/>
      <c r="AT116" s="59"/>
      <c r="AU116" s="59"/>
      <c r="AV116" s="59"/>
    </row>
    <row r="117" spans="1:48" s="57" customFormat="1" ht="30" customHeight="1" x14ac:dyDescent="0.3">
      <c r="A117" s="56"/>
      <c r="B117" s="56"/>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row>
    <row r="118" spans="1:48" s="57" customFormat="1" ht="30" customHeight="1" x14ac:dyDescent="0.3">
      <c r="A118" s="56"/>
      <c r="B118" s="56"/>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row>
    <row r="119" spans="1:48" s="57" customFormat="1" ht="30" customHeight="1" x14ac:dyDescent="0.3"/>
    <row r="120" spans="1:48" s="57" customFormat="1" ht="24" customHeight="1" x14ac:dyDescent="0.3"/>
  </sheetData>
  <sheetProtection algorithmName="SHA-512" hashValue="dLx5EEU17dS4D1iMk34bHZdYDQOlWmKqzS5CagE8s8vGsUbwuBjddn68crG3CUir0wIohm/sj8HXd+lxxgOblw==" saltValue="PzE1jm4GqoFxEomCPl4y1Q==" spinCount="100000" sheet="1" objects="1" scenarios="1" formatCells="0" formatColumns="0" formatRows="0"/>
  <mergeCells count="833">
    <mergeCell ref="AO108:AQ108"/>
    <mergeCell ref="AR108:AT108"/>
    <mergeCell ref="H109:P109"/>
    <mergeCell ref="Q109:S109"/>
    <mergeCell ref="AO107:AQ107"/>
    <mergeCell ref="AR107:AT107"/>
    <mergeCell ref="H106:P106"/>
    <mergeCell ref="Q106:S106"/>
    <mergeCell ref="AH114:AQ114"/>
    <mergeCell ref="AR114:AT114"/>
    <mergeCell ref="AF107:AH107"/>
    <mergeCell ref="AI107:AK107"/>
    <mergeCell ref="AL107:AN107"/>
    <mergeCell ref="T109:V109"/>
    <mergeCell ref="W109:Y109"/>
    <mergeCell ref="Z109:AB109"/>
    <mergeCell ref="H108:P108"/>
    <mergeCell ref="Q108:S108"/>
    <mergeCell ref="T108:V108"/>
    <mergeCell ref="W108:Y108"/>
    <mergeCell ref="Z108:AB108"/>
    <mergeCell ref="AC108:AE108"/>
    <mergeCell ref="T106:V106"/>
    <mergeCell ref="W106:Y106"/>
    <mergeCell ref="AH115:AQ115"/>
    <mergeCell ref="AR115:AT115"/>
    <mergeCell ref="H4:AT6"/>
    <mergeCell ref="H110:AT110"/>
    <mergeCell ref="AH111:AT111"/>
    <mergeCell ref="AH112:AQ112"/>
    <mergeCell ref="AR112:AT112"/>
    <mergeCell ref="AH113:AQ113"/>
    <mergeCell ref="AR113:AT113"/>
    <mergeCell ref="AC109:AE109"/>
    <mergeCell ref="AF109:AH109"/>
    <mergeCell ref="AI109:AK109"/>
    <mergeCell ref="AL109:AN109"/>
    <mergeCell ref="AO109:AQ109"/>
    <mergeCell ref="AR109:AT109"/>
    <mergeCell ref="AF108:AH108"/>
    <mergeCell ref="AI108:AK108"/>
    <mergeCell ref="AL108:AN108"/>
    <mergeCell ref="H107:P107"/>
    <mergeCell ref="Q107:S107"/>
    <mergeCell ref="T107:V107"/>
    <mergeCell ref="W107:Y107"/>
    <mergeCell ref="Z107:AB107"/>
    <mergeCell ref="AC107:AE107"/>
    <mergeCell ref="Z106:AB106"/>
    <mergeCell ref="AC106:AE106"/>
    <mergeCell ref="AF106:AH106"/>
    <mergeCell ref="AI106:AK106"/>
    <mergeCell ref="AL106:AN106"/>
    <mergeCell ref="AO104:AQ104"/>
    <mergeCell ref="AR104:AT104"/>
    <mergeCell ref="AI104:AK104"/>
    <mergeCell ref="AL104:AN104"/>
    <mergeCell ref="AI105:AK105"/>
    <mergeCell ref="AL105:AN105"/>
    <mergeCell ref="AO105:AQ105"/>
    <mergeCell ref="AR105:AT105"/>
    <mergeCell ref="AO106:AQ106"/>
    <mergeCell ref="AR106:AT106"/>
    <mergeCell ref="H105:P105"/>
    <mergeCell ref="Q105:S105"/>
    <mergeCell ref="T105:V105"/>
    <mergeCell ref="W105:Y105"/>
    <mergeCell ref="Z105:AB105"/>
    <mergeCell ref="AC105:AE105"/>
    <mergeCell ref="AF105:AH105"/>
    <mergeCell ref="H104:P104"/>
    <mergeCell ref="Q104:S104"/>
    <mergeCell ref="T104:V104"/>
    <mergeCell ref="W104:Y104"/>
    <mergeCell ref="Z104:AB104"/>
    <mergeCell ref="AC104:AE104"/>
    <mergeCell ref="AF104:AH104"/>
    <mergeCell ref="H102:AT102"/>
    <mergeCell ref="H103:P103"/>
    <mergeCell ref="Q103:S103"/>
    <mergeCell ref="T103:V103"/>
    <mergeCell ref="W103:Y103"/>
    <mergeCell ref="Z103:AB103"/>
    <mergeCell ref="AC103:AE103"/>
    <mergeCell ref="AF103:AH103"/>
    <mergeCell ref="AI103:AK103"/>
    <mergeCell ref="AL103:AN103"/>
    <mergeCell ref="AO103:AQ103"/>
    <mergeCell ref="AR103:AT103"/>
    <mergeCell ref="AF100:AH100"/>
    <mergeCell ref="AI100:AK100"/>
    <mergeCell ref="AL100:AN100"/>
    <mergeCell ref="AO100:AQ100"/>
    <mergeCell ref="AR100:AT100"/>
    <mergeCell ref="H101:AT101"/>
    <mergeCell ref="H100:P100"/>
    <mergeCell ref="Q100:S100"/>
    <mergeCell ref="T100:V100"/>
    <mergeCell ref="W100:Y100"/>
    <mergeCell ref="Z100:AB100"/>
    <mergeCell ref="AC100:AE100"/>
    <mergeCell ref="AL98:AN98"/>
    <mergeCell ref="AO98:AQ98"/>
    <mergeCell ref="AR98:AT98"/>
    <mergeCell ref="H99:AT99"/>
    <mergeCell ref="AI97:AK97"/>
    <mergeCell ref="AL97:AN97"/>
    <mergeCell ref="AO97:AQ97"/>
    <mergeCell ref="AR97:AT97"/>
    <mergeCell ref="H98:P98"/>
    <mergeCell ref="Q98:S98"/>
    <mergeCell ref="T98:V98"/>
    <mergeCell ref="W98:Y98"/>
    <mergeCell ref="Z98:AB98"/>
    <mergeCell ref="AC98:AE98"/>
    <mergeCell ref="H97:P97"/>
    <mergeCell ref="Q97:S97"/>
    <mergeCell ref="T97:V97"/>
    <mergeCell ref="W97:Y97"/>
    <mergeCell ref="Z97:AB97"/>
    <mergeCell ref="AC97:AE97"/>
    <mergeCell ref="AF97:AH97"/>
    <mergeCell ref="AF98:AH98"/>
    <mergeCell ref="AI98:AK98"/>
    <mergeCell ref="H93:P93"/>
    <mergeCell ref="Q93:S93"/>
    <mergeCell ref="T93:V93"/>
    <mergeCell ref="W93:Y93"/>
    <mergeCell ref="Z93:AB93"/>
    <mergeCell ref="AC93:AE93"/>
    <mergeCell ref="AF93:AH93"/>
    <mergeCell ref="AI93:AK93"/>
    <mergeCell ref="AL93:AN93"/>
    <mergeCell ref="H94:AT94"/>
    <mergeCell ref="H95:AT95"/>
    <mergeCell ref="H96:P96"/>
    <mergeCell ref="Q96:S96"/>
    <mergeCell ref="T96:V96"/>
    <mergeCell ref="W96:Y96"/>
    <mergeCell ref="Z96:AB96"/>
    <mergeCell ref="AC96:AE96"/>
    <mergeCell ref="AF96:AH96"/>
    <mergeCell ref="AI96:AK96"/>
    <mergeCell ref="AL96:AN96"/>
    <mergeCell ref="AO96:AQ96"/>
    <mergeCell ref="AR96:AT96"/>
    <mergeCell ref="AL91:AN91"/>
    <mergeCell ref="AO91:AQ91"/>
    <mergeCell ref="AR91:AT91"/>
    <mergeCell ref="H92:P92"/>
    <mergeCell ref="Q92:S92"/>
    <mergeCell ref="T92:V92"/>
    <mergeCell ref="W92:Y92"/>
    <mergeCell ref="Z92:AB92"/>
    <mergeCell ref="AC92:AE92"/>
    <mergeCell ref="AO92:AQ92"/>
    <mergeCell ref="AR92:AT92"/>
    <mergeCell ref="AO93:AQ93"/>
    <mergeCell ref="AR93:AT93"/>
    <mergeCell ref="AF92:AH92"/>
    <mergeCell ref="AI92:AK92"/>
    <mergeCell ref="AL92:AN92"/>
    <mergeCell ref="AO90:AQ90"/>
    <mergeCell ref="AR90:AT90"/>
    <mergeCell ref="H91:P91"/>
    <mergeCell ref="Q91:S91"/>
    <mergeCell ref="T91:V91"/>
    <mergeCell ref="W91:Y91"/>
    <mergeCell ref="Z91:AB91"/>
    <mergeCell ref="AC91:AE91"/>
    <mergeCell ref="AF91:AH91"/>
    <mergeCell ref="H90:P90"/>
    <mergeCell ref="Q90:S90"/>
    <mergeCell ref="T90:V90"/>
    <mergeCell ref="W90:Y90"/>
    <mergeCell ref="Z90:AB90"/>
    <mergeCell ref="AC90:AE90"/>
    <mergeCell ref="AF90:AH90"/>
    <mergeCell ref="AI90:AK90"/>
    <mergeCell ref="AL90:AN90"/>
    <mergeCell ref="AI91:AK91"/>
    <mergeCell ref="H88:AT88"/>
    <mergeCell ref="H89:P89"/>
    <mergeCell ref="Q89:S89"/>
    <mergeCell ref="T89:V89"/>
    <mergeCell ref="W89:Y89"/>
    <mergeCell ref="Z89:AB89"/>
    <mergeCell ref="AC89:AE89"/>
    <mergeCell ref="AF89:AH89"/>
    <mergeCell ref="AI89:AK89"/>
    <mergeCell ref="AL89:AN89"/>
    <mergeCell ref="AO89:AQ89"/>
    <mergeCell ref="AR89:AT89"/>
    <mergeCell ref="AF86:AH86"/>
    <mergeCell ref="AI86:AK86"/>
    <mergeCell ref="AL86:AN86"/>
    <mergeCell ref="AO86:AQ86"/>
    <mergeCell ref="AR86:AT86"/>
    <mergeCell ref="H87:AT87"/>
    <mergeCell ref="H86:P86"/>
    <mergeCell ref="Q86:S86"/>
    <mergeCell ref="T86:V86"/>
    <mergeCell ref="W86:Y86"/>
    <mergeCell ref="Z86:AB86"/>
    <mergeCell ref="AC86:AE86"/>
    <mergeCell ref="AC85:AE85"/>
    <mergeCell ref="AF85:AH85"/>
    <mergeCell ref="AI85:AK85"/>
    <mergeCell ref="AL85:AN85"/>
    <mergeCell ref="AO85:AQ85"/>
    <mergeCell ref="AR85:AT85"/>
    <mergeCell ref="AF84:AH84"/>
    <mergeCell ref="AI84:AK84"/>
    <mergeCell ref="AL84:AN84"/>
    <mergeCell ref="AO84:AQ84"/>
    <mergeCell ref="AR84:AT84"/>
    <mergeCell ref="AC84:AE84"/>
    <mergeCell ref="H85:P85"/>
    <mergeCell ref="Q85:S85"/>
    <mergeCell ref="T85:V85"/>
    <mergeCell ref="W85:Y85"/>
    <mergeCell ref="Z85:AB85"/>
    <mergeCell ref="H84:P84"/>
    <mergeCell ref="Q84:S84"/>
    <mergeCell ref="T84:V84"/>
    <mergeCell ref="W84:Y84"/>
    <mergeCell ref="Z84:AB84"/>
    <mergeCell ref="AC83:AE83"/>
    <mergeCell ref="AF83:AH83"/>
    <mergeCell ref="AI83:AK83"/>
    <mergeCell ref="AL83:AN83"/>
    <mergeCell ref="AO83:AQ83"/>
    <mergeCell ref="AR83:AT83"/>
    <mergeCell ref="AF82:AH82"/>
    <mergeCell ref="AI82:AK82"/>
    <mergeCell ref="AL82:AN82"/>
    <mergeCell ref="AO82:AQ82"/>
    <mergeCell ref="AR82:AT82"/>
    <mergeCell ref="AC82:AE82"/>
    <mergeCell ref="H83:P83"/>
    <mergeCell ref="Q83:S83"/>
    <mergeCell ref="T83:V83"/>
    <mergeCell ref="W83:Y83"/>
    <mergeCell ref="Z83:AB83"/>
    <mergeCell ref="H82:P82"/>
    <mergeCell ref="Q82:S82"/>
    <mergeCell ref="T82:V82"/>
    <mergeCell ref="W82:Y82"/>
    <mergeCell ref="Z82:AB82"/>
    <mergeCell ref="AC81:AE81"/>
    <mergeCell ref="AF81:AH81"/>
    <mergeCell ref="AI81:AK81"/>
    <mergeCell ref="AL81:AN81"/>
    <mergeCell ref="AO81:AQ81"/>
    <mergeCell ref="AR81:AT81"/>
    <mergeCell ref="AF80:AH80"/>
    <mergeCell ref="AI80:AK80"/>
    <mergeCell ref="AL80:AN80"/>
    <mergeCell ref="AO80:AQ80"/>
    <mergeCell ref="AR80:AT80"/>
    <mergeCell ref="AC80:AE80"/>
    <mergeCell ref="H81:P81"/>
    <mergeCell ref="Q81:S81"/>
    <mergeCell ref="T81:V81"/>
    <mergeCell ref="W81:Y81"/>
    <mergeCell ref="Z81:AB81"/>
    <mergeCell ref="H80:P80"/>
    <mergeCell ref="Q80:S80"/>
    <mergeCell ref="T80:V80"/>
    <mergeCell ref="W80:Y80"/>
    <mergeCell ref="Z80:AB80"/>
    <mergeCell ref="AC79:AE79"/>
    <mergeCell ref="AF79:AH79"/>
    <mergeCell ref="AI79:AK79"/>
    <mergeCell ref="AL79:AN79"/>
    <mergeCell ref="AO79:AQ79"/>
    <mergeCell ref="AR79:AT79"/>
    <mergeCell ref="AF78:AH78"/>
    <mergeCell ref="AI78:AK78"/>
    <mergeCell ref="AL78:AN78"/>
    <mergeCell ref="AO78:AQ78"/>
    <mergeCell ref="AR78:AT78"/>
    <mergeCell ref="AC78:AE78"/>
    <mergeCell ref="H79:P79"/>
    <mergeCell ref="Q79:S79"/>
    <mergeCell ref="T79:V79"/>
    <mergeCell ref="W79:Y79"/>
    <mergeCell ref="Z79:AB79"/>
    <mergeCell ref="H78:P78"/>
    <mergeCell ref="Q78:S78"/>
    <mergeCell ref="T78:V78"/>
    <mergeCell ref="W78:Y78"/>
    <mergeCell ref="Z78:AB78"/>
    <mergeCell ref="AC77:AE77"/>
    <mergeCell ref="AF77:AH77"/>
    <mergeCell ref="AI77:AK77"/>
    <mergeCell ref="AL77:AN77"/>
    <mergeCell ref="AO77:AQ77"/>
    <mergeCell ref="AR77:AT77"/>
    <mergeCell ref="AF76:AH76"/>
    <mergeCell ref="AI76:AK76"/>
    <mergeCell ref="AL76:AN76"/>
    <mergeCell ref="AO76:AQ76"/>
    <mergeCell ref="AR76:AT76"/>
    <mergeCell ref="AC76:AE76"/>
    <mergeCell ref="H77:P77"/>
    <mergeCell ref="Q77:S77"/>
    <mergeCell ref="T77:V77"/>
    <mergeCell ref="W77:Y77"/>
    <mergeCell ref="Z77:AB77"/>
    <mergeCell ref="H76:P76"/>
    <mergeCell ref="Q76:S76"/>
    <mergeCell ref="T76:V76"/>
    <mergeCell ref="W76:Y76"/>
    <mergeCell ref="Z76:AB76"/>
    <mergeCell ref="AC75:AE75"/>
    <mergeCell ref="AF75:AH75"/>
    <mergeCell ref="AI75:AK75"/>
    <mergeCell ref="AL75:AN75"/>
    <mergeCell ref="AO75:AQ75"/>
    <mergeCell ref="AR75:AT75"/>
    <mergeCell ref="AF74:AH74"/>
    <mergeCell ref="AI74:AK74"/>
    <mergeCell ref="AL74:AN74"/>
    <mergeCell ref="AO74:AQ74"/>
    <mergeCell ref="AR74:AT74"/>
    <mergeCell ref="AC74:AE74"/>
    <mergeCell ref="H75:P75"/>
    <mergeCell ref="Q75:S75"/>
    <mergeCell ref="T75:V75"/>
    <mergeCell ref="W75:Y75"/>
    <mergeCell ref="Z75:AB75"/>
    <mergeCell ref="H74:P74"/>
    <mergeCell ref="Q74:S74"/>
    <mergeCell ref="T74:V74"/>
    <mergeCell ref="W74:Y74"/>
    <mergeCell ref="Z74:AB74"/>
    <mergeCell ref="AF70:AH72"/>
    <mergeCell ref="AI70:AK72"/>
    <mergeCell ref="AL70:AN72"/>
    <mergeCell ref="AO70:AQ72"/>
    <mergeCell ref="AR70:AT72"/>
    <mergeCell ref="H73:AT73"/>
    <mergeCell ref="H70:P72"/>
    <mergeCell ref="Q70:S72"/>
    <mergeCell ref="T70:V72"/>
    <mergeCell ref="W70:Y72"/>
    <mergeCell ref="Z70:AB72"/>
    <mergeCell ref="AC70:AE72"/>
    <mergeCell ref="AF68:AH68"/>
    <mergeCell ref="AI68:AK68"/>
    <mergeCell ref="AL68:AN68"/>
    <mergeCell ref="AO68:AQ68"/>
    <mergeCell ref="AR68:AT68"/>
    <mergeCell ref="H69:AT69"/>
    <mergeCell ref="H68:P68"/>
    <mergeCell ref="Q68:S68"/>
    <mergeCell ref="T68:V68"/>
    <mergeCell ref="W68:Y68"/>
    <mergeCell ref="Z68:AB68"/>
    <mergeCell ref="AC68:AE68"/>
    <mergeCell ref="AF66:AH66"/>
    <mergeCell ref="AI66:AK66"/>
    <mergeCell ref="AL66:AN66"/>
    <mergeCell ref="AO66:AQ66"/>
    <mergeCell ref="AR66:AT66"/>
    <mergeCell ref="H67:AT67"/>
    <mergeCell ref="H66:P66"/>
    <mergeCell ref="Q66:S66"/>
    <mergeCell ref="T66:V66"/>
    <mergeCell ref="W66:Y66"/>
    <mergeCell ref="Z66:AB66"/>
    <mergeCell ref="AC66:AE66"/>
    <mergeCell ref="AC65:AE65"/>
    <mergeCell ref="AF65:AH65"/>
    <mergeCell ref="AI65:AK65"/>
    <mergeCell ref="AL65:AN65"/>
    <mergeCell ref="AO65:AQ65"/>
    <mergeCell ref="AR65:AT65"/>
    <mergeCell ref="AF64:AH64"/>
    <mergeCell ref="AI64:AK64"/>
    <mergeCell ref="AL64:AN64"/>
    <mergeCell ref="AO64:AQ64"/>
    <mergeCell ref="AR64:AT64"/>
    <mergeCell ref="AC64:AE64"/>
    <mergeCell ref="H65:P65"/>
    <mergeCell ref="Q65:S65"/>
    <mergeCell ref="T65:V65"/>
    <mergeCell ref="W65:Y65"/>
    <mergeCell ref="Z65:AB65"/>
    <mergeCell ref="H64:P64"/>
    <mergeCell ref="Q64:S64"/>
    <mergeCell ref="T64:V64"/>
    <mergeCell ref="W64:Y64"/>
    <mergeCell ref="Z64:AB64"/>
    <mergeCell ref="AO60:AQ60"/>
    <mergeCell ref="AR60:AT60"/>
    <mergeCell ref="H63:P63"/>
    <mergeCell ref="Q63:S63"/>
    <mergeCell ref="T63:V63"/>
    <mergeCell ref="W63:Y63"/>
    <mergeCell ref="Z63:AB63"/>
    <mergeCell ref="H62:P62"/>
    <mergeCell ref="Q62:S62"/>
    <mergeCell ref="T62:V62"/>
    <mergeCell ref="W62:Y62"/>
    <mergeCell ref="Z62:AB62"/>
    <mergeCell ref="AC63:AE63"/>
    <mergeCell ref="AF63:AH63"/>
    <mergeCell ref="AI63:AK63"/>
    <mergeCell ref="AL63:AN63"/>
    <mergeCell ref="AO63:AQ63"/>
    <mergeCell ref="AR63:AT63"/>
    <mergeCell ref="AF62:AH62"/>
    <mergeCell ref="AI62:AK62"/>
    <mergeCell ref="AL62:AN62"/>
    <mergeCell ref="AO62:AQ62"/>
    <mergeCell ref="AR62:AT62"/>
    <mergeCell ref="AC62:AE62"/>
    <mergeCell ref="H61:P61"/>
    <mergeCell ref="Q61:S61"/>
    <mergeCell ref="T61:V61"/>
    <mergeCell ref="W61:Y61"/>
    <mergeCell ref="Z61:AB61"/>
    <mergeCell ref="AO57:AQ57"/>
    <mergeCell ref="AR57:AT57"/>
    <mergeCell ref="H58:AT58"/>
    <mergeCell ref="H59:AT59"/>
    <mergeCell ref="H60:P60"/>
    <mergeCell ref="Q60:S60"/>
    <mergeCell ref="T60:V60"/>
    <mergeCell ref="W60:Y60"/>
    <mergeCell ref="Z60:AB60"/>
    <mergeCell ref="AC60:AE60"/>
    <mergeCell ref="AC61:AE61"/>
    <mergeCell ref="AF61:AH61"/>
    <mergeCell ref="AI61:AK61"/>
    <mergeCell ref="AL61:AN61"/>
    <mergeCell ref="AO61:AQ61"/>
    <mergeCell ref="AR61:AT61"/>
    <mergeCell ref="AF60:AH60"/>
    <mergeCell ref="AI60:AK60"/>
    <mergeCell ref="AL60:AN60"/>
    <mergeCell ref="H56:AT56"/>
    <mergeCell ref="H57:P57"/>
    <mergeCell ref="Q57:S57"/>
    <mergeCell ref="T57:V57"/>
    <mergeCell ref="W57:Y57"/>
    <mergeCell ref="Z57:AB57"/>
    <mergeCell ref="AC57:AE57"/>
    <mergeCell ref="AF57:AH57"/>
    <mergeCell ref="AI57:AK57"/>
    <mergeCell ref="AL57:AN57"/>
    <mergeCell ref="AF54:AH54"/>
    <mergeCell ref="AI54:AK54"/>
    <mergeCell ref="AL54:AN54"/>
    <mergeCell ref="AO54:AQ54"/>
    <mergeCell ref="AR54:AT54"/>
    <mergeCell ref="H55:AT55"/>
    <mergeCell ref="AO51:AQ51"/>
    <mergeCell ref="AR51:AT51"/>
    <mergeCell ref="H52:AT52"/>
    <mergeCell ref="H53:AT53"/>
    <mergeCell ref="H54:P54"/>
    <mergeCell ref="Q54:S54"/>
    <mergeCell ref="T54:V54"/>
    <mergeCell ref="W54:Y54"/>
    <mergeCell ref="Z54:AB54"/>
    <mergeCell ref="AC54:AE54"/>
    <mergeCell ref="H50:AT50"/>
    <mergeCell ref="H51:P51"/>
    <mergeCell ref="Q51:S51"/>
    <mergeCell ref="T51:V51"/>
    <mergeCell ref="W51:Y51"/>
    <mergeCell ref="Z51:AB51"/>
    <mergeCell ref="AC51:AE51"/>
    <mergeCell ref="AF51:AH51"/>
    <mergeCell ref="AI51:AK51"/>
    <mergeCell ref="AL51:AN51"/>
    <mergeCell ref="AO45:AQ45"/>
    <mergeCell ref="AF48:AH48"/>
    <mergeCell ref="AI48:AK48"/>
    <mergeCell ref="AL48:AN48"/>
    <mergeCell ref="AO48:AQ48"/>
    <mergeCell ref="AR48:AT48"/>
    <mergeCell ref="H49:AT49"/>
    <mergeCell ref="H48:P48"/>
    <mergeCell ref="Q48:S48"/>
    <mergeCell ref="T48:V48"/>
    <mergeCell ref="W48:Y48"/>
    <mergeCell ref="Z48:AB48"/>
    <mergeCell ref="AC48:AE48"/>
    <mergeCell ref="H45:P45"/>
    <mergeCell ref="Q45:S45"/>
    <mergeCell ref="T45:V45"/>
    <mergeCell ref="W45:Y45"/>
    <mergeCell ref="Z45:AB45"/>
    <mergeCell ref="AC45:AE45"/>
    <mergeCell ref="AF45:AH45"/>
    <mergeCell ref="AI45:AK45"/>
    <mergeCell ref="AL45:AN45"/>
    <mergeCell ref="AF46:AH46"/>
    <mergeCell ref="AI46:AK46"/>
    <mergeCell ref="AL46:AN46"/>
    <mergeCell ref="AO46:AQ46"/>
    <mergeCell ref="AR46:AT46"/>
    <mergeCell ref="H47:AT47"/>
    <mergeCell ref="H46:P46"/>
    <mergeCell ref="Q46:S46"/>
    <mergeCell ref="T46:V46"/>
    <mergeCell ref="W46:Y46"/>
    <mergeCell ref="Z46:AB46"/>
    <mergeCell ref="AC46:AE46"/>
    <mergeCell ref="AO43:AQ43"/>
    <mergeCell ref="AR43:AT43"/>
    <mergeCell ref="H44:P44"/>
    <mergeCell ref="Q44:S44"/>
    <mergeCell ref="T44:V44"/>
    <mergeCell ref="W44:Y44"/>
    <mergeCell ref="Z44:AB44"/>
    <mergeCell ref="AC44:AE44"/>
    <mergeCell ref="AO44:AQ44"/>
    <mergeCell ref="AR44:AT44"/>
    <mergeCell ref="AR45:AT45"/>
    <mergeCell ref="AF44:AH44"/>
    <mergeCell ref="AI44:AK44"/>
    <mergeCell ref="AL44:AN44"/>
    <mergeCell ref="AO42:AQ42"/>
    <mergeCell ref="AR42:AT42"/>
    <mergeCell ref="H43:P43"/>
    <mergeCell ref="Q43:S43"/>
    <mergeCell ref="T43:V43"/>
    <mergeCell ref="W43:Y43"/>
    <mergeCell ref="Z43:AB43"/>
    <mergeCell ref="AC43:AE43"/>
    <mergeCell ref="AF43:AH43"/>
    <mergeCell ref="H42:P42"/>
    <mergeCell ref="Q42:S42"/>
    <mergeCell ref="T42:V42"/>
    <mergeCell ref="W42:Y42"/>
    <mergeCell ref="Z42:AB42"/>
    <mergeCell ref="AC42:AE42"/>
    <mergeCell ref="AF42:AH42"/>
    <mergeCell ref="AI42:AK42"/>
    <mergeCell ref="AL42:AN42"/>
    <mergeCell ref="AI43:AK43"/>
    <mergeCell ref="AL43:AN43"/>
    <mergeCell ref="H40:AT40"/>
    <mergeCell ref="H41:P41"/>
    <mergeCell ref="Q41:S41"/>
    <mergeCell ref="T41:V41"/>
    <mergeCell ref="W41:Y41"/>
    <mergeCell ref="Z41:AB41"/>
    <mergeCell ref="AC41:AE41"/>
    <mergeCell ref="AF41:AH41"/>
    <mergeCell ref="AI41:AK41"/>
    <mergeCell ref="AL41:AN41"/>
    <mergeCell ref="AO41:AQ41"/>
    <mergeCell ref="AR41:AT41"/>
    <mergeCell ref="AC39:AE39"/>
    <mergeCell ref="AF39:AH39"/>
    <mergeCell ref="AI39:AK39"/>
    <mergeCell ref="AL39:AN39"/>
    <mergeCell ref="AO39:AQ39"/>
    <mergeCell ref="AR39:AT39"/>
    <mergeCell ref="AF38:AH38"/>
    <mergeCell ref="AI38:AK38"/>
    <mergeCell ref="AL38:AN38"/>
    <mergeCell ref="AO38:AQ38"/>
    <mergeCell ref="AR38:AT38"/>
    <mergeCell ref="AC38:AE38"/>
    <mergeCell ref="H39:P39"/>
    <mergeCell ref="Q39:S39"/>
    <mergeCell ref="T39:V39"/>
    <mergeCell ref="W39:Y39"/>
    <mergeCell ref="Z39:AB39"/>
    <mergeCell ref="H38:P38"/>
    <mergeCell ref="Q38:S38"/>
    <mergeCell ref="T38:V38"/>
    <mergeCell ref="W38:Y38"/>
    <mergeCell ref="Z38:AB38"/>
    <mergeCell ref="AF37:AH37"/>
    <mergeCell ref="AI37:AK37"/>
    <mergeCell ref="AL37:AN37"/>
    <mergeCell ref="AO37:AQ37"/>
    <mergeCell ref="AR37:AT37"/>
    <mergeCell ref="AF36:AH36"/>
    <mergeCell ref="AI36:AK36"/>
    <mergeCell ref="AL36:AN36"/>
    <mergeCell ref="AO36:AQ36"/>
    <mergeCell ref="AR36:AT36"/>
    <mergeCell ref="H34:AT34"/>
    <mergeCell ref="H35:P35"/>
    <mergeCell ref="Q35:S35"/>
    <mergeCell ref="T35:V35"/>
    <mergeCell ref="W35:Y35"/>
    <mergeCell ref="Z35:AB35"/>
    <mergeCell ref="AC35:AE35"/>
    <mergeCell ref="AF35:AH35"/>
    <mergeCell ref="H37:P37"/>
    <mergeCell ref="Q37:S37"/>
    <mergeCell ref="T37:V37"/>
    <mergeCell ref="W37:Y37"/>
    <mergeCell ref="Z37:AB37"/>
    <mergeCell ref="AI35:AK35"/>
    <mergeCell ref="AL35:AN35"/>
    <mergeCell ref="AO35:AQ35"/>
    <mergeCell ref="AR35:AT35"/>
    <mergeCell ref="H36:P36"/>
    <mergeCell ref="Q36:S36"/>
    <mergeCell ref="T36:V36"/>
    <mergeCell ref="W36:Y36"/>
    <mergeCell ref="Z36:AB36"/>
    <mergeCell ref="AC36:AE36"/>
    <mergeCell ref="AC37:AE37"/>
    <mergeCell ref="H32:AT32"/>
    <mergeCell ref="H33:P33"/>
    <mergeCell ref="Q33:S33"/>
    <mergeCell ref="T33:V33"/>
    <mergeCell ref="W33:Y33"/>
    <mergeCell ref="Z33:AB33"/>
    <mergeCell ref="AC33:AE33"/>
    <mergeCell ref="AF33:AH33"/>
    <mergeCell ref="AI33:AK33"/>
    <mergeCell ref="AL33:AN33"/>
    <mergeCell ref="AO33:AQ33"/>
    <mergeCell ref="AR33:AT33"/>
    <mergeCell ref="AC31:AE31"/>
    <mergeCell ref="AF31:AH31"/>
    <mergeCell ref="AI31:AK31"/>
    <mergeCell ref="AL31:AN31"/>
    <mergeCell ref="AO31:AQ31"/>
    <mergeCell ref="AR31:AT31"/>
    <mergeCell ref="AF30:AH30"/>
    <mergeCell ref="AI30:AK30"/>
    <mergeCell ref="AL30:AN30"/>
    <mergeCell ref="AO30:AQ30"/>
    <mergeCell ref="AR30:AT30"/>
    <mergeCell ref="AC30:AE30"/>
    <mergeCell ref="H31:P31"/>
    <mergeCell ref="Q31:S31"/>
    <mergeCell ref="T31:V31"/>
    <mergeCell ref="W31:Y31"/>
    <mergeCell ref="Z31:AB31"/>
    <mergeCell ref="H30:P30"/>
    <mergeCell ref="Q30:S30"/>
    <mergeCell ref="T30:V30"/>
    <mergeCell ref="W30:Y30"/>
    <mergeCell ref="Z30:AB30"/>
    <mergeCell ref="AC29:AE29"/>
    <mergeCell ref="AF29:AH29"/>
    <mergeCell ref="AI29:AK29"/>
    <mergeCell ref="AL29:AN29"/>
    <mergeCell ref="AO29:AQ29"/>
    <mergeCell ref="AR29:AT29"/>
    <mergeCell ref="AF28:AH28"/>
    <mergeCell ref="AI28:AK28"/>
    <mergeCell ref="AL28:AN28"/>
    <mergeCell ref="AO28:AQ28"/>
    <mergeCell ref="AR28:AT28"/>
    <mergeCell ref="AC28:AE28"/>
    <mergeCell ref="H29:P29"/>
    <mergeCell ref="Q29:S29"/>
    <mergeCell ref="T29:V29"/>
    <mergeCell ref="W29:Y29"/>
    <mergeCell ref="Z29:AB29"/>
    <mergeCell ref="H28:P28"/>
    <mergeCell ref="Q28:S28"/>
    <mergeCell ref="T28:V28"/>
    <mergeCell ref="W28:Y28"/>
    <mergeCell ref="Z28:AB28"/>
    <mergeCell ref="AC27:AE27"/>
    <mergeCell ref="AF27:AH27"/>
    <mergeCell ref="AI27:AK27"/>
    <mergeCell ref="AL27:AN27"/>
    <mergeCell ref="AO27:AQ27"/>
    <mergeCell ref="AR27:AT27"/>
    <mergeCell ref="AF26:AH26"/>
    <mergeCell ref="AI26:AK26"/>
    <mergeCell ref="AL26:AN26"/>
    <mergeCell ref="AO26:AQ26"/>
    <mergeCell ref="AR26:AT26"/>
    <mergeCell ref="AC26:AE26"/>
    <mergeCell ref="H27:P27"/>
    <mergeCell ref="Q27:S27"/>
    <mergeCell ref="T27:V27"/>
    <mergeCell ref="W27:Y27"/>
    <mergeCell ref="Z27:AB27"/>
    <mergeCell ref="H26:P26"/>
    <mergeCell ref="Q26:S26"/>
    <mergeCell ref="T26:V26"/>
    <mergeCell ref="W26:Y26"/>
    <mergeCell ref="Z26:AB26"/>
    <mergeCell ref="AF24:AH24"/>
    <mergeCell ref="AI24:AK24"/>
    <mergeCell ref="AL24:AN24"/>
    <mergeCell ref="AO24:AQ24"/>
    <mergeCell ref="AR24:AT24"/>
    <mergeCell ref="H25:AT25"/>
    <mergeCell ref="H24:P24"/>
    <mergeCell ref="Q24:S24"/>
    <mergeCell ref="T24:V24"/>
    <mergeCell ref="W24:Y24"/>
    <mergeCell ref="Z24:AB24"/>
    <mergeCell ref="AC24:AE24"/>
    <mergeCell ref="AO20:AQ20"/>
    <mergeCell ref="AR20:AT20"/>
    <mergeCell ref="H23:P23"/>
    <mergeCell ref="Q23:S23"/>
    <mergeCell ref="T23:V23"/>
    <mergeCell ref="W23:Y23"/>
    <mergeCell ref="Z23:AB23"/>
    <mergeCell ref="H22:P22"/>
    <mergeCell ref="Q22:S22"/>
    <mergeCell ref="T22:V22"/>
    <mergeCell ref="W22:Y22"/>
    <mergeCell ref="Z22:AB22"/>
    <mergeCell ref="AC23:AE23"/>
    <mergeCell ref="AF23:AH23"/>
    <mergeCell ref="AI23:AK23"/>
    <mergeCell ref="AL23:AN23"/>
    <mergeCell ref="AO23:AQ23"/>
    <mergeCell ref="AR23:AT23"/>
    <mergeCell ref="AF22:AH22"/>
    <mergeCell ref="AI22:AK22"/>
    <mergeCell ref="AL22:AN22"/>
    <mergeCell ref="AO22:AQ22"/>
    <mergeCell ref="AR22:AT22"/>
    <mergeCell ref="AC22:AE22"/>
    <mergeCell ref="H21:P21"/>
    <mergeCell ref="Q21:S21"/>
    <mergeCell ref="T21:V21"/>
    <mergeCell ref="W21:Y21"/>
    <mergeCell ref="Z21:AB21"/>
    <mergeCell ref="AL18:AN18"/>
    <mergeCell ref="AO18:AQ18"/>
    <mergeCell ref="AR18:AT18"/>
    <mergeCell ref="H19:AT19"/>
    <mergeCell ref="H20:P20"/>
    <mergeCell ref="Q20:S20"/>
    <mergeCell ref="T20:V20"/>
    <mergeCell ref="W20:Y20"/>
    <mergeCell ref="Z20:AB20"/>
    <mergeCell ref="AC20:AE20"/>
    <mergeCell ref="AC21:AE21"/>
    <mergeCell ref="AF21:AH21"/>
    <mergeCell ref="AI21:AK21"/>
    <mergeCell ref="AL21:AN21"/>
    <mergeCell ref="AO21:AQ21"/>
    <mergeCell ref="AR21:AT21"/>
    <mergeCell ref="AF20:AH20"/>
    <mergeCell ref="AI20:AK20"/>
    <mergeCell ref="AL20:AN20"/>
    <mergeCell ref="H16:AT16"/>
    <mergeCell ref="H17:AT17"/>
    <mergeCell ref="H18:P18"/>
    <mergeCell ref="Q18:S18"/>
    <mergeCell ref="T18:V18"/>
    <mergeCell ref="W18:Y18"/>
    <mergeCell ref="Z18:AB18"/>
    <mergeCell ref="AC18:AE18"/>
    <mergeCell ref="AF18:AH18"/>
    <mergeCell ref="AI18:AK18"/>
    <mergeCell ref="AO12:AQ12"/>
    <mergeCell ref="AR12:AT12"/>
    <mergeCell ref="H15:P15"/>
    <mergeCell ref="Q15:S15"/>
    <mergeCell ref="T15:V15"/>
    <mergeCell ref="W15:Y15"/>
    <mergeCell ref="Z15:AB15"/>
    <mergeCell ref="H14:P14"/>
    <mergeCell ref="Q14:S14"/>
    <mergeCell ref="T14:V14"/>
    <mergeCell ref="W14:Y14"/>
    <mergeCell ref="Z14:AB14"/>
    <mergeCell ref="AC15:AE15"/>
    <mergeCell ref="AF15:AH15"/>
    <mergeCell ref="AI15:AK15"/>
    <mergeCell ref="AL15:AN15"/>
    <mergeCell ref="AO15:AQ15"/>
    <mergeCell ref="AR15:AT15"/>
    <mergeCell ref="AF14:AH14"/>
    <mergeCell ref="AI14:AK14"/>
    <mergeCell ref="AL14:AN14"/>
    <mergeCell ref="AO14:AQ14"/>
    <mergeCell ref="AR14:AT14"/>
    <mergeCell ref="AC14:AE14"/>
    <mergeCell ref="H13:P13"/>
    <mergeCell ref="Q13:S13"/>
    <mergeCell ref="T13:V13"/>
    <mergeCell ref="W13:Y13"/>
    <mergeCell ref="Z13:AB13"/>
    <mergeCell ref="AI11:AK11"/>
    <mergeCell ref="AL11:AN11"/>
    <mergeCell ref="AO11:AQ11"/>
    <mergeCell ref="AR11:AT11"/>
    <mergeCell ref="H12:P12"/>
    <mergeCell ref="Q12:S12"/>
    <mergeCell ref="T12:V12"/>
    <mergeCell ref="W12:Y12"/>
    <mergeCell ref="Z12:AB12"/>
    <mergeCell ref="AC12:AE12"/>
    <mergeCell ref="AC13:AE13"/>
    <mergeCell ref="AF13:AH13"/>
    <mergeCell ref="AI13:AK13"/>
    <mergeCell ref="AL13:AN13"/>
    <mergeCell ref="AO13:AQ13"/>
    <mergeCell ref="AR13:AT13"/>
    <mergeCell ref="AF12:AH12"/>
    <mergeCell ref="AI12:AK12"/>
    <mergeCell ref="AL12:AN12"/>
    <mergeCell ref="AO7:AQ9"/>
    <mergeCell ref="AR7:AT9"/>
    <mergeCell ref="H10:AT10"/>
    <mergeCell ref="AI7:AK9"/>
    <mergeCell ref="AL7:AN9"/>
    <mergeCell ref="H1:V1"/>
    <mergeCell ref="H2:V2"/>
    <mergeCell ref="H3:V3"/>
    <mergeCell ref="H11:P11"/>
    <mergeCell ref="Q11:S11"/>
    <mergeCell ref="T11:V11"/>
    <mergeCell ref="W11:Y11"/>
    <mergeCell ref="Z11:AB11"/>
    <mergeCell ref="AC11:AE11"/>
    <mergeCell ref="AF11:AH11"/>
    <mergeCell ref="W7:Y9"/>
    <mergeCell ref="Z7:AB9"/>
    <mergeCell ref="AC7:AE9"/>
    <mergeCell ref="AF7:AH9"/>
    <mergeCell ref="H7:P9"/>
    <mergeCell ref="Q7:S9"/>
    <mergeCell ref="T7:V9"/>
  </mergeCells>
  <conditionalFormatting sqref="H2">
    <cfRule type="containsText" dxfId="14" priority="4" operator="containsText" text="▲">
      <formula>NOT(ISERROR(SEARCH("▲",H2)))</formula>
    </cfRule>
  </conditionalFormatting>
  <conditionalFormatting sqref="Q11:AQ14 Q20:AQ24 Q26:AQ30 Q35:AQ39 Q41:AQ45 Q51:AQ51 Q54:AQ54 Q57:AQ57 Q60:AQ65 Q74:AQ85 Q89:AQ92 Q96:AQ97 Q103:AQ108">
    <cfRule type="cellIs" dxfId="13" priority="3" operator="notEqual">
      <formula>0</formula>
    </cfRule>
  </conditionalFormatting>
  <conditionalFormatting sqref="AR113:AT114">
    <cfRule type="cellIs" dxfId="12" priority="1" operator="notEqual">
      <formula>0</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5" operator="containsText" id="{D1946594-274C-464A-A5B2-EA2389BFE5E5}">
            <xm:f>NOT(ISERROR(SEARCH("Select",H1)))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H1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E8E5D99-F625-4233-8B16-9D1159FEDAF5}">
          <x14:formula1>
            <xm:f>Hidden!$A$2:$A$80</xm:f>
          </x14:formula1>
          <xm:sqref>H1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AF92-4A59-41A9-8EC7-E344DC2CD127}">
  <sheetPr codeName="Sheet7">
    <tabColor theme="6"/>
  </sheetPr>
  <dimension ref="A1:AW109"/>
  <sheetViews>
    <sheetView zoomScale="80" zoomScaleNormal="80" workbookViewId="0"/>
  </sheetViews>
  <sheetFormatPr defaultColWidth="8.1640625" defaultRowHeight="13.8" x14ac:dyDescent="0.3"/>
  <cols>
    <col min="1" max="38" width="6.6640625" style="28" customWidth="1"/>
    <col min="39" max="39" width="6.58203125" style="28" customWidth="1"/>
    <col min="40" max="49" width="6.6640625" style="28" customWidth="1"/>
    <col min="50" max="50" width="7.58203125" style="28" customWidth="1"/>
    <col min="51" max="58" width="7" style="28" customWidth="1"/>
    <col min="59" max="16384" width="8.1640625" style="28"/>
  </cols>
  <sheetData>
    <row r="1" spans="1:49" s="57" customFormat="1" ht="30" customHeight="1" x14ac:dyDescent="0.3">
      <c r="A1" s="56"/>
      <c r="B1" s="56"/>
      <c r="C1" s="56"/>
      <c r="D1" s="56"/>
      <c r="E1" s="56"/>
      <c r="F1" s="56"/>
      <c r="G1" s="56"/>
      <c r="H1" s="238"/>
      <c r="I1" s="239"/>
      <c r="J1" s="239"/>
      <c r="K1" s="239"/>
      <c r="L1" s="239"/>
      <c r="M1" s="239"/>
      <c r="N1" s="239"/>
      <c r="O1" s="239"/>
      <c r="P1" s="239"/>
      <c r="Q1" s="239"/>
      <c r="R1" s="239"/>
      <c r="S1" s="239"/>
      <c r="T1" s="239"/>
      <c r="U1" s="239"/>
      <c r="V1" s="240"/>
      <c r="W1" s="56"/>
      <c r="X1" s="56"/>
      <c r="Y1" s="56"/>
      <c r="Z1" s="312">
        <f>SUMIFS(Input[FTSE], Input[Institution Name],$H$1)</f>
        <v>0</v>
      </c>
      <c r="AA1" s="312"/>
      <c r="AB1" s="312"/>
      <c r="AC1" s="313" t="s">
        <v>737</v>
      </c>
      <c r="AD1" s="313"/>
      <c r="AE1" s="313"/>
      <c r="AF1" s="56"/>
      <c r="AG1" s="56"/>
      <c r="AH1" s="56"/>
      <c r="AI1" s="56"/>
      <c r="AJ1" s="56"/>
      <c r="AK1" s="56"/>
      <c r="AL1" s="56"/>
      <c r="AM1" s="56"/>
      <c r="AN1" s="56"/>
      <c r="AO1" s="56"/>
      <c r="AP1" s="56"/>
      <c r="AQ1" s="56"/>
      <c r="AR1" s="56"/>
      <c r="AS1" s="56"/>
      <c r="AT1" s="56"/>
      <c r="AU1" s="56"/>
      <c r="AV1" s="56"/>
      <c r="AW1" s="56"/>
    </row>
    <row r="2" spans="1:49" s="57" customFormat="1" ht="30" customHeight="1" x14ac:dyDescent="0.3">
      <c r="A2" s="56"/>
      <c r="B2" s="56"/>
      <c r="C2" s="56"/>
      <c r="D2" s="56"/>
      <c r="E2" s="56"/>
      <c r="F2" s="56"/>
      <c r="G2" s="56"/>
      <c r="H2" s="241" t="str">
        <f>IF(ISBLANK($H$1),"▲ Select institution name from dropdown ▲",VLOOKUP($H$1,Index[],2,FALSE))</f>
        <v>▲ Select institution name from dropdown ▲</v>
      </c>
      <c r="I2" s="242"/>
      <c r="J2" s="242"/>
      <c r="K2" s="242"/>
      <c r="L2" s="242"/>
      <c r="M2" s="242"/>
      <c r="N2" s="242"/>
      <c r="O2" s="242"/>
      <c r="P2" s="242"/>
      <c r="Q2" s="242"/>
      <c r="R2" s="242"/>
      <c r="S2" s="242"/>
      <c r="T2" s="242"/>
      <c r="U2" s="242"/>
      <c r="V2" s="243"/>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row>
    <row r="3" spans="1:49" s="57" customFormat="1" ht="30" customHeight="1" x14ac:dyDescent="0.3">
      <c r="A3" s="56"/>
      <c r="B3" s="56"/>
      <c r="C3" s="56"/>
      <c r="D3" s="56"/>
      <c r="E3" s="56"/>
      <c r="F3" s="56"/>
      <c r="G3" s="56"/>
      <c r="H3" s="244" t="s">
        <v>68</v>
      </c>
      <c r="I3" s="245"/>
      <c r="J3" s="245"/>
      <c r="K3" s="245"/>
      <c r="L3" s="245"/>
      <c r="M3" s="245"/>
      <c r="N3" s="245"/>
      <c r="O3" s="245"/>
      <c r="P3" s="245"/>
      <c r="Q3" s="245"/>
      <c r="R3" s="245"/>
      <c r="S3" s="245"/>
      <c r="T3" s="245"/>
      <c r="U3" s="245"/>
      <c r="V3" s="245"/>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row>
    <row r="4" spans="1:49" s="57" customFormat="1" ht="30" customHeight="1" x14ac:dyDescent="0.4">
      <c r="A4" s="56"/>
      <c r="B4" s="56"/>
      <c r="C4" s="56"/>
      <c r="D4" s="56"/>
      <c r="E4" s="56"/>
      <c r="F4" s="56"/>
      <c r="G4" s="56"/>
      <c r="H4" s="58"/>
      <c r="I4" s="58"/>
      <c r="J4" s="58"/>
      <c r="K4" s="58"/>
      <c r="L4" s="58"/>
      <c r="M4" s="58"/>
      <c r="N4" s="58"/>
      <c r="O4" s="58"/>
      <c r="P4" s="58"/>
      <c r="Q4" s="58"/>
      <c r="R4" s="58"/>
      <c r="S4" s="58"/>
      <c r="T4" s="58"/>
      <c r="U4" s="58"/>
      <c r="V4" s="58"/>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row>
    <row r="5" spans="1:49" s="57" customFormat="1" ht="30" customHeight="1" x14ac:dyDescent="0.3">
      <c r="A5" s="56"/>
      <c r="B5" s="56"/>
      <c r="C5" s="56"/>
      <c r="D5" s="56"/>
      <c r="E5" s="56"/>
      <c r="F5" s="56"/>
      <c r="G5" s="56"/>
      <c r="H5" s="293" t="s">
        <v>981</v>
      </c>
      <c r="I5" s="293"/>
      <c r="J5" s="293"/>
      <c r="K5" s="293"/>
      <c r="L5" s="293"/>
      <c r="M5" s="293"/>
      <c r="N5" s="293"/>
      <c r="O5" s="293"/>
      <c r="P5" s="293"/>
      <c r="Q5" s="293"/>
      <c r="R5" s="293"/>
      <c r="S5" s="293"/>
      <c r="T5" s="293"/>
      <c r="U5" s="293"/>
      <c r="V5" s="293"/>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row>
    <row r="6" spans="1:49" s="57" customFormat="1" ht="30" customHeight="1" x14ac:dyDescent="0.3">
      <c r="A6" s="56"/>
      <c r="B6" s="56"/>
      <c r="C6" s="56"/>
      <c r="D6" s="56"/>
      <c r="E6" s="56"/>
      <c r="F6" s="56"/>
      <c r="G6" s="56"/>
      <c r="H6" s="293"/>
      <c r="I6" s="293"/>
      <c r="J6" s="293"/>
      <c r="K6" s="293"/>
      <c r="L6" s="293"/>
      <c r="M6" s="293"/>
      <c r="N6" s="293"/>
      <c r="O6" s="293"/>
      <c r="P6" s="293"/>
      <c r="Q6" s="293"/>
      <c r="R6" s="293"/>
      <c r="S6" s="293"/>
      <c r="T6" s="293"/>
      <c r="U6" s="293"/>
      <c r="V6" s="293"/>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row>
    <row r="7" spans="1:49" s="57" customFormat="1" ht="30" customHeight="1" x14ac:dyDescent="0.3">
      <c r="A7" s="56"/>
      <c r="B7" s="56"/>
      <c r="C7" s="56"/>
      <c r="D7" s="56"/>
      <c r="E7" s="56"/>
      <c r="F7" s="56"/>
      <c r="G7" s="56"/>
      <c r="H7" s="293"/>
      <c r="I7" s="293"/>
      <c r="J7" s="293"/>
      <c r="K7" s="293"/>
      <c r="L7" s="293"/>
      <c r="M7" s="293"/>
      <c r="N7" s="293"/>
      <c r="O7" s="293"/>
      <c r="P7" s="293"/>
      <c r="Q7" s="293"/>
      <c r="R7" s="293"/>
      <c r="S7" s="293"/>
      <c r="T7" s="293"/>
      <c r="U7" s="293"/>
      <c r="V7" s="293"/>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s="57" customFormat="1" ht="30" customHeight="1" thickBot="1" x14ac:dyDescent="0.35">
      <c r="A8" s="56"/>
      <c r="B8" s="56"/>
      <c r="C8" s="56"/>
      <c r="D8" s="56"/>
      <c r="E8" s="56"/>
      <c r="F8" s="56"/>
      <c r="G8" s="56"/>
      <c r="H8" s="163" t="s">
        <v>875</v>
      </c>
      <c r="I8" s="161"/>
      <c r="J8" s="161"/>
      <c r="K8" s="161"/>
      <c r="L8" s="161"/>
      <c r="M8" s="161"/>
      <c r="N8" s="161"/>
      <c r="O8" s="161"/>
      <c r="P8" s="161"/>
      <c r="Q8" s="161"/>
      <c r="R8" s="161"/>
      <c r="S8" s="161"/>
      <c r="T8" s="161"/>
      <c r="U8" s="161"/>
      <c r="V8" s="162"/>
      <c r="W8" s="59"/>
      <c r="X8" s="397" t="s">
        <v>983</v>
      </c>
      <c r="Y8" s="397"/>
      <c r="Z8" s="397"/>
      <c r="AA8" s="397"/>
      <c r="AB8" s="397"/>
      <c r="AC8" s="397"/>
      <c r="AD8" s="397"/>
      <c r="AE8" s="397"/>
      <c r="AF8" s="397"/>
      <c r="AG8" s="397"/>
      <c r="AH8" s="397"/>
      <c r="AI8" s="397"/>
      <c r="AJ8" s="397"/>
      <c r="AK8" s="56"/>
      <c r="AL8" s="56"/>
      <c r="AM8" s="56"/>
      <c r="AN8" s="56"/>
      <c r="AO8" s="56"/>
      <c r="AP8" s="56"/>
      <c r="AQ8" s="56"/>
      <c r="AR8" s="56"/>
      <c r="AS8" s="56"/>
      <c r="AT8" s="56"/>
      <c r="AU8" s="56"/>
      <c r="AV8" s="56"/>
      <c r="AW8" s="56"/>
    </row>
    <row r="9" spans="1:49" s="57" customFormat="1" ht="30" customHeight="1" x14ac:dyDescent="0.3">
      <c r="A9" s="56"/>
      <c r="B9" s="56"/>
      <c r="C9" s="56"/>
      <c r="D9" s="56"/>
      <c r="E9" s="56"/>
      <c r="F9" s="56"/>
      <c r="G9" s="56"/>
      <c r="H9" s="349" t="s">
        <v>65</v>
      </c>
      <c r="I9" s="350"/>
      <c r="J9" s="350"/>
      <c r="K9" s="350"/>
      <c r="L9" s="350"/>
      <c r="M9" s="350"/>
      <c r="N9" s="350"/>
      <c r="O9" s="350"/>
      <c r="P9" s="350"/>
      <c r="Q9" s="351" t="s">
        <v>981</v>
      </c>
      <c r="R9" s="351"/>
      <c r="S9" s="351"/>
      <c r="T9" s="351" t="s">
        <v>982</v>
      </c>
      <c r="U9" s="351"/>
      <c r="V9" s="352"/>
      <c r="W9" s="59"/>
      <c r="X9" s="398" t="s">
        <v>984</v>
      </c>
      <c r="Y9" s="399"/>
      <c r="Z9" s="399"/>
      <c r="AA9" s="399"/>
      <c r="AB9" s="399"/>
      <c r="AC9" s="399"/>
      <c r="AD9" s="399"/>
      <c r="AE9" s="400" t="s">
        <v>985</v>
      </c>
      <c r="AF9" s="400"/>
      <c r="AG9" s="400"/>
      <c r="AH9" s="400" t="s">
        <v>986</v>
      </c>
      <c r="AI9" s="400"/>
      <c r="AJ9" s="401"/>
      <c r="AK9" s="56"/>
      <c r="AL9" s="56"/>
      <c r="AM9" s="56"/>
      <c r="AN9" s="56"/>
      <c r="AO9" s="56"/>
      <c r="AP9" s="56"/>
      <c r="AQ9" s="56"/>
      <c r="AR9" s="56"/>
      <c r="AS9" s="56"/>
      <c r="AT9" s="56"/>
      <c r="AU9" s="56"/>
      <c r="AV9" s="56"/>
      <c r="AW9" s="56"/>
    </row>
    <row r="10" spans="1:49" s="57" customFormat="1" ht="30" customHeight="1" x14ac:dyDescent="0.3">
      <c r="A10" s="56"/>
      <c r="B10" s="56"/>
      <c r="C10" s="56"/>
      <c r="D10" s="56"/>
      <c r="E10" s="56"/>
      <c r="F10" s="56"/>
      <c r="G10" s="56"/>
      <c r="H10" s="310" t="s">
        <v>885</v>
      </c>
      <c r="I10" s="311"/>
      <c r="J10" s="311"/>
      <c r="K10" s="311"/>
      <c r="L10" s="311"/>
      <c r="M10" s="311"/>
      <c r="N10" s="311"/>
      <c r="O10" s="311"/>
      <c r="P10" s="311"/>
      <c r="Q10" s="316">
        <f>SUMIFS(Input[St. Ap. E &amp; G],Input[Institution Name],$H$1)+SUMIFS(Input[St. Ap. Desg],Input[Institution Name],$H$1)+SUMIFS(Input[St. Ap. Aux],Input[Institution Name],$H$1)+SUMIFS(Input[St. Ap. R Exp],Input[Institution Name],$H$1)+SUMIFS(Input[St. Ap. Loan],Input[Institution Name],$H$1)+SUMIFS(Input[St. Ap. Annuity],Input[Institution Name],$H$1)+SUMIFS(Input[St. Ap. Unexp],Input[Institution Name],$H$1)+SUMIFS(Input[St. Ap. R of Ind],Input[Institution Name],$H$1)+SUMIFS(Input[St. Ap. Inv in P],Input[Institution Name],$H$1)</f>
        <v>0</v>
      </c>
      <c r="R10" s="317"/>
      <c r="S10" s="318"/>
      <c r="T10" s="314">
        <f>IFERROR(ROUND(Q10/$Z$1,0),0)</f>
        <v>0</v>
      </c>
      <c r="U10" s="277"/>
      <c r="V10" s="315"/>
      <c r="W10" s="59"/>
      <c r="X10" s="402" t="s">
        <v>65</v>
      </c>
      <c r="Y10" s="402"/>
      <c r="Z10" s="402"/>
      <c r="AA10" s="402"/>
      <c r="AB10" s="402"/>
      <c r="AC10" s="402"/>
      <c r="AD10" s="402"/>
      <c r="AE10" s="403">
        <f>Q14</f>
        <v>0</v>
      </c>
      <c r="AF10" s="403"/>
      <c r="AG10" s="403"/>
      <c r="AH10" s="404">
        <f>IFERROR(AE10/$AE$14,0)</f>
        <v>0</v>
      </c>
      <c r="AI10" s="404"/>
      <c r="AJ10" s="404"/>
      <c r="AK10" s="56"/>
      <c r="AL10" s="56"/>
      <c r="AM10" s="56"/>
      <c r="AN10" s="56"/>
      <c r="AO10" s="56"/>
      <c r="AP10" s="56"/>
      <c r="AQ10" s="56"/>
      <c r="AR10" s="56"/>
      <c r="AS10" s="56"/>
      <c r="AT10" s="56"/>
      <c r="AU10" s="56"/>
      <c r="AV10" s="56"/>
      <c r="AW10" s="56"/>
    </row>
    <row r="11" spans="1:49" s="57" customFormat="1" ht="30" customHeight="1" x14ac:dyDescent="0.3">
      <c r="A11" s="56"/>
      <c r="B11" s="56"/>
      <c r="C11" s="56"/>
      <c r="D11" s="56"/>
      <c r="E11" s="56"/>
      <c r="F11" s="56"/>
      <c r="G11" s="56"/>
      <c r="H11" s="306" t="s">
        <v>886</v>
      </c>
      <c r="I11" s="255"/>
      <c r="J11" s="255"/>
      <c r="K11" s="255"/>
      <c r="L11" s="255"/>
      <c r="M11" s="255"/>
      <c r="N11" s="255"/>
      <c r="O11" s="255"/>
      <c r="P11" s="255"/>
      <c r="Q11" s="307">
        <f>SUMIFS(Input[St. C&amp;G E&amp;G],Input[Institution Name],$H$1)+SUMIFS(Input[St. C&amp;G Desg],Input[Institution Name],$H$1)+SUMIFS(Input[St. C&amp;G Aux],Input[Institution Name],$H$1)+SUMIFS(Input[St. C&amp;G R Exp],Input[Institution Name],$H$1)+SUMIFS(Input[St. C&amp;G Loan],Input[Institution Name],$H$1)+SUMIFS(Input[St. C&amp;G Annuity],Input[Institution Name],$H$1)+SUMIFS(Input[St. C&amp;G Unexp],Input[Institution Name],$H$1)+SUMIFS(Input[St. C&amp;G R of Ind],Input[Institution Name],$H$1)+SUMIFS(Input[St. C&amp;G Inv in P],Input[Institution Name],$H$1)</f>
        <v>0</v>
      </c>
      <c r="R11" s="260"/>
      <c r="S11" s="308"/>
      <c r="T11" s="309">
        <f>IFERROR(ROUND(Q11/$Z$1,0),0)</f>
        <v>0</v>
      </c>
      <c r="U11" s="260"/>
      <c r="V11" s="308"/>
      <c r="W11" s="59"/>
      <c r="X11" s="332" t="s">
        <v>987</v>
      </c>
      <c r="Y11" s="332"/>
      <c r="Z11" s="332"/>
      <c r="AA11" s="332"/>
      <c r="AB11" s="332"/>
      <c r="AC11" s="332"/>
      <c r="AD11" s="332"/>
      <c r="AE11" s="319">
        <f>Q47</f>
        <v>0</v>
      </c>
      <c r="AF11" s="319"/>
      <c r="AG11" s="319"/>
      <c r="AH11" s="320">
        <f>IFERROR(AE11/$AE$14,0)</f>
        <v>0</v>
      </c>
      <c r="AI11" s="320"/>
      <c r="AJ11" s="320"/>
      <c r="AK11" s="56"/>
      <c r="AL11" s="56"/>
      <c r="AM11" s="56"/>
      <c r="AN11" s="56"/>
      <c r="AO11" s="56"/>
      <c r="AP11" s="56"/>
      <c r="AQ11" s="56"/>
      <c r="AR11" s="56"/>
      <c r="AS11" s="56"/>
      <c r="AT11" s="56"/>
      <c r="AU11" s="56"/>
      <c r="AV11" s="56"/>
      <c r="AW11" s="56"/>
    </row>
    <row r="12" spans="1:49" s="57" customFormat="1" ht="30" customHeight="1" x14ac:dyDescent="0.3">
      <c r="A12" s="56"/>
      <c r="B12" s="56"/>
      <c r="C12" s="56"/>
      <c r="D12" s="56"/>
      <c r="E12" s="56"/>
      <c r="F12" s="56"/>
      <c r="G12" s="56"/>
      <c r="H12" s="306" t="s">
        <v>887</v>
      </c>
      <c r="I12" s="255"/>
      <c r="J12" s="255"/>
      <c r="K12" s="255"/>
      <c r="L12" s="255"/>
      <c r="M12" s="255"/>
      <c r="N12" s="255"/>
      <c r="O12" s="255"/>
      <c r="P12" s="255"/>
      <c r="Q12" s="307">
        <f>SUMIFS(Input[HEF E&amp;G],Input[Institution Name],$H$1)+SUMIFS(Input[HEF Desg],Input[Institution Name],$H$1)+SUMIFS(Input[HEF Aux],Input[Institution Name],$H$1)+SUMIFS(Input[HEF R Exp],Input[Institution Name],$H$1)+SUMIFS(Input[HEF Loan],Input[Institution Name],$H$1)+SUMIFS(Input[HEF Annuity],Input[Institution Name],$H$1)+SUMIFS(Input[HEF Unexp],Input[Institution Name],$H$1)+SUMIFS(Input[HEF R of Ind],Input[Institution Name],$H$1)+SUMIFS(Input[HEF Inv in P],Input[Institution Name],$H$1)</f>
        <v>0</v>
      </c>
      <c r="R12" s="260"/>
      <c r="S12" s="308"/>
      <c r="T12" s="309">
        <f>IFERROR(ROUND(Q12/$Z$1,0),0)</f>
        <v>0</v>
      </c>
      <c r="U12" s="260"/>
      <c r="V12" s="308"/>
      <c r="W12" s="59"/>
      <c r="X12" s="332" t="s">
        <v>988</v>
      </c>
      <c r="Y12" s="332"/>
      <c r="Z12" s="332"/>
      <c r="AA12" s="332"/>
      <c r="AB12" s="332"/>
      <c r="AC12" s="332"/>
      <c r="AD12" s="332"/>
      <c r="AE12" s="319">
        <f>Q50</f>
        <v>0</v>
      </c>
      <c r="AF12" s="319"/>
      <c r="AG12" s="319"/>
      <c r="AH12" s="320">
        <f>IFERROR(AE12/$AE$14,0)</f>
        <v>0</v>
      </c>
      <c r="AI12" s="320"/>
      <c r="AJ12" s="320"/>
      <c r="AK12" s="56"/>
      <c r="AL12" s="56"/>
      <c r="AM12" s="56"/>
      <c r="AN12" s="56"/>
      <c r="AO12" s="56"/>
      <c r="AP12" s="56"/>
      <c r="AQ12" s="56"/>
      <c r="AR12" s="56"/>
      <c r="AS12" s="56"/>
      <c r="AT12" s="56"/>
      <c r="AU12" s="56"/>
      <c r="AV12" s="56"/>
      <c r="AW12" s="56"/>
    </row>
    <row r="13" spans="1:49" s="57" customFormat="1" ht="30" customHeight="1" x14ac:dyDescent="0.3">
      <c r="A13" s="56"/>
      <c r="B13" s="56"/>
      <c r="C13" s="56"/>
      <c r="D13" s="56"/>
      <c r="E13" s="56"/>
      <c r="F13" s="56"/>
      <c r="G13" s="56"/>
      <c r="H13" s="326" t="s">
        <v>888</v>
      </c>
      <c r="I13" s="266"/>
      <c r="J13" s="266"/>
      <c r="K13" s="266"/>
      <c r="L13" s="266"/>
      <c r="M13" s="266"/>
      <c r="N13" s="266"/>
      <c r="O13" s="266"/>
      <c r="P13" s="266"/>
      <c r="Q13" s="307">
        <f>SUMIFS(Input[Available E&amp;G],Input[Institution Name],$H$1)+SUMIFS(Input[Available Desg],Input[Institution Name],$H$1)+SUMIFS(Input[Available Aux],Input[Institution Name],$H$1)+SUMIFS(Input[Available R Exp],Input[Institution Name],$H$1)+SUMIFS(Input[Available Loan],Input[Institution Name],$H$1)+SUMIFS(Input[Available Annuity],Input[Institution Name],$H$1)+SUMIFS(Input[Available Unexp],Input[Institution Name],$H$1)+SUMIFS(Input[Available R of Ind],Input[Institution Name],$H$1)+SUMIFS(Input[Available Inv in P],Input[Institution Name],$H$1)</f>
        <v>0</v>
      </c>
      <c r="R13" s="260"/>
      <c r="S13" s="308"/>
      <c r="T13" s="309">
        <f>IFERROR(ROUND(Q13/$Z$1,0),0)</f>
        <v>0</v>
      </c>
      <c r="U13" s="260"/>
      <c r="V13" s="308"/>
      <c r="W13" s="59"/>
      <c r="X13" s="327" t="s">
        <v>66</v>
      </c>
      <c r="Y13" s="327"/>
      <c r="Z13" s="327"/>
      <c r="AA13" s="327"/>
      <c r="AB13" s="327"/>
      <c r="AC13" s="327"/>
      <c r="AD13" s="327"/>
      <c r="AE13" s="304">
        <f>SUM(Q53,Q56,Q65)</f>
        <v>0</v>
      </c>
      <c r="AF13" s="304"/>
      <c r="AG13" s="304"/>
      <c r="AH13" s="305">
        <f>IFERROR(AE13/$AE$14,0)</f>
        <v>0</v>
      </c>
      <c r="AI13" s="305"/>
      <c r="AJ13" s="305"/>
      <c r="AK13" s="56"/>
      <c r="AL13" s="56"/>
      <c r="AM13" s="56"/>
      <c r="AN13" s="56"/>
      <c r="AO13" s="56"/>
      <c r="AP13" s="56"/>
      <c r="AQ13" s="56"/>
      <c r="AR13" s="56"/>
      <c r="AS13" s="56"/>
      <c r="AT13" s="56"/>
      <c r="AU13" s="56"/>
      <c r="AV13" s="56"/>
      <c r="AW13" s="56"/>
    </row>
    <row r="14" spans="1:49" s="57" customFormat="1" ht="30" customHeight="1" x14ac:dyDescent="0.3">
      <c r="A14" s="56"/>
      <c r="B14" s="56"/>
      <c r="C14" s="56"/>
      <c r="D14" s="56"/>
      <c r="E14" s="56"/>
      <c r="F14" s="56"/>
      <c r="G14" s="56"/>
      <c r="H14" s="323" t="s">
        <v>889</v>
      </c>
      <c r="I14" s="324"/>
      <c r="J14" s="324"/>
      <c r="K14" s="324"/>
      <c r="L14" s="324"/>
      <c r="M14" s="324"/>
      <c r="N14" s="324"/>
      <c r="O14" s="324"/>
      <c r="P14" s="325"/>
      <c r="Q14" s="331">
        <f>SUM(Q10:S13)</f>
        <v>0</v>
      </c>
      <c r="R14" s="329"/>
      <c r="S14" s="330"/>
      <c r="T14" s="328">
        <f>SUM(T10:V13)</f>
        <v>0</v>
      </c>
      <c r="U14" s="329"/>
      <c r="V14" s="330"/>
      <c r="W14" s="59"/>
      <c r="X14" s="390"/>
      <c r="Y14" s="390"/>
      <c r="Z14" s="390"/>
      <c r="AA14" s="390"/>
      <c r="AB14" s="390"/>
      <c r="AC14" s="390"/>
      <c r="AD14" s="390"/>
      <c r="AE14" s="391">
        <f>SUM(AE10:AE13)</f>
        <v>0</v>
      </c>
      <c r="AF14" s="391"/>
      <c r="AG14" s="391"/>
      <c r="AH14" s="393">
        <f>SUM(AH10:AH13)</f>
        <v>0</v>
      </c>
      <c r="AI14" s="393"/>
      <c r="AJ14" s="393"/>
      <c r="AK14" s="56"/>
      <c r="AL14" s="56"/>
      <c r="AM14" s="56"/>
      <c r="AN14" s="56"/>
      <c r="AO14" s="56"/>
      <c r="AP14" s="56"/>
      <c r="AQ14" s="56"/>
      <c r="AR14" s="56"/>
      <c r="AS14" s="56"/>
      <c r="AT14" s="56"/>
      <c r="AU14" s="56"/>
      <c r="AV14" s="56"/>
      <c r="AW14" s="56"/>
    </row>
    <row r="15" spans="1:49" s="57" customFormat="1" ht="30" customHeight="1" x14ac:dyDescent="0.3">
      <c r="A15" s="56"/>
      <c r="B15" s="56"/>
      <c r="C15" s="56"/>
      <c r="D15" s="56"/>
      <c r="E15" s="56"/>
      <c r="F15" s="56"/>
      <c r="G15" s="56"/>
      <c r="H15" s="59"/>
      <c r="I15" s="59"/>
      <c r="J15" s="59"/>
      <c r="K15" s="59"/>
      <c r="L15" s="59"/>
      <c r="M15" s="59"/>
      <c r="N15" s="59"/>
      <c r="O15" s="59"/>
      <c r="P15" s="59"/>
      <c r="Q15" s="80"/>
      <c r="R15" s="80"/>
      <c r="S15" s="80"/>
      <c r="T15" s="80"/>
      <c r="U15" s="80"/>
      <c r="V15" s="80"/>
      <c r="W15" s="59"/>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s="57" customFormat="1" ht="30" customHeight="1" x14ac:dyDescent="0.3">
      <c r="A16" s="56"/>
      <c r="B16" s="56"/>
      <c r="C16" s="56"/>
      <c r="D16" s="56"/>
      <c r="E16" s="56"/>
      <c r="F16" s="56"/>
      <c r="G16" s="56"/>
      <c r="H16" s="349" t="s">
        <v>890</v>
      </c>
      <c r="I16" s="350"/>
      <c r="J16" s="350"/>
      <c r="K16" s="350"/>
      <c r="L16" s="350"/>
      <c r="M16" s="350"/>
      <c r="N16" s="350"/>
      <c r="O16" s="350"/>
      <c r="P16" s="350"/>
      <c r="Q16" s="351" t="s">
        <v>981</v>
      </c>
      <c r="R16" s="351"/>
      <c r="S16" s="351"/>
      <c r="T16" s="351" t="s">
        <v>982</v>
      </c>
      <c r="U16" s="351"/>
      <c r="V16" s="352"/>
      <c r="W16" s="59"/>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s="57" customFormat="1" ht="30" customHeight="1" thickBot="1" x14ac:dyDescent="0.35">
      <c r="A17" s="56"/>
      <c r="B17" s="56"/>
      <c r="C17" s="56"/>
      <c r="D17" s="56"/>
      <c r="E17" s="56"/>
      <c r="F17" s="56"/>
      <c r="G17" s="56"/>
      <c r="H17" s="321" t="s">
        <v>891</v>
      </c>
      <c r="I17" s="321"/>
      <c r="J17" s="321"/>
      <c r="K17" s="321"/>
      <c r="L17" s="321"/>
      <c r="M17" s="321"/>
      <c r="N17" s="321"/>
      <c r="O17" s="321"/>
      <c r="P17" s="321"/>
      <c r="Q17" s="322" cm="1">
        <f t="array" ref="Q17">SUM(Q23:S23,-Q19:S22)</f>
        <v>0</v>
      </c>
      <c r="R17" s="322"/>
      <c r="S17" s="322"/>
      <c r="T17" s="322">
        <f>IFERROR(ROUND(Q17/$Z$1,0),0)</f>
        <v>0</v>
      </c>
      <c r="U17" s="322"/>
      <c r="V17" s="322"/>
      <c r="W17" s="59"/>
      <c r="X17" s="394" t="s">
        <v>989</v>
      </c>
      <c r="Y17" s="394"/>
      <c r="Z17" s="394"/>
      <c r="AA17" s="394"/>
      <c r="AB17" s="394"/>
      <c r="AC17" s="394"/>
      <c r="AD17" s="394"/>
      <c r="AE17" s="394"/>
      <c r="AF17" s="394"/>
      <c r="AG17" s="394"/>
      <c r="AH17" s="56"/>
      <c r="AI17" s="56"/>
      <c r="AJ17" s="56"/>
      <c r="AK17" s="56"/>
      <c r="AL17" s="56"/>
      <c r="AM17" s="56"/>
      <c r="AN17" s="56"/>
      <c r="AO17" s="56"/>
      <c r="AP17" s="56"/>
      <c r="AQ17" s="56"/>
      <c r="AR17" s="56"/>
      <c r="AS17" s="56"/>
      <c r="AT17" s="56"/>
      <c r="AU17" s="56"/>
      <c r="AV17" s="56"/>
      <c r="AW17" s="56"/>
    </row>
    <row r="18" spans="1:49" s="57" customFormat="1" ht="30" customHeight="1" x14ac:dyDescent="0.3">
      <c r="A18" s="56"/>
      <c r="B18" s="56"/>
      <c r="C18" s="56"/>
      <c r="D18" s="56"/>
      <c r="E18" s="56"/>
      <c r="F18" s="56"/>
      <c r="G18" s="56"/>
      <c r="H18" s="371" t="s">
        <v>1119</v>
      </c>
      <c r="I18" s="372"/>
      <c r="J18" s="372"/>
      <c r="K18" s="372"/>
      <c r="L18" s="372"/>
      <c r="M18" s="372"/>
      <c r="N18" s="372"/>
      <c r="O18" s="372"/>
      <c r="P18" s="372"/>
      <c r="Q18" s="372"/>
      <c r="R18" s="372"/>
      <c r="S18" s="372"/>
      <c r="T18" s="372"/>
      <c r="U18" s="372"/>
      <c r="V18" s="373"/>
      <c r="W18" s="59"/>
      <c r="X18" s="395" t="s">
        <v>990</v>
      </c>
      <c r="Y18" s="395"/>
      <c r="Z18" s="395"/>
      <c r="AA18" s="395"/>
      <c r="AB18" s="395"/>
      <c r="AC18" s="395"/>
      <c r="AD18" s="395"/>
      <c r="AE18" s="396">
        <f>SUM(Q23,Q38)</f>
        <v>0</v>
      </c>
      <c r="AF18" s="396"/>
      <c r="AG18" s="396"/>
      <c r="AH18" s="56"/>
      <c r="AI18" s="56"/>
      <c r="AJ18" s="56"/>
      <c r="AK18" s="56"/>
      <c r="AL18" s="56"/>
      <c r="AM18" s="56"/>
      <c r="AN18" s="56"/>
      <c r="AO18" s="56"/>
      <c r="AP18" s="56"/>
      <c r="AQ18" s="56"/>
      <c r="AR18" s="56"/>
      <c r="AS18" s="56"/>
      <c r="AT18" s="56"/>
      <c r="AU18" s="56"/>
      <c r="AV18" s="56"/>
      <c r="AW18" s="56"/>
    </row>
    <row r="19" spans="1:49" s="57" customFormat="1" ht="30" customHeight="1" x14ac:dyDescent="0.3">
      <c r="A19" s="56"/>
      <c r="B19" s="56"/>
      <c r="C19" s="56"/>
      <c r="D19" s="56"/>
      <c r="E19" s="56"/>
      <c r="F19" s="56"/>
      <c r="G19" s="56"/>
      <c r="H19" s="335" t="s">
        <v>892</v>
      </c>
      <c r="I19" s="335"/>
      <c r="J19" s="335"/>
      <c r="K19" s="335"/>
      <c r="L19" s="335"/>
      <c r="M19" s="335"/>
      <c r="N19" s="335"/>
      <c r="O19" s="335"/>
      <c r="P19" s="335"/>
      <c r="Q19" s="336">
        <f>SUMIFS(Input[T. W. - Stat (NR AFR) E&amp;G],Input[Institution Name],$H$1)+SUMIFS(Input[T. W. - Stat (NR AFR) Desg],Input[Institution Name],$H$1)+SUMIFS(Input[T. W. - Stat (NR AFR) Aux],Input[Institution Name],$H$1)+SUMIFS(Input[T. W. - Stat (NR AFR) R Exp],Input[Institution Name],$H$1)+SUMIFS(Input[T. W. - Stat (NR AFR) Loan],Input[Institution Name],$H$1)+SUMIFS(Input[T. W. - Stat (NR AFR) Annuity],Input[Institution Name],$H$1)+SUMIFS(Input[T. W. - Stat (NR AFR) Unexp],Input[Institution Name],$H$1)+SUMIFS(Input[T. W. - Stat (NR AFR) R of Ind],Input[Institution Name],$H$1)+SUMIFS(Input[T. W. - Stat (NR AFR) Inv in P],Input[Institution Name],$H$1)</f>
        <v>0</v>
      </c>
      <c r="R19" s="336"/>
      <c r="S19" s="336"/>
      <c r="T19" s="336">
        <f>IFERROR(ROUND(Q19/$Z$1,0),0)</f>
        <v>0</v>
      </c>
      <c r="U19" s="336"/>
      <c r="V19" s="336"/>
      <c r="W19" s="59"/>
      <c r="X19" s="345" t="s">
        <v>991</v>
      </c>
      <c r="Y19" s="345"/>
      <c r="Z19" s="345"/>
      <c r="AA19" s="345"/>
      <c r="AB19" s="345"/>
      <c r="AC19" s="345"/>
      <c r="AD19" s="345"/>
      <c r="AE19" s="319">
        <f>SUM(Q25:S29,Q40:S44)</f>
        <v>0</v>
      </c>
      <c r="AF19" s="319"/>
      <c r="AG19" s="319"/>
      <c r="AH19" s="56"/>
      <c r="AI19" s="56"/>
      <c r="AJ19" s="56"/>
      <c r="AK19" s="56"/>
      <c r="AL19" s="444" t="str">
        <f>IF(ISBLANK(H1),"","Figure 1: Total Revenue by Operating Source Category")</f>
        <v/>
      </c>
      <c r="AM19" s="444"/>
      <c r="AN19" s="444"/>
      <c r="AO19" s="444"/>
      <c r="AP19" s="444"/>
      <c r="AQ19" s="444"/>
      <c r="AR19" s="444"/>
      <c r="AS19" s="444"/>
      <c r="AT19" s="444"/>
      <c r="AU19" s="444"/>
      <c r="AV19" s="56"/>
      <c r="AW19" s="56"/>
    </row>
    <row r="20" spans="1:49" s="57" customFormat="1" ht="30" customHeight="1" x14ac:dyDescent="0.3">
      <c r="A20" s="56"/>
      <c r="B20" s="56"/>
      <c r="C20" s="56"/>
      <c r="D20" s="56"/>
      <c r="E20" s="56"/>
      <c r="F20" s="56"/>
      <c r="G20" s="56"/>
      <c r="H20" s="333" t="s">
        <v>893</v>
      </c>
      <c r="I20" s="333"/>
      <c r="J20" s="333"/>
      <c r="K20" s="333"/>
      <c r="L20" s="333"/>
      <c r="M20" s="333"/>
      <c r="N20" s="333"/>
      <c r="O20" s="333"/>
      <c r="P20" s="333"/>
      <c r="Q20" s="334">
        <f>SUMIFS(Input[T. W. - Inst. (NR AFR) E&amp;G],Input[Institution Name],$H$1)+SUMIFS(Input[T. W. - Inst. (NR AFR) Desg],Input[Institution Name],$H$1)+SUMIFS(Input[T. W. - Inst. (NR AFR) Aux],Input[Institution Name],$H$1)+SUMIFS(Input[T. W. - Inst. (NR AFR) R Exp],Input[Institution Name],$H$1)+SUMIFS(Input[T. W. - Inst. (NR AFR) Loan],Input[Institution Name],$H$1)+SUMIFS(Input[T. W. - Inst. (NR AFR) Annuity],Input[Institution Name],$H$1)+SUMIFS(Input[T. W. - Inst. (NR AFR) Unexp],Input[Institution Name],$H$1)+SUMIFS(Input[T. W. - Inst. (NR AFR) R of Ind],Input[Institution Name],$H$1)+SUMIFS(Input[T. W. - Inst. (NR AFR) Inv in P],Input[Institution Name],$H$1)</f>
        <v>0</v>
      </c>
      <c r="R20" s="334"/>
      <c r="S20" s="334"/>
      <c r="T20" s="334">
        <f>IFERROR(ROUND(Q20/$Z$1,0),0)</f>
        <v>0</v>
      </c>
      <c r="U20" s="334"/>
      <c r="V20" s="334"/>
      <c r="W20" s="59"/>
      <c r="X20" s="390" t="s">
        <v>992</v>
      </c>
      <c r="Y20" s="390"/>
      <c r="Z20" s="390"/>
      <c r="AA20" s="390"/>
      <c r="AB20" s="390"/>
      <c r="AC20" s="390"/>
      <c r="AD20" s="390"/>
      <c r="AE20" s="391">
        <f>SUM(AE18:AG19)</f>
        <v>0</v>
      </c>
      <c r="AF20" s="391"/>
      <c r="AG20" s="391"/>
      <c r="AH20" s="56"/>
      <c r="AI20" s="56"/>
      <c r="AJ20" s="56"/>
      <c r="AK20" s="56"/>
      <c r="AL20" s="56"/>
      <c r="AM20" s="56"/>
      <c r="AN20" s="56"/>
      <c r="AO20" s="56"/>
      <c r="AP20" s="56"/>
      <c r="AQ20" s="56"/>
      <c r="AR20" s="56"/>
      <c r="AS20" s="56"/>
      <c r="AT20" s="56"/>
      <c r="AU20" s="56"/>
      <c r="AV20" s="56"/>
      <c r="AW20" s="56"/>
    </row>
    <row r="21" spans="1:49" s="57" customFormat="1" ht="30" customHeight="1" x14ac:dyDescent="0.3">
      <c r="A21" s="56"/>
      <c r="B21" s="56"/>
      <c r="C21" s="56"/>
      <c r="D21" s="56"/>
      <c r="E21" s="56"/>
      <c r="F21" s="56"/>
      <c r="G21" s="56"/>
      <c r="H21" s="333" t="s">
        <v>894</v>
      </c>
      <c r="I21" s="333"/>
      <c r="J21" s="333"/>
      <c r="K21" s="333"/>
      <c r="L21" s="333"/>
      <c r="M21" s="333"/>
      <c r="N21" s="333"/>
      <c r="O21" s="333"/>
      <c r="P21" s="333"/>
      <c r="Q21" s="334">
        <f>SUMIFS(Input[T. Exp. - Stat (NR AFR) E&amp;G],Input[Institution Name],$H$1)+SUMIFS(Input[T. Exp. - Stat (NR AFR) Desg],Input[Institution Name],$H$1)+SUMIFS(Input[T. Exp. - Stat (NR AFR) Aux],Input[Institution Name],$H$1)+SUMIFS(Input[T. Exp. - Stat (NR AFR) R Exp],Input[Institution Name],$H$1)+SUMIFS(Input[T. Exp. - Stat (NR AFR) Loan],Input[Institution Name],$H$1)+SUMIFS(Input[T. Exp. - Stat (NR AFR) Annuity],Input[Institution Name],$H$1)+SUMIFS(Input[T. Exp. - Stat (NR AFR) Unexp],Input[Institution Name],$H$1)+SUMIFS(Input[T. Exp. - Stat (NR AFR) R of Ind],Input[Institution Name],$H$1)+SUMIFS(Input[T. Exp. - Stat (NR AFR) Inv in P],Input[Institution Name],$H$1)</f>
        <v>0</v>
      </c>
      <c r="R21" s="334"/>
      <c r="S21" s="334"/>
      <c r="T21" s="334">
        <f>IFERROR(ROUND(Q21/$Z$1,0),0)</f>
        <v>0</v>
      </c>
      <c r="U21" s="334"/>
      <c r="V21" s="334"/>
      <c r="W21" s="59"/>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s="57" customFormat="1" ht="30" customHeight="1" x14ac:dyDescent="0.3">
      <c r="A22" s="56"/>
      <c r="B22" s="56"/>
      <c r="C22" s="56"/>
      <c r="D22" s="56"/>
      <c r="E22" s="56"/>
      <c r="F22" s="56"/>
      <c r="G22" s="56"/>
      <c r="H22" s="333" t="s">
        <v>895</v>
      </c>
      <c r="I22" s="333"/>
      <c r="J22" s="333"/>
      <c r="K22" s="333"/>
      <c r="L22" s="333"/>
      <c r="M22" s="333"/>
      <c r="N22" s="333"/>
      <c r="O22" s="333"/>
      <c r="P22" s="333"/>
      <c r="Q22" s="334">
        <f>SUMIFS(Input[T. Exp. - Inst. (NR AFR) E&amp;G],Input[Institution Name],$H$1)+SUMIFS(Input[T. Exp. - Inst. (NR AFR) Desg],Input[Institution Name],$H$1)+SUMIFS(Input[T. Exp. - Inst. (NR AFR) Aux],Input[Institution Name],$H$1)+SUMIFS(Input[T. Exp. - Inst. (NR AFR) R Exp],Input[Institution Name],$H$1)+SUMIFS(Input[T. Exp. - Inst. (NR AFR) Loan],Input[Institution Name],$H$1)+SUMIFS(Input[T. Exp. - Inst. (NR AFR) Annuity],Input[Institution Name],$H$1)+SUMIFS(Input[T. Exp. - Inst. (NR AFR) Unexp],Input[Institution Name],$H$1)+SUMIFS(Input[T. Exp. - Inst. (NR AFR) R of Ind],Input[Institution Name],$H$1)+SUMIFS(Input[T. Exp. - Inst. (NR AFR) Inv in P],Input[Institution Name],$H$1)</f>
        <v>0</v>
      </c>
      <c r="R22" s="334"/>
      <c r="S22" s="334"/>
      <c r="T22" s="334">
        <f>IFERROR(ROUND(Q22/$Z$1,0),0)</f>
        <v>0</v>
      </c>
      <c r="U22" s="334"/>
      <c r="V22" s="334"/>
      <c r="W22" s="59"/>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row>
    <row r="23" spans="1:49" s="57" customFormat="1" ht="30" customHeight="1" x14ac:dyDescent="0.3">
      <c r="A23" s="56"/>
      <c r="B23" s="56"/>
      <c r="C23" s="56"/>
      <c r="D23" s="56"/>
      <c r="E23" s="56"/>
      <c r="F23" s="56"/>
      <c r="G23" s="56"/>
      <c r="H23" s="339" t="s">
        <v>896</v>
      </c>
      <c r="I23" s="339"/>
      <c r="J23" s="339"/>
      <c r="K23" s="339"/>
      <c r="L23" s="339"/>
      <c r="M23" s="339"/>
      <c r="N23" s="339"/>
      <c r="O23" s="339"/>
      <c r="P23" s="339"/>
      <c r="Q23" s="340">
        <f>SUMIFS(Input[T. - Gross E&amp;G],Input[Institution Name],$H$1)+SUMIFS(Input[T. - Gross Desg],Input[Institution Name],$H$1)+SUMIFS(Input[T. - Gross Aux],Input[Institution Name],$H$1)+SUMIFS(Input[T. - Gross R Exp],Input[Institution Name],$H$1)+SUMIFS(Input[T. - Gross Loan],Input[Institution Name],$H$1)+SUMIFS(Input[T. - Gross Annuity],Input[Institution Name],$H$1)+SUMIFS(Input[T. - Gross Unexp],Input[Institution Name],$H$1)+SUMIFS(Input[T. - Gross R of Ind],Input[Institution Name],$H$1)+SUMIFS(Input[T. - Gross Inv in P],Input[Institution Name],$H$1)</f>
        <v>0</v>
      </c>
      <c r="R23" s="340"/>
      <c r="S23" s="340"/>
      <c r="T23" s="340">
        <f>IFERROR(ROUND(Q23/$Z$1,0),0)</f>
        <v>0</v>
      </c>
      <c r="U23" s="340"/>
      <c r="V23" s="340"/>
      <c r="W23" s="59"/>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row>
    <row r="24" spans="1:49" s="57" customFormat="1" ht="30" customHeight="1" x14ac:dyDescent="0.3">
      <c r="A24" s="56"/>
      <c r="B24" s="56"/>
      <c r="C24" s="56"/>
      <c r="D24" s="56"/>
      <c r="E24" s="56"/>
      <c r="F24" s="56"/>
      <c r="G24" s="56"/>
      <c r="H24" s="371" t="s">
        <v>897</v>
      </c>
      <c r="I24" s="372"/>
      <c r="J24" s="372"/>
      <c r="K24" s="372"/>
      <c r="L24" s="372"/>
      <c r="M24" s="372"/>
      <c r="N24" s="372"/>
      <c r="O24" s="372"/>
      <c r="P24" s="372"/>
      <c r="Q24" s="372"/>
      <c r="R24" s="372"/>
      <c r="S24" s="372"/>
      <c r="T24" s="372"/>
      <c r="U24" s="372"/>
      <c r="V24" s="373"/>
      <c r="W24" s="59"/>
      <c r="X24" s="56"/>
      <c r="Y24" s="56"/>
      <c r="Z24" s="56"/>
      <c r="AA24" s="56"/>
      <c r="AB24" s="56"/>
      <c r="AC24" s="56"/>
      <c r="AD24" s="56"/>
      <c r="AE24" s="56"/>
      <c r="AF24" s="56"/>
      <c r="AG24" s="56"/>
      <c r="AH24" s="56"/>
      <c r="AI24" s="56"/>
      <c r="AJ24" s="56"/>
      <c r="AK24" s="56"/>
      <c r="AL24" s="56"/>
      <c r="AM24" s="56"/>
      <c r="AN24" s="56"/>
      <c r="AO24" s="56"/>
      <c r="AP24" s="56"/>
      <c r="AQ24" s="56"/>
      <c r="AR24" s="56"/>
      <c r="AS24" s="56"/>
      <c r="AT24" s="56"/>
      <c r="AU24" s="56"/>
      <c r="AV24" s="56"/>
      <c r="AW24" s="56"/>
    </row>
    <row r="25" spans="1:49" s="57" customFormat="1" ht="30" customHeight="1" thickBot="1" x14ac:dyDescent="0.35">
      <c r="A25" s="56"/>
      <c r="B25" s="56"/>
      <c r="C25" s="56"/>
      <c r="D25" s="56"/>
      <c r="E25" s="56"/>
      <c r="F25" s="56"/>
      <c r="G25" s="56"/>
      <c r="H25" s="337" t="s">
        <v>892</v>
      </c>
      <c r="I25" s="337"/>
      <c r="J25" s="337"/>
      <c r="K25" s="337"/>
      <c r="L25" s="337"/>
      <c r="M25" s="337"/>
      <c r="N25" s="337"/>
      <c r="O25" s="337"/>
      <c r="P25" s="337"/>
      <c r="Q25" s="338">
        <f>SUMIFS(Input[T. W. - Stat (R AFR) E&amp;G],Input[Institution Name],$H$1)+SUMIFS(Input[T. W. - Stat (R AFR) Desg],Input[Institution Name],$H$1)+SUMIFS(Input[T. W. - Stat (R AFR) Aux],Input[Institution Name],$H$1)+SUMIFS(Input[T. W. - Stat (R AFR) R Exp],Input[Institution Name],$H$1)+SUMIFS(Input[T. W. - Stat (R AFR) Loan],Input[Institution Name],$H$1)+SUMIFS(Input[T. W. - Stat (R AFR) Annuity],Input[Institution Name],$H$1)+SUMIFS(Input[T. W. - Stat (R AFR) Unexp],Input[Institution Name],$H$1)+SUMIFS(Input[T. W. - Stat (R AFR) R of Ind],Input[Institution Name],$H$1)+SUMIFS(Input[T. W. - Stat (R AFR) Inv in P],Input[Institution Name],$H$1)</f>
        <v>0</v>
      </c>
      <c r="R25" s="338"/>
      <c r="S25" s="338"/>
      <c r="T25" s="338">
        <f>IFERROR(ROUND(Q25/$Z$1,0),0)</f>
        <v>0</v>
      </c>
      <c r="U25" s="338"/>
      <c r="V25" s="338"/>
      <c r="W25" s="59"/>
      <c r="X25" s="56"/>
      <c r="Y25" s="56"/>
      <c r="Z25" s="56"/>
      <c r="AA25" s="56"/>
      <c r="AB25" s="56"/>
      <c r="AC25" s="56"/>
      <c r="AD25" s="56"/>
      <c r="AE25" s="56"/>
      <c r="AF25" s="56"/>
      <c r="AG25" s="56"/>
      <c r="AH25" s="56"/>
      <c r="AI25" s="56"/>
      <c r="AJ25" s="56"/>
      <c r="AK25" s="56"/>
      <c r="AL25" s="56"/>
      <c r="AM25" s="56"/>
      <c r="AN25" s="56"/>
      <c r="AO25" s="56"/>
      <c r="AP25" s="56"/>
      <c r="AQ25" s="56"/>
      <c r="AR25" s="56"/>
      <c r="AS25" s="56"/>
      <c r="AT25" s="56"/>
      <c r="AU25" s="56"/>
      <c r="AV25" s="56"/>
      <c r="AW25" s="56"/>
    </row>
    <row r="26" spans="1:49" s="57" customFormat="1" ht="30" customHeight="1" thickBot="1" x14ac:dyDescent="0.35">
      <c r="A26" s="56"/>
      <c r="B26" s="56"/>
      <c r="C26" s="56"/>
      <c r="D26" s="56"/>
      <c r="E26" s="56"/>
      <c r="F26" s="56"/>
      <c r="G26" s="56"/>
      <c r="H26" s="333" t="s">
        <v>893</v>
      </c>
      <c r="I26" s="333"/>
      <c r="J26" s="333"/>
      <c r="K26" s="333"/>
      <c r="L26" s="333"/>
      <c r="M26" s="333"/>
      <c r="N26" s="333"/>
      <c r="O26" s="333"/>
      <c r="P26" s="333"/>
      <c r="Q26" s="334">
        <f>SUMIFS(Input[T. W. - Inst. (R AFR) E&amp;G],Input[Institution Name],$H$1)+SUMIFS(Input[T. W. - Inst. (R AFR) Desg],Input[Institution Name],$H$1)+SUMIFS(Input[T. W. - Inst. (R AFR) Aux],Input[Institution Name],$H$1)+SUMIFS(Input[T. W. - Inst. (R AFR) R Exp],Input[Institution Name],$H$1)+SUMIFS(Input[T. W. - Inst. (R AFR) Loan],Input[Institution Name],$H$1)+SUMIFS(Input[T. W. - Inst. (R AFR) Annuity],Input[Institution Name],$H$1)+SUMIFS(Input[T. W. - Inst. (R AFR) Unexp],Input[Institution Name],$H$1)+SUMIFS(Input[T. W. - Inst. (R AFR) R of Ind],Input[Institution Name],$H$1)+SUMIFS(Input[T. W. - Inst. (R AFR) Inv in P],Input[Institution Name],$H$1)</f>
        <v>0</v>
      </c>
      <c r="R26" s="334"/>
      <c r="S26" s="334"/>
      <c r="T26" s="334">
        <f>IFERROR(ROUND(Q26/$Z$1,0),0)</f>
        <v>0</v>
      </c>
      <c r="U26" s="334"/>
      <c r="V26" s="334"/>
      <c r="W26" s="59"/>
      <c r="X26" s="392" t="s">
        <v>993</v>
      </c>
      <c r="Y26" s="392"/>
      <c r="Z26" s="392"/>
      <c r="AA26" s="392"/>
      <c r="AB26" s="392"/>
      <c r="AC26" s="392"/>
      <c r="AD26" s="392"/>
      <c r="AE26" s="392"/>
      <c r="AF26" s="392"/>
      <c r="AG26" s="392"/>
      <c r="AH26" s="392"/>
      <c r="AI26" s="392"/>
      <c r="AJ26" s="392"/>
      <c r="AK26" s="56"/>
      <c r="AL26" s="411" t="s">
        <v>1000</v>
      </c>
      <c r="AM26" s="412"/>
      <c r="AN26" s="412"/>
      <c r="AO26" s="412"/>
      <c r="AP26" s="412"/>
      <c r="AQ26" s="412"/>
      <c r="AR26" s="412"/>
      <c r="AS26" s="413"/>
      <c r="AT26" s="412"/>
      <c r="AU26" s="414"/>
      <c r="AV26" s="56"/>
      <c r="AW26" s="56"/>
    </row>
    <row r="27" spans="1:49" s="57" customFormat="1" ht="30" customHeight="1" thickBot="1" x14ac:dyDescent="0.35">
      <c r="A27" s="56"/>
      <c r="B27" s="56"/>
      <c r="C27" s="56"/>
      <c r="D27" s="56"/>
      <c r="E27" s="56"/>
      <c r="F27" s="56"/>
      <c r="G27" s="56"/>
      <c r="H27" s="333" t="s">
        <v>894</v>
      </c>
      <c r="I27" s="333"/>
      <c r="J27" s="333"/>
      <c r="K27" s="333"/>
      <c r="L27" s="333"/>
      <c r="M27" s="333"/>
      <c r="N27" s="333"/>
      <c r="O27" s="333"/>
      <c r="P27" s="333"/>
      <c r="Q27" s="334">
        <f>SUMIFS(Input[T. Exp. - Stat (R AFR) E&amp;G],Input[Institution Name],$H$1)+SUMIFS(Input[T. Exp. - Stat (R AFR) Desg],Input[Institution Name],$H$1)+SUMIFS(Input[T. Exp. - Stat (R AFR) Aux],Input[Institution Name],$H$1)+SUMIFS(Input[T. Exp. - Stat (R AFR) R Exp],Input[Institution Name],$H$1)+SUMIFS(Input[T. Exp. - Stat (R AFR) Loan],Input[Institution Name],$H$1)+SUMIFS(Input[T. Exp. - Stat (R AFR) Annuity],Input[Institution Name],$H$1)+SUMIFS(Input[T. Exp. - Stat (R AFR) Unexp],Input[Institution Name],$H$1)+SUMIFS(Input[T. Exp. - Stat (R AFR) R of Ind],Input[Institution Name],$H$1)+SUMIFS(Input[T. Exp. - Stat (R AFR) Inv in P],Input[Institution Name],$H$1)</f>
        <v>0</v>
      </c>
      <c r="R27" s="334"/>
      <c r="S27" s="334"/>
      <c r="T27" s="334">
        <f>IFERROR(ROUND(Q27/$Z$1,0),0)</f>
        <v>0</v>
      </c>
      <c r="U27" s="334"/>
      <c r="V27" s="334"/>
      <c r="W27" s="59"/>
      <c r="X27" s="405" t="s">
        <v>984</v>
      </c>
      <c r="Y27" s="406"/>
      <c r="Z27" s="406"/>
      <c r="AA27" s="406"/>
      <c r="AB27" s="406"/>
      <c r="AC27" s="406"/>
      <c r="AD27" s="406"/>
      <c r="AE27" s="407" t="s">
        <v>985</v>
      </c>
      <c r="AF27" s="407"/>
      <c r="AG27" s="407"/>
      <c r="AH27" s="407" t="s">
        <v>986</v>
      </c>
      <c r="AI27" s="407"/>
      <c r="AJ27" s="408"/>
      <c r="AK27" s="56"/>
      <c r="AL27" s="415" t="s">
        <v>1001</v>
      </c>
      <c r="AM27" s="416"/>
      <c r="AN27" s="416"/>
      <c r="AO27" s="416"/>
      <c r="AP27" s="416"/>
      <c r="AQ27" s="416"/>
      <c r="AR27" s="416"/>
      <c r="AS27" s="417" t="s">
        <v>985</v>
      </c>
      <c r="AT27" s="418"/>
      <c r="AU27" s="419"/>
      <c r="AV27" s="56"/>
      <c r="AW27" s="56"/>
    </row>
    <row r="28" spans="1:49" s="57" customFormat="1" ht="30" customHeight="1" x14ac:dyDescent="0.3">
      <c r="A28" s="56"/>
      <c r="B28" s="56"/>
      <c r="C28" s="56"/>
      <c r="D28" s="56"/>
      <c r="E28" s="56"/>
      <c r="F28" s="56"/>
      <c r="G28" s="56"/>
      <c r="H28" s="333" t="s">
        <v>895</v>
      </c>
      <c r="I28" s="333"/>
      <c r="J28" s="333"/>
      <c r="K28" s="333"/>
      <c r="L28" s="333"/>
      <c r="M28" s="333"/>
      <c r="N28" s="333"/>
      <c r="O28" s="333"/>
      <c r="P28" s="333"/>
      <c r="Q28" s="334">
        <f>SUMIFS(Input[T. Exp. - Inst. (R AFR) E&amp;G],Input[Institution Name],$H$1)+SUMIFS(Input[T. Exp. - Inst. (R AFR) Desg],Input[Institution Name],$H$1)+SUMIFS(Input[T. Exp. - Inst. (R AFR) Aux],Input[Institution Name],$H$1)+SUMIFS(Input[T. Exp. - Inst. (R AFR) R Exp],Input[Institution Name],$H$1)+SUMIFS(Input[T. Exp. - Inst. (R AFR) Loan],Input[Institution Name],$H$1)+SUMIFS(Input[T. Exp. - Inst. (R AFR) Annuity],Input[Institution Name],$H$1)+SUMIFS(Input[T. Exp. - Inst. (R AFR) Unexp],Input[Institution Name],$H$1)+SUMIFS(Input[T. Exp. - Inst. (R AFR) R of Ind],Input[Institution Name],$H$1)+SUMIFS(Input[T. Exp. - Inst. (R AFR) Inv in P],Input[Institution Name],$H$1)</f>
        <v>0</v>
      </c>
      <c r="R28" s="334"/>
      <c r="S28" s="334"/>
      <c r="T28" s="334">
        <f>IFERROR(ROUND(Q28/$Z$1,0),0)</f>
        <v>0</v>
      </c>
      <c r="U28" s="334"/>
      <c r="V28" s="334"/>
      <c r="W28" s="59"/>
      <c r="X28" s="409" t="s">
        <v>885</v>
      </c>
      <c r="Y28" s="409"/>
      <c r="Z28" s="409"/>
      <c r="AA28" s="409"/>
      <c r="AB28" s="409"/>
      <c r="AC28" s="409"/>
      <c r="AD28" s="409"/>
      <c r="AE28" s="336">
        <f>Q10</f>
        <v>0</v>
      </c>
      <c r="AF28" s="336"/>
      <c r="AG28" s="336"/>
      <c r="AH28" s="410">
        <f>IFERROR(AE28/$AE$14,0)</f>
        <v>0</v>
      </c>
      <c r="AI28" s="410"/>
      <c r="AJ28" s="410"/>
      <c r="AK28" s="56"/>
      <c r="AL28" s="137" t="str" cm="1">
        <f t="array" ref="AL28">_xlfn.XLOOKUP(IFERROR(LARGE(_xlfn._xlws.FILTER($AE$28:$AE$41, $AE$28:$AE$41&gt;0), 1), ""),$AE$28:$AE$41,$X$28:$X$41,"",0,-1)</f>
        <v/>
      </c>
      <c r="AM28" s="125"/>
      <c r="AN28" s="65"/>
      <c r="AO28" s="65"/>
      <c r="AP28" s="65"/>
      <c r="AQ28" s="65"/>
      <c r="AR28" s="66"/>
      <c r="AS28" s="420">
        <f>_xlfn.XLOOKUP(AL28,$X$28:$X$41,$AE$28:$AE$41,0,0,1)</f>
        <v>0</v>
      </c>
      <c r="AT28" s="421"/>
      <c r="AU28" s="422"/>
      <c r="AV28" s="56"/>
      <c r="AW28" s="56"/>
    </row>
    <row r="29" spans="1:49" s="57" customFormat="1" ht="30" customHeight="1" x14ac:dyDescent="0.3">
      <c r="A29" s="56"/>
      <c r="B29" s="56"/>
      <c r="C29" s="56"/>
      <c r="D29" s="56"/>
      <c r="E29" s="56"/>
      <c r="F29" s="56"/>
      <c r="G29" s="56"/>
      <c r="H29" s="333" t="s">
        <v>898</v>
      </c>
      <c r="I29" s="333"/>
      <c r="J29" s="333"/>
      <c r="K29" s="333"/>
      <c r="L29" s="333"/>
      <c r="M29" s="333"/>
      <c r="N29" s="333"/>
      <c r="O29" s="333"/>
      <c r="P29" s="333"/>
      <c r="Q29" s="334">
        <f>SUMIFS(Input[T. Schlr E&amp;G],Input[Institution Name],$H$1)+SUMIFS(Input[T. Schlr Desg],Input[Institution Name],$H$1)+SUMIFS(Input[T. Schlr Aux],Input[Institution Name],$H$1)+SUMIFS(Input[T. Schlr R Exp],Input[Institution Name],$H$1)+SUMIFS(Input[T. Schlr Loan],Input[Institution Name],$H$1)+SUMIFS(Input[T. Schlr Annuity],Input[Institution Name],$H$1)+SUMIFS(Input[T. Schlr Unexp],Input[Institution Name],$H$1)+SUMIFS(Input[T. Schlr R of Ind],Input[Institution Name],$H$1)+SUMIFS(Input[T. Schlr Inv in P],Input[Institution Name],$H$1)</f>
        <v>0</v>
      </c>
      <c r="R29" s="334"/>
      <c r="S29" s="334"/>
      <c r="T29" s="334">
        <f>IFERROR(ROUND(Q29/$Z$1,0),0)</f>
        <v>0</v>
      </c>
      <c r="U29" s="334"/>
      <c r="V29" s="334"/>
      <c r="W29" s="59"/>
      <c r="X29" s="345" t="s">
        <v>994</v>
      </c>
      <c r="Y29" s="345"/>
      <c r="Z29" s="345"/>
      <c r="AA29" s="345"/>
      <c r="AB29" s="345"/>
      <c r="AC29" s="345"/>
      <c r="AD29" s="345"/>
      <c r="AE29" s="334">
        <f>Q11</f>
        <v>0</v>
      </c>
      <c r="AF29" s="334"/>
      <c r="AG29" s="334"/>
      <c r="AH29" s="346">
        <f t="shared" ref="AH29:AH41" si="0">IFERROR(AE29/$AE$14,0)</f>
        <v>0</v>
      </c>
      <c r="AI29" s="346"/>
      <c r="AJ29" s="346"/>
      <c r="AK29" s="56"/>
      <c r="AL29" s="138" t="str" cm="1">
        <f t="array" ref="AL29">_xlfn.XLOOKUP(IFERROR(LARGE(_xlfn._xlws.FILTER($AE$28:$AE$41, $AE$28:$AE$41&gt;0), 2), ""),$AE$28:$AE$41,$X$28:$X$41,"",0,-1)</f>
        <v/>
      </c>
      <c r="AM29" s="67"/>
      <c r="AN29" s="67"/>
      <c r="AO29" s="67"/>
      <c r="AP29" s="67"/>
      <c r="AQ29" s="67"/>
      <c r="AR29" s="68"/>
      <c r="AS29" s="423">
        <f>_xlfn.XLOOKUP(AL29,$X$28:$X$41,$AE$28:$AE$41,0,0,1)</f>
        <v>0</v>
      </c>
      <c r="AT29" s="424"/>
      <c r="AU29" s="425"/>
      <c r="AV29" s="56"/>
      <c r="AW29" s="56"/>
    </row>
    <row r="30" spans="1:49" s="57" customFormat="1" ht="30" customHeight="1" x14ac:dyDescent="0.3">
      <c r="A30" s="56"/>
      <c r="B30" s="56"/>
      <c r="C30" s="56"/>
      <c r="D30" s="56"/>
      <c r="E30" s="56"/>
      <c r="F30" s="56"/>
      <c r="G30" s="56"/>
      <c r="H30" s="341" t="s">
        <v>899</v>
      </c>
      <c r="I30" s="341"/>
      <c r="J30" s="341"/>
      <c r="K30" s="341"/>
      <c r="L30" s="341"/>
      <c r="M30" s="341"/>
      <c r="N30" s="341"/>
      <c r="O30" s="341"/>
      <c r="P30" s="341"/>
      <c r="Q30" s="342">
        <f>SUM(Q23,Q25:S29)</f>
        <v>0</v>
      </c>
      <c r="R30" s="342"/>
      <c r="S30" s="342"/>
      <c r="T30" s="342"/>
      <c r="U30" s="342"/>
      <c r="V30" s="342"/>
      <c r="W30" s="59"/>
      <c r="X30" s="345" t="s">
        <v>887</v>
      </c>
      <c r="Y30" s="345"/>
      <c r="Z30" s="345"/>
      <c r="AA30" s="345"/>
      <c r="AB30" s="345"/>
      <c r="AC30" s="345"/>
      <c r="AD30" s="345"/>
      <c r="AE30" s="334">
        <f>Q12</f>
        <v>0</v>
      </c>
      <c r="AF30" s="334"/>
      <c r="AG30" s="334"/>
      <c r="AH30" s="346">
        <f t="shared" si="0"/>
        <v>0</v>
      </c>
      <c r="AI30" s="346"/>
      <c r="AJ30" s="346"/>
      <c r="AK30" s="56"/>
      <c r="AL30" s="138" t="str" cm="1">
        <f t="array" ref="AL30">_xlfn.XLOOKUP(IFERROR(LARGE(_xlfn._xlws.FILTER($AE$28:$AE$41, $AE$28:$AE$41&gt;0), 3), ""),$AE$28:$AE$41,$X$28:$X$41,"",0,-1)</f>
        <v/>
      </c>
      <c r="AM30" s="67"/>
      <c r="AN30" s="67"/>
      <c r="AO30" s="67"/>
      <c r="AP30" s="67"/>
      <c r="AQ30" s="67"/>
      <c r="AR30" s="68"/>
      <c r="AS30" s="423">
        <f>_xlfn.XLOOKUP(AL30,$X$28:$X$41,$AE$28:$AE$41,0,0,1)</f>
        <v>0</v>
      </c>
      <c r="AT30" s="424"/>
      <c r="AU30" s="425"/>
      <c r="AV30" s="56"/>
      <c r="AW30" s="56"/>
    </row>
    <row r="31" spans="1:49" s="57" customFormat="1" ht="30" customHeight="1" x14ac:dyDescent="0.3">
      <c r="A31" s="56"/>
      <c r="B31" s="56"/>
      <c r="C31" s="56"/>
      <c r="D31" s="56"/>
      <c r="E31" s="56"/>
      <c r="F31" s="56"/>
      <c r="G31" s="56"/>
      <c r="H31" s="78"/>
      <c r="I31" s="78"/>
      <c r="J31" s="78"/>
      <c r="K31" s="78"/>
      <c r="L31" s="78"/>
      <c r="M31" s="78"/>
      <c r="N31" s="78"/>
      <c r="O31" s="78"/>
      <c r="P31" s="78"/>
      <c r="Q31" s="79"/>
      <c r="R31" s="79"/>
      <c r="S31" s="79"/>
      <c r="T31" s="79"/>
      <c r="U31" s="79"/>
      <c r="V31" s="79"/>
      <c r="W31" s="59"/>
      <c r="X31" s="345" t="s">
        <v>888</v>
      </c>
      <c r="Y31" s="345"/>
      <c r="Z31" s="345"/>
      <c r="AA31" s="345"/>
      <c r="AB31" s="345"/>
      <c r="AC31" s="345"/>
      <c r="AD31" s="345"/>
      <c r="AE31" s="334">
        <f>Q13</f>
        <v>0</v>
      </c>
      <c r="AF31" s="334"/>
      <c r="AG31" s="334"/>
      <c r="AH31" s="346">
        <f t="shared" si="0"/>
        <v>0</v>
      </c>
      <c r="AI31" s="346"/>
      <c r="AJ31" s="346"/>
      <c r="AK31" s="56"/>
      <c r="AL31" s="138" t="str" cm="1">
        <f t="array" ref="AL31">_xlfn.XLOOKUP(IFERROR(LARGE(_xlfn._xlws.FILTER($AE$28:$AE$41, $AE$28:$AE$41&gt;0), 4), ""),$AE$28:$AE$41,$X$28:$X$41,"",0,-1)</f>
        <v/>
      </c>
      <c r="AM31" s="67"/>
      <c r="AN31" s="67"/>
      <c r="AO31" s="67"/>
      <c r="AP31" s="67"/>
      <c r="AQ31" s="67"/>
      <c r="AR31" s="68"/>
      <c r="AS31" s="423">
        <f>_xlfn.XLOOKUP(AL31,$X$28:$X$41,$AE$28:$AE$41,0,0,1)</f>
        <v>0</v>
      </c>
      <c r="AT31" s="424"/>
      <c r="AU31" s="425"/>
      <c r="AV31" s="56"/>
      <c r="AW31" s="56"/>
    </row>
    <row r="32" spans="1:49" s="57" customFormat="1" ht="30" customHeight="1" thickBot="1" x14ac:dyDescent="0.35">
      <c r="A32" s="56"/>
      <c r="B32" s="56"/>
      <c r="C32" s="56"/>
      <c r="D32" s="56"/>
      <c r="E32" s="56"/>
      <c r="F32" s="56"/>
      <c r="G32" s="56"/>
      <c r="H32" s="344" t="s">
        <v>900</v>
      </c>
      <c r="I32" s="344"/>
      <c r="J32" s="344"/>
      <c r="K32" s="344"/>
      <c r="L32" s="344"/>
      <c r="M32" s="344"/>
      <c r="N32" s="344"/>
      <c r="O32" s="344"/>
      <c r="P32" s="344"/>
      <c r="Q32" s="343" cm="1">
        <f t="array" ref="Q32">SUM(Q38:S38,-Q34:S37)</f>
        <v>0</v>
      </c>
      <c r="R32" s="343"/>
      <c r="S32" s="343"/>
      <c r="T32" s="343">
        <f>IFERROR(ROUND(Q32/$Z$1,0),0)</f>
        <v>0</v>
      </c>
      <c r="U32" s="343"/>
      <c r="V32" s="343"/>
      <c r="W32" s="59"/>
      <c r="X32" s="345" t="s">
        <v>995</v>
      </c>
      <c r="Y32" s="345"/>
      <c r="Z32" s="345"/>
      <c r="AA32" s="345"/>
      <c r="AB32" s="345"/>
      <c r="AC32" s="345"/>
      <c r="AD32" s="345"/>
      <c r="AE32" s="334">
        <f>Q30+Q45</f>
        <v>0</v>
      </c>
      <c r="AF32" s="334"/>
      <c r="AG32" s="334"/>
      <c r="AH32" s="346">
        <f t="shared" si="0"/>
        <v>0</v>
      </c>
      <c r="AI32" s="346"/>
      <c r="AJ32" s="346"/>
      <c r="AK32" s="56"/>
      <c r="AL32" s="139" t="str" cm="1">
        <f t="array" ref="AL32">_xlfn.XLOOKUP(IFERROR(LARGE(_xlfn._xlws.FILTER($AE$28:$AE$41, $AE$28:$AE$41&gt;0), 5), ""),$AE$28:$AE$41,$X$28:$X$41,"",0,-1)</f>
        <v/>
      </c>
      <c r="AM32" s="69"/>
      <c r="AN32" s="69"/>
      <c r="AO32" s="69"/>
      <c r="AP32" s="69"/>
      <c r="AQ32" s="69"/>
      <c r="AR32" s="70"/>
      <c r="AS32" s="429">
        <f>_xlfn.XLOOKUP(AL32,$X$28:$X$41,$AE$28:$AE$41,0,0,1)</f>
        <v>0</v>
      </c>
      <c r="AT32" s="430"/>
      <c r="AU32" s="431"/>
      <c r="AV32" s="56"/>
      <c r="AW32" s="56"/>
    </row>
    <row r="33" spans="1:49" s="57" customFormat="1" ht="30" customHeight="1" x14ac:dyDescent="0.3">
      <c r="A33" s="56"/>
      <c r="B33" s="56"/>
      <c r="C33" s="56"/>
      <c r="D33" s="56"/>
      <c r="E33" s="56"/>
      <c r="F33" s="56"/>
      <c r="G33" s="56"/>
      <c r="H33" s="371" t="s">
        <v>1119</v>
      </c>
      <c r="I33" s="372"/>
      <c r="J33" s="372"/>
      <c r="K33" s="372"/>
      <c r="L33" s="372"/>
      <c r="M33" s="372"/>
      <c r="N33" s="372"/>
      <c r="O33" s="372"/>
      <c r="P33" s="372"/>
      <c r="Q33" s="372"/>
      <c r="R33" s="372"/>
      <c r="S33" s="372"/>
      <c r="T33" s="372"/>
      <c r="U33" s="372"/>
      <c r="V33" s="373"/>
      <c r="W33" s="59"/>
      <c r="X33" s="345" t="s">
        <v>996</v>
      </c>
      <c r="Y33" s="345"/>
      <c r="Z33" s="345"/>
      <c r="AA33" s="345"/>
      <c r="AB33" s="345"/>
      <c r="AC33" s="345"/>
      <c r="AD33" s="345"/>
      <c r="AE33" s="334">
        <f>Q50</f>
        <v>0</v>
      </c>
      <c r="AF33" s="334"/>
      <c r="AG33" s="334"/>
      <c r="AH33" s="346">
        <f t="shared" si="0"/>
        <v>0</v>
      </c>
      <c r="AI33" s="346"/>
      <c r="AJ33" s="346"/>
      <c r="AK33" s="56"/>
      <c r="AL33" s="56"/>
      <c r="AM33" s="56"/>
      <c r="AN33" s="56"/>
      <c r="AO33" s="56"/>
      <c r="AP33" s="56"/>
      <c r="AQ33" s="56"/>
      <c r="AR33" s="56"/>
      <c r="AS33" s="56"/>
      <c r="AT33" s="56"/>
      <c r="AU33" s="56"/>
      <c r="AV33" s="56"/>
      <c r="AW33" s="56"/>
    </row>
    <row r="34" spans="1:49" s="57" customFormat="1" ht="30" customHeight="1" x14ac:dyDescent="0.3">
      <c r="A34" s="56"/>
      <c r="B34" s="56"/>
      <c r="C34" s="56"/>
      <c r="D34" s="56"/>
      <c r="E34" s="56"/>
      <c r="F34" s="56"/>
      <c r="G34" s="56"/>
      <c r="H34" s="335" t="s">
        <v>892</v>
      </c>
      <c r="I34" s="335"/>
      <c r="J34" s="335"/>
      <c r="K34" s="335"/>
      <c r="L34" s="335"/>
      <c r="M34" s="335"/>
      <c r="N34" s="335"/>
      <c r="O34" s="335"/>
      <c r="P34" s="335"/>
      <c r="Q34" s="336">
        <f>SUMIFS(Input[F. W. - Stat (NR AFR) E&amp;G],Input[Institution Name],$H$1)+SUMIFS(Input[F. W. - Stat (NR AFR) Desg],Input[Institution Name],$H$1)+SUMIFS(Input[F. W. - Stat (NR AFR) Aux],Input[Institution Name],$H$1)+SUMIFS(Input[F. W. - Stat (NR AFR) R Exp],Input[Institution Name],$H$1)+SUMIFS(Input[F. W. - Stat (NR AFR) Loan],Input[Institution Name],$H$1)+SUMIFS(Input[F. W. - Stat (NR AFR) Annuity],Input[Institution Name],$H$1)+SUMIFS(Input[F. W. - Stat (NR AFR) Unexp],Input[Institution Name],$H$1)+SUMIFS(Input[F. W. - Stat (NR AFR) R of Ind],Input[Institution Name],$H$1)+SUMIFS(Input[F. W. - Stat (NR AFR) Inv in P],Input[Institution Name],$H$1)</f>
        <v>0</v>
      </c>
      <c r="R34" s="336"/>
      <c r="S34" s="336"/>
      <c r="T34" s="336">
        <f>IFERROR(ROUND(Q34/$Z$1,0),0)</f>
        <v>0</v>
      </c>
      <c r="U34" s="336"/>
      <c r="V34" s="336"/>
      <c r="W34" s="59"/>
      <c r="X34" s="345" t="s">
        <v>907</v>
      </c>
      <c r="Y34" s="345"/>
      <c r="Z34" s="345"/>
      <c r="AA34" s="345"/>
      <c r="AB34" s="345"/>
      <c r="AC34" s="345"/>
      <c r="AD34" s="345"/>
      <c r="AE34" s="334">
        <f>Q53</f>
        <v>0</v>
      </c>
      <c r="AF34" s="334"/>
      <c r="AG34" s="334"/>
      <c r="AH34" s="346">
        <f t="shared" si="0"/>
        <v>0</v>
      </c>
      <c r="AI34" s="346"/>
      <c r="AJ34" s="346"/>
      <c r="AK34" s="56"/>
      <c r="AL34" s="56"/>
      <c r="AM34" s="56"/>
      <c r="AN34" s="56"/>
      <c r="AO34" s="56"/>
      <c r="AP34" s="56"/>
      <c r="AQ34" s="56"/>
      <c r="AR34" s="56"/>
      <c r="AS34" s="56"/>
      <c r="AT34" s="56"/>
      <c r="AU34" s="56"/>
      <c r="AV34" s="56"/>
      <c r="AW34" s="56"/>
    </row>
    <row r="35" spans="1:49" s="57" customFormat="1" ht="30" customHeight="1" x14ac:dyDescent="0.3">
      <c r="A35" s="56"/>
      <c r="B35" s="56"/>
      <c r="C35" s="56"/>
      <c r="D35" s="56"/>
      <c r="E35" s="56"/>
      <c r="F35" s="56"/>
      <c r="G35" s="56"/>
      <c r="H35" s="333" t="s">
        <v>893</v>
      </c>
      <c r="I35" s="333"/>
      <c r="J35" s="333"/>
      <c r="K35" s="333"/>
      <c r="L35" s="333"/>
      <c r="M35" s="333"/>
      <c r="N35" s="333"/>
      <c r="O35" s="333"/>
      <c r="P35" s="333"/>
      <c r="Q35" s="334">
        <f>SUMIFS(Input[F. W. - Inst. (NR AFR) E&amp;G],Input[Institution Name],$H$1)+SUMIFS(Input[F. W. - Inst. (NR AFR) Desg],Input[Institution Name],$H$1)+SUMIFS(Input[F. W. - Inst. (NR AFR) Aux],Input[Institution Name],$H$1)+SUMIFS(Input[F. W. - Inst. (NR AFR) R Exp],Input[Institution Name],$H$1)+SUMIFS(Input[F. W. - Inst. (NR AFR) Loan],Input[Institution Name],$H$1)+SUMIFS(Input[F. W. - Inst. (NR AFR) Annuity],Input[Institution Name],$H$1)+SUMIFS(Input[F. W. - Inst. (NR AFR) Unexp],Input[Institution Name],$H$1)+SUMIFS(Input[F. W. - Inst. (NR AFR) R of Ind],Input[Institution Name],$H$1)+SUMIFS(Input[F. W. - Inst. (NR AFR) Inv in P],Input[Institution Name],$H$1)</f>
        <v>0</v>
      </c>
      <c r="R35" s="334"/>
      <c r="S35" s="334"/>
      <c r="T35" s="334">
        <f>IFERROR(ROUND(Q35/$Z$1,0),0)</f>
        <v>0</v>
      </c>
      <c r="U35" s="334"/>
      <c r="V35" s="334"/>
      <c r="W35" s="59"/>
      <c r="X35" s="345" t="s">
        <v>909</v>
      </c>
      <c r="Y35" s="345"/>
      <c r="Z35" s="345"/>
      <c r="AA35" s="345"/>
      <c r="AB35" s="345"/>
      <c r="AC35" s="345"/>
      <c r="AD35" s="345"/>
      <c r="AE35" s="334">
        <f>Q56</f>
        <v>0</v>
      </c>
      <c r="AF35" s="334"/>
      <c r="AG35" s="334"/>
      <c r="AH35" s="346">
        <f t="shared" si="0"/>
        <v>0</v>
      </c>
      <c r="AI35" s="346"/>
      <c r="AJ35" s="346"/>
      <c r="AK35" s="56"/>
      <c r="AL35" s="56"/>
      <c r="AM35" s="56"/>
      <c r="AN35" s="56"/>
      <c r="AO35" s="56"/>
      <c r="AP35" s="56"/>
      <c r="AQ35" s="56"/>
      <c r="AR35" s="56"/>
      <c r="AS35" s="56"/>
      <c r="AT35" s="56"/>
      <c r="AU35" s="56"/>
      <c r="AV35" s="56"/>
      <c r="AW35" s="56"/>
    </row>
    <row r="36" spans="1:49" s="57" customFormat="1" ht="30" customHeight="1" x14ac:dyDescent="0.3">
      <c r="A36" s="56"/>
      <c r="B36" s="56"/>
      <c r="C36" s="56"/>
      <c r="D36" s="56"/>
      <c r="E36" s="56"/>
      <c r="F36" s="56"/>
      <c r="G36" s="56"/>
      <c r="H36" s="333" t="s">
        <v>894</v>
      </c>
      <c r="I36" s="333"/>
      <c r="J36" s="333"/>
      <c r="K36" s="333"/>
      <c r="L36" s="333"/>
      <c r="M36" s="333"/>
      <c r="N36" s="333"/>
      <c r="O36" s="333"/>
      <c r="P36" s="333"/>
      <c r="Q36" s="334">
        <f>SUMIFS(Input[F. Exp. - Stat (NR AFR) E&amp;G],Input[Institution Name],$H$1)+SUMIFS(Input[F. Exp. - Stat (NR AFR) Desg],Input[Institution Name],$H$1)+SUMIFS(Input[F. Exp. - Stat (NR AFR) Aux],Input[Institution Name],$H$1)+SUMIFS(Input[F. Exp. - Stat (NR AFR) R Exp],Input[Institution Name],$H$1)+SUMIFS(Input[F. Exp. - Stat (NR AFR) Loan],Input[Institution Name],$H$1)+SUMIFS(Input[F. Exp. - Stat (NR AFR) Annuity],Input[Institution Name],$H$1)+SUMIFS(Input[F. Exp. - Stat (NR AFR) Unexp],Input[Institution Name],$H$1)+SUMIFS(Input[F. Exp. - Stat (NR AFR) R of Ind],Input[Institution Name],$H$1)+SUMIFS(Input[F. Exp. - Stat (NR AFR) Inv in P],Input[Institution Name],$H$1)</f>
        <v>0</v>
      </c>
      <c r="R36" s="334"/>
      <c r="S36" s="334"/>
      <c r="T36" s="334">
        <f>IFERROR(ROUND(Q36/$Z$1,0),0)</f>
        <v>0</v>
      </c>
      <c r="U36" s="334"/>
      <c r="V36" s="334"/>
      <c r="W36" s="59"/>
      <c r="X36" s="345" t="s">
        <v>997</v>
      </c>
      <c r="Y36" s="345"/>
      <c r="Z36" s="345"/>
      <c r="AA36" s="345"/>
      <c r="AB36" s="345"/>
      <c r="AC36" s="345"/>
      <c r="AD36" s="345"/>
      <c r="AE36" s="334">
        <f t="shared" ref="AE36:AE41" si="1">Q59</f>
        <v>0</v>
      </c>
      <c r="AF36" s="334"/>
      <c r="AG36" s="334"/>
      <c r="AH36" s="346">
        <f t="shared" si="0"/>
        <v>0</v>
      </c>
      <c r="AI36" s="346"/>
      <c r="AJ36" s="346"/>
      <c r="AK36" s="56"/>
      <c r="AL36" s="56"/>
      <c r="AM36" s="56"/>
      <c r="AN36" s="56"/>
      <c r="AO36" s="56"/>
      <c r="AP36" s="56"/>
      <c r="AQ36" s="56"/>
      <c r="AR36" s="56"/>
      <c r="AS36" s="56"/>
      <c r="AT36" s="56"/>
      <c r="AU36" s="56"/>
      <c r="AV36" s="56"/>
      <c r="AW36" s="56"/>
    </row>
    <row r="37" spans="1:49" s="57" customFormat="1" ht="30" customHeight="1" x14ac:dyDescent="0.3">
      <c r="A37" s="56"/>
      <c r="B37" s="56"/>
      <c r="C37" s="56"/>
      <c r="D37" s="56"/>
      <c r="E37" s="56"/>
      <c r="F37" s="56"/>
      <c r="G37" s="56"/>
      <c r="H37" s="333" t="s">
        <v>895</v>
      </c>
      <c r="I37" s="333"/>
      <c r="J37" s="333"/>
      <c r="K37" s="333"/>
      <c r="L37" s="333"/>
      <c r="M37" s="333"/>
      <c r="N37" s="333"/>
      <c r="O37" s="333"/>
      <c r="P37" s="333"/>
      <c r="Q37" s="334">
        <f>SUMIFS(Input[F. Exp. - Inst. (NR AFR) E&amp;G],Input[Institution Name],$H$1)+SUMIFS(Input[F. Exp. - Inst. (NR AFR) Desg],Input[Institution Name],$H$1)+SUMIFS(Input[F. Exp. - Inst. (NR AFR) Aux],Input[Institution Name],$H$1)+SUMIFS(Input[F. Exp. - Inst. (NR AFR) R Exp],Input[Institution Name],$H$1)+SUMIFS(Input[F. Exp. - Inst. (NR AFR) Loan],Input[Institution Name],$H$1)+SUMIFS(Input[F. Exp. - Inst. (NR AFR) Annuity],Input[Institution Name],$H$1)+SUMIFS(Input[F. Exp. - Inst. (NR AFR) Unexp],Input[Institution Name],$H$1)+SUMIFS(Input[F. Exp. - Inst. (NR AFR) R of Ind],Input[Institution Name],$H$1)+SUMIFS(Input[F. Exp. - Inst. (NR AFR) Inv in P],Input[Institution Name],$H$1)</f>
        <v>0</v>
      </c>
      <c r="R37" s="334"/>
      <c r="S37" s="334"/>
      <c r="T37" s="334">
        <f>IFERROR(ROUND(Q37/$Z$1,0),0)</f>
        <v>0</v>
      </c>
      <c r="U37" s="334"/>
      <c r="V37" s="334"/>
      <c r="W37" s="59"/>
      <c r="X37" s="345" t="s">
        <v>912</v>
      </c>
      <c r="Y37" s="345"/>
      <c r="Z37" s="345"/>
      <c r="AA37" s="345"/>
      <c r="AB37" s="345"/>
      <c r="AC37" s="345"/>
      <c r="AD37" s="345"/>
      <c r="AE37" s="334">
        <f t="shared" si="1"/>
        <v>0</v>
      </c>
      <c r="AF37" s="334"/>
      <c r="AG37" s="334"/>
      <c r="AH37" s="346">
        <f t="shared" si="0"/>
        <v>0</v>
      </c>
      <c r="AI37" s="346"/>
      <c r="AJ37" s="346"/>
      <c r="AK37" s="56"/>
      <c r="AL37" s="56"/>
      <c r="AM37" s="56"/>
      <c r="AN37" s="56"/>
      <c r="AO37" s="56"/>
      <c r="AP37" s="56"/>
      <c r="AQ37" s="56"/>
      <c r="AR37" s="56"/>
      <c r="AS37" s="56"/>
      <c r="AT37" s="56"/>
      <c r="AU37" s="56"/>
      <c r="AV37" s="56"/>
      <c r="AW37" s="56"/>
    </row>
    <row r="38" spans="1:49" s="57" customFormat="1" ht="30" customHeight="1" x14ac:dyDescent="0.3">
      <c r="A38" s="56"/>
      <c r="B38" s="56"/>
      <c r="C38" s="56"/>
      <c r="D38" s="56"/>
      <c r="E38" s="56"/>
      <c r="F38" s="56"/>
      <c r="G38" s="56"/>
      <c r="H38" s="339" t="s">
        <v>902</v>
      </c>
      <c r="I38" s="339"/>
      <c r="J38" s="339"/>
      <c r="K38" s="339"/>
      <c r="L38" s="339"/>
      <c r="M38" s="339"/>
      <c r="N38" s="339"/>
      <c r="O38" s="339"/>
      <c r="P38" s="339"/>
      <c r="Q38" s="340">
        <f>SUMIFS(Input[Fees - Gross E&amp;G],Input[Institution Name],$H$1)+SUMIFS(Input[Fees - Gross Desg],Input[Institution Name],$H$1)+SUMIFS(Input[Fees - Gross Aux],Input[Institution Name],$H$1)+SUMIFS(Input[Fees - Gross R Exp],Input[Institution Name],$H$1)+SUMIFS(Input[Fees - Gross Loan],Input[Institution Name],$H$1)+SUMIFS(Input[Fees - Gross Annuity],Input[Institution Name],$H$1)+SUMIFS(Input[Fees - Gross Unexp],Input[Institution Name],$H$1)+SUMIFS(Input[Fees - Gross R of Ind],Input[Institution Name],$H$1)+SUMIFS(Input[Fees - Gross Inv in P],Input[Institution Name],$H$1)</f>
        <v>0</v>
      </c>
      <c r="R38" s="340"/>
      <c r="S38" s="340"/>
      <c r="T38" s="340">
        <f>IFERROR(ROUND(Q38/$Z$1,0),0)</f>
        <v>0</v>
      </c>
      <c r="U38" s="340"/>
      <c r="V38" s="340"/>
      <c r="W38" s="59"/>
      <c r="X38" s="345" t="s">
        <v>998</v>
      </c>
      <c r="Y38" s="345"/>
      <c r="Z38" s="345"/>
      <c r="AA38" s="345"/>
      <c r="AB38" s="345"/>
      <c r="AC38" s="345"/>
      <c r="AD38" s="345"/>
      <c r="AE38" s="334">
        <f t="shared" si="1"/>
        <v>0</v>
      </c>
      <c r="AF38" s="334"/>
      <c r="AG38" s="334"/>
      <c r="AH38" s="346">
        <f t="shared" si="0"/>
        <v>0</v>
      </c>
      <c r="AI38" s="346"/>
      <c r="AJ38" s="346"/>
      <c r="AK38" s="56"/>
      <c r="AL38" s="56"/>
      <c r="AM38" s="56"/>
      <c r="AN38" s="56"/>
      <c r="AO38" s="56"/>
      <c r="AP38" s="56"/>
      <c r="AQ38" s="56"/>
      <c r="AR38" s="56"/>
      <c r="AS38" s="56"/>
      <c r="AT38" s="56"/>
      <c r="AU38" s="56"/>
      <c r="AV38" s="56"/>
      <c r="AW38" s="56"/>
    </row>
    <row r="39" spans="1:49" s="57" customFormat="1" ht="30" customHeight="1" x14ac:dyDescent="0.3">
      <c r="A39" s="56"/>
      <c r="B39" s="56"/>
      <c r="C39" s="56"/>
      <c r="D39" s="56"/>
      <c r="E39" s="56"/>
      <c r="F39" s="56"/>
      <c r="G39" s="56"/>
      <c r="H39" s="371" t="s">
        <v>897</v>
      </c>
      <c r="I39" s="372"/>
      <c r="J39" s="372"/>
      <c r="K39" s="372"/>
      <c r="L39" s="372"/>
      <c r="M39" s="372"/>
      <c r="N39" s="372"/>
      <c r="O39" s="372"/>
      <c r="P39" s="372"/>
      <c r="Q39" s="372"/>
      <c r="R39" s="372"/>
      <c r="S39" s="372"/>
      <c r="T39" s="372"/>
      <c r="U39" s="372"/>
      <c r="V39" s="373"/>
      <c r="W39" s="59"/>
      <c r="X39" s="345" t="s">
        <v>999</v>
      </c>
      <c r="Y39" s="345"/>
      <c r="Z39" s="345"/>
      <c r="AA39" s="345"/>
      <c r="AB39" s="345"/>
      <c r="AC39" s="345"/>
      <c r="AD39" s="345"/>
      <c r="AE39" s="334">
        <f t="shared" si="1"/>
        <v>0</v>
      </c>
      <c r="AF39" s="334"/>
      <c r="AG39" s="334"/>
      <c r="AH39" s="346">
        <f t="shared" si="0"/>
        <v>0</v>
      </c>
      <c r="AI39" s="346"/>
      <c r="AJ39" s="346"/>
      <c r="AK39" s="56"/>
      <c r="AL39" s="56"/>
      <c r="AM39" s="56"/>
      <c r="AN39" s="56"/>
      <c r="AO39" s="56"/>
      <c r="AP39" s="56"/>
      <c r="AQ39" s="56"/>
      <c r="AR39" s="56"/>
      <c r="AS39" s="56"/>
      <c r="AT39" s="56"/>
      <c r="AU39" s="56"/>
      <c r="AV39" s="56"/>
      <c r="AW39" s="56"/>
    </row>
    <row r="40" spans="1:49" s="57" customFormat="1" ht="30" customHeight="1" x14ac:dyDescent="0.3">
      <c r="A40" s="56"/>
      <c r="B40" s="56"/>
      <c r="C40" s="56"/>
      <c r="D40" s="56"/>
      <c r="E40" s="56"/>
      <c r="F40" s="56"/>
      <c r="G40" s="56"/>
      <c r="H40" s="337" t="s">
        <v>892</v>
      </c>
      <c r="I40" s="337"/>
      <c r="J40" s="337"/>
      <c r="K40" s="337"/>
      <c r="L40" s="337"/>
      <c r="M40" s="337"/>
      <c r="N40" s="337"/>
      <c r="O40" s="337"/>
      <c r="P40" s="337"/>
      <c r="Q40" s="338">
        <f>SUMIFS(Input[F. W. - Stat (R AFR) E&amp;G],Input[Institution Name],$H$1)+SUMIFS(Input[F. W. - Stat (R AFR) Desg],Input[Institution Name],$H$1)+SUMIFS(Input[F. W. - Stat (R AFR) Aux],Input[Institution Name],$H$1)+SUMIFS(Input[F. W. - Stat (R AFR) R Exp],Input[Institution Name],$H$1)+SUMIFS(Input[F. W. - Stat (R AFR) Loan],Input[Institution Name],$H$1)+SUMIFS(Input[F. W. - Stat (R AFR) Annuity],Input[Institution Name],$H$1)+SUMIFS(Input[F. W. - Stat (R AFR) Unexp],Input[Institution Name],$H$1)+SUMIFS(Input[F. W. - Stat (R AFR) R of Ind],Input[Institution Name],$H$1)+SUMIFS(Input[F. W. - Stat (R AFR) Inv in P],Input[Institution Name],$H$1)</f>
        <v>0</v>
      </c>
      <c r="R40" s="338"/>
      <c r="S40" s="338"/>
      <c r="T40" s="338">
        <f>IFERROR(ROUND(Q40/$Z$1,0),0)</f>
        <v>0</v>
      </c>
      <c r="U40" s="338"/>
      <c r="V40" s="338"/>
      <c r="W40" s="59"/>
      <c r="X40" s="345" t="s">
        <v>915</v>
      </c>
      <c r="Y40" s="345"/>
      <c r="Z40" s="345"/>
      <c r="AA40" s="345"/>
      <c r="AB40" s="345"/>
      <c r="AC40" s="345"/>
      <c r="AD40" s="345"/>
      <c r="AE40" s="334">
        <f t="shared" si="1"/>
        <v>0</v>
      </c>
      <c r="AF40" s="334"/>
      <c r="AG40" s="334"/>
      <c r="AH40" s="346">
        <f t="shared" si="0"/>
        <v>0</v>
      </c>
      <c r="AI40" s="346"/>
      <c r="AJ40" s="346"/>
      <c r="AK40" s="56"/>
      <c r="AL40" s="56"/>
      <c r="AM40" s="56"/>
      <c r="AN40" s="56"/>
      <c r="AO40" s="56"/>
      <c r="AP40" s="56"/>
      <c r="AQ40" s="56"/>
      <c r="AR40" s="56"/>
      <c r="AS40" s="56"/>
      <c r="AT40" s="56"/>
      <c r="AU40" s="56"/>
      <c r="AV40" s="56"/>
      <c r="AW40" s="56"/>
    </row>
    <row r="41" spans="1:49" s="57" customFormat="1" ht="30" customHeight="1" x14ac:dyDescent="0.3">
      <c r="A41" s="56"/>
      <c r="B41" s="56"/>
      <c r="C41" s="56"/>
      <c r="D41" s="56"/>
      <c r="E41" s="56"/>
      <c r="F41" s="56"/>
      <c r="G41" s="56"/>
      <c r="H41" s="333" t="s">
        <v>893</v>
      </c>
      <c r="I41" s="333"/>
      <c r="J41" s="333"/>
      <c r="K41" s="333"/>
      <c r="L41" s="333"/>
      <c r="M41" s="333"/>
      <c r="N41" s="333"/>
      <c r="O41" s="333"/>
      <c r="P41" s="333"/>
      <c r="Q41" s="334">
        <f>SUMIFS(Input[F. W. - Inst. (R AFR) E&amp;G],Input[Institution Name],$H$1)+SUMIFS(Input[F. W. - Inst. (R AFR) Desg],Input[Institution Name],$H$1)+SUMIFS(Input[F. W. - Inst. (R AFR) Aux],Input[Institution Name],$H$1)+SUMIFS(Input[F. W. - Inst. (R AFR) R Exp],Input[Institution Name],$H$1)+SUMIFS(Input[F. W. - Inst. (R AFR) Loan],Input[Institution Name],$H$1)+SUMIFS(Input[F. W. - Inst. (R AFR) Annuity],Input[Institution Name],$H$1)+SUMIFS(Input[F. W. - Inst. (R AFR) Unexp],Input[Institution Name],$H$1)+SUMIFS(Input[F. W. - Inst. (R AFR) R of Ind],Input[Institution Name],$H$1)+SUMIFS(Input[F. W. - Inst. (R AFR) Inv in P],Input[Institution Name],$H$1)</f>
        <v>0</v>
      </c>
      <c r="R41" s="334"/>
      <c r="S41" s="334"/>
      <c r="T41" s="334">
        <f>IFERROR(ROUND(Q41/$Z$1,0),0)</f>
        <v>0</v>
      </c>
      <c r="U41" s="334"/>
      <c r="V41" s="334"/>
      <c r="W41" s="59"/>
      <c r="X41" s="437" t="s">
        <v>916</v>
      </c>
      <c r="Y41" s="437"/>
      <c r="Z41" s="437"/>
      <c r="AA41" s="437"/>
      <c r="AB41" s="437"/>
      <c r="AC41" s="437"/>
      <c r="AD41" s="437"/>
      <c r="AE41" s="340">
        <f t="shared" si="1"/>
        <v>0</v>
      </c>
      <c r="AF41" s="340"/>
      <c r="AG41" s="340"/>
      <c r="AH41" s="438">
        <f t="shared" si="0"/>
        <v>0</v>
      </c>
      <c r="AI41" s="438"/>
      <c r="AJ41" s="438"/>
      <c r="AK41" s="56"/>
      <c r="AL41" s="56"/>
      <c r="AM41" s="56"/>
      <c r="AN41" s="56"/>
      <c r="AO41" s="56"/>
      <c r="AP41" s="56"/>
      <c r="AQ41" s="56"/>
      <c r="AR41" s="56"/>
      <c r="AS41" s="56"/>
      <c r="AT41" s="56"/>
      <c r="AU41" s="56"/>
      <c r="AV41" s="56"/>
      <c r="AW41" s="56"/>
    </row>
    <row r="42" spans="1:49" s="57" customFormat="1" ht="30" customHeight="1" x14ac:dyDescent="0.3">
      <c r="A42" s="56"/>
      <c r="B42" s="56"/>
      <c r="C42" s="56"/>
      <c r="D42" s="56"/>
      <c r="E42" s="56"/>
      <c r="F42" s="56"/>
      <c r="G42" s="56"/>
      <c r="H42" s="333" t="s">
        <v>894</v>
      </c>
      <c r="I42" s="333"/>
      <c r="J42" s="333"/>
      <c r="K42" s="333"/>
      <c r="L42" s="333"/>
      <c r="M42" s="333"/>
      <c r="N42" s="333"/>
      <c r="O42" s="333"/>
      <c r="P42" s="333"/>
      <c r="Q42" s="334">
        <f>SUMIFS(Input[F. Exp. - Stat (R AFR) E&amp;G],Input[Institution Name],$H$1)+SUMIFS(Input[F. Exp. - Stat (R AFR) Desg],Input[Institution Name],$H$1)+SUMIFS(Input[F. Exp. - Stat (R AFR) Aux],Input[Institution Name],$H$1)+SUMIFS(Input[F. Exp. - Stat (R AFR) R Exp],Input[Institution Name],$H$1)+SUMIFS(Input[F. Exp. - Stat (R AFR) Loan],Input[Institution Name],$H$1)+SUMIFS(Input[F. Exp. - Stat (R AFR) Annuity],Input[Institution Name],$H$1)+SUMIFS(Input[F. Exp. - Stat (R AFR) Unexp],Input[Institution Name],$H$1)+SUMIFS(Input[F. Exp. - Stat (R AFR) R of Ind],Input[Institution Name],$H$1)+SUMIFS(Input[F. Exp. - Stat (R AFR) Inv in P],Input[Institution Name],$H$1)</f>
        <v>0</v>
      </c>
      <c r="R42" s="334"/>
      <c r="S42" s="334"/>
      <c r="T42" s="334">
        <f>IFERROR(ROUND(Q42/$Z$1,0),0)</f>
        <v>0</v>
      </c>
      <c r="U42" s="334"/>
      <c r="V42" s="334"/>
      <c r="W42" s="59"/>
      <c r="X42" s="59"/>
      <c r="Y42" s="59"/>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row>
    <row r="43" spans="1:49" s="57" customFormat="1" ht="30" customHeight="1" x14ac:dyDescent="0.3">
      <c r="A43" s="56"/>
      <c r="B43" s="56"/>
      <c r="C43" s="56"/>
      <c r="D43" s="56"/>
      <c r="E43" s="56"/>
      <c r="F43" s="56"/>
      <c r="G43" s="56"/>
      <c r="H43" s="333" t="s">
        <v>895</v>
      </c>
      <c r="I43" s="333"/>
      <c r="J43" s="333"/>
      <c r="K43" s="333"/>
      <c r="L43" s="333"/>
      <c r="M43" s="333"/>
      <c r="N43" s="333"/>
      <c r="O43" s="333"/>
      <c r="P43" s="333"/>
      <c r="Q43" s="334">
        <f>SUMIFS(Input[F. Exp. - Inst. (R AFR) E&amp;G],Input[Institution Name],$H$1)+SUMIFS(Input[F. Exp. - Inst. (R AFR) Desg],Input[Institution Name],$H$1)+SUMIFS(Input[F. Exp. - Inst. (R AFR) Aux],Input[Institution Name],$H$1)+SUMIFS(Input[F. Exp. - Inst. (R AFR) R Exp],Input[Institution Name],$H$1)+SUMIFS(Input[F. Exp. - Inst. (R AFR) Loan],Input[Institution Name],$H$1)+SUMIFS(Input[F. Exp. - Inst. (R AFR) Annuity],Input[Institution Name],$H$1)+SUMIFS(Input[F. Exp. - Inst. (R AFR) Unexp],Input[Institution Name],$H$1)+SUMIFS(Input[F. Exp. - Inst. (R AFR) R of Ind],Input[Institution Name],$H$1)+SUMIFS(Input[F. Exp. - Inst. (R AFR) Inv in P],Input[Institution Name],$H$1)</f>
        <v>0</v>
      </c>
      <c r="R43" s="334"/>
      <c r="S43" s="334"/>
      <c r="T43" s="334">
        <f>IFERROR(ROUND(Q43/$Z$1,0),0)</f>
        <v>0</v>
      </c>
      <c r="U43" s="334"/>
      <c r="V43" s="334"/>
      <c r="W43" s="59"/>
      <c r="X43" s="59"/>
      <c r="Y43" s="59"/>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row>
    <row r="44" spans="1:49" s="57" customFormat="1" ht="30" customHeight="1" x14ac:dyDescent="0.3">
      <c r="A44" s="56"/>
      <c r="B44" s="56"/>
      <c r="C44" s="56"/>
      <c r="D44" s="56"/>
      <c r="E44" s="56"/>
      <c r="F44" s="56"/>
      <c r="G44" s="56"/>
      <c r="H44" s="333" t="s">
        <v>898</v>
      </c>
      <c r="I44" s="333"/>
      <c r="J44" s="333"/>
      <c r="K44" s="333"/>
      <c r="L44" s="333"/>
      <c r="M44" s="333"/>
      <c r="N44" s="333"/>
      <c r="O44" s="333"/>
      <c r="P44" s="333"/>
      <c r="Q44" s="334">
        <f>SUMIFS(Input[Fee Schlr E&amp;G],Input[Institution Name],$H$1)+SUMIFS(Input[Fee Schlr Desg],Input[Institution Name],$H$1)+SUMIFS(Input[Fee Schlr Aux],Input[Institution Name],$H$1)+SUMIFS(Input[Fee Schlr R Exp],Input[Institution Name],$H$1)+SUMIFS(Input[Fee Schlr Loan],Input[Institution Name],$H$1)+SUMIFS(Input[Fee Schlr Annuity],Input[Institution Name],$H$1)+SUMIFS(Input[Fee Schlr Unexp],Input[Institution Name],$H$1)+SUMIFS(Input[Fee Schlr R of Ind],Input[Institution Name],$H$1)+SUMIFS(Input[Fee Schlr Inv in P],Input[Institution Name],$H$1)</f>
        <v>0</v>
      </c>
      <c r="R44" s="334"/>
      <c r="S44" s="334"/>
      <c r="T44" s="334">
        <f>IFERROR(ROUND(Q44/$Z$1,0),0)</f>
        <v>0</v>
      </c>
      <c r="U44" s="334"/>
      <c r="V44" s="334"/>
      <c r="W44" s="59"/>
      <c r="X44" s="59"/>
      <c r="Y44" s="59"/>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row>
    <row r="45" spans="1:49" s="57" customFormat="1" ht="30" customHeight="1" x14ac:dyDescent="0.3">
      <c r="A45" s="56"/>
      <c r="B45" s="56"/>
      <c r="C45" s="56"/>
      <c r="D45" s="56"/>
      <c r="E45" s="56"/>
      <c r="F45" s="56"/>
      <c r="G45" s="56"/>
      <c r="H45" s="341" t="s">
        <v>903</v>
      </c>
      <c r="I45" s="341"/>
      <c r="J45" s="341"/>
      <c r="K45" s="341"/>
      <c r="L45" s="341"/>
      <c r="M45" s="341"/>
      <c r="N45" s="341"/>
      <c r="O45" s="341"/>
      <c r="P45" s="341"/>
      <c r="Q45" s="342">
        <f>SUM(Q38,Q40:S44)</f>
        <v>0</v>
      </c>
      <c r="R45" s="342"/>
      <c r="S45" s="342"/>
      <c r="T45" s="342">
        <f>SUM(T38,T40:V44)</f>
        <v>0</v>
      </c>
      <c r="U45" s="342"/>
      <c r="V45" s="342"/>
      <c r="W45" s="59"/>
      <c r="X45" s="59"/>
      <c r="Y45" s="59"/>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row>
    <row r="46" spans="1:49" s="57" customFormat="1" ht="30" customHeight="1" x14ac:dyDescent="0.3">
      <c r="A46" s="56"/>
      <c r="B46" s="56"/>
      <c r="C46" s="56"/>
      <c r="D46" s="56"/>
      <c r="E46" s="56"/>
      <c r="F46" s="56"/>
      <c r="G46" s="56"/>
      <c r="H46" s="59"/>
      <c r="I46" s="59"/>
      <c r="J46" s="59"/>
      <c r="K46" s="59"/>
      <c r="L46" s="59"/>
      <c r="M46" s="59"/>
      <c r="N46" s="59"/>
      <c r="O46" s="59"/>
      <c r="P46" s="59"/>
      <c r="Q46" s="80"/>
      <c r="R46" s="80"/>
      <c r="S46" s="80"/>
      <c r="T46" s="80"/>
      <c r="U46" s="80"/>
      <c r="V46" s="80"/>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row>
    <row r="47" spans="1:49" s="57" customFormat="1" ht="30" customHeight="1" x14ac:dyDescent="0.3">
      <c r="A47" s="56"/>
      <c r="B47" s="56"/>
      <c r="C47" s="56"/>
      <c r="D47" s="56"/>
      <c r="E47" s="56"/>
      <c r="F47" s="56"/>
      <c r="G47" s="56"/>
      <c r="H47" s="348" t="s">
        <v>904</v>
      </c>
      <c r="I47" s="348"/>
      <c r="J47" s="348"/>
      <c r="K47" s="348"/>
      <c r="L47" s="348"/>
      <c r="M47" s="348"/>
      <c r="N47" s="348"/>
      <c r="O47" s="348"/>
      <c r="P47" s="348"/>
      <c r="Q47" s="343">
        <f>SUM(Q30,Q45)</f>
        <v>0</v>
      </c>
      <c r="R47" s="343"/>
      <c r="S47" s="343"/>
      <c r="T47" s="343">
        <f>IFERROR(ROUND(Q47/$Z$1,0),0)</f>
        <v>0</v>
      </c>
      <c r="U47" s="343"/>
      <c r="V47" s="343"/>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row>
    <row r="48" spans="1:49" s="57" customFormat="1" ht="30" customHeight="1" x14ac:dyDescent="0.3">
      <c r="A48" s="56"/>
      <c r="B48" s="56"/>
      <c r="C48" s="56"/>
      <c r="D48" s="56"/>
      <c r="E48" s="56"/>
      <c r="F48" s="56"/>
      <c r="G48" s="56"/>
      <c r="H48" s="59"/>
      <c r="I48" s="59"/>
      <c r="J48" s="59"/>
      <c r="K48" s="59"/>
      <c r="L48" s="59"/>
      <c r="M48" s="59"/>
      <c r="N48" s="59"/>
      <c r="O48" s="59"/>
      <c r="P48" s="59"/>
      <c r="Q48" s="80"/>
      <c r="R48" s="80"/>
      <c r="S48" s="80"/>
      <c r="T48" s="80"/>
      <c r="U48" s="80"/>
      <c r="V48" s="80"/>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row>
    <row r="49" spans="1:49" s="57" customFormat="1" ht="30" customHeight="1" x14ac:dyDescent="0.3">
      <c r="A49" s="56"/>
      <c r="B49" s="56"/>
      <c r="C49" s="56"/>
      <c r="D49" s="56"/>
      <c r="E49" s="56"/>
      <c r="F49" s="56"/>
      <c r="G49" s="56"/>
      <c r="H49" s="349" t="s">
        <v>905</v>
      </c>
      <c r="I49" s="350"/>
      <c r="J49" s="350"/>
      <c r="K49" s="350"/>
      <c r="L49" s="350"/>
      <c r="M49" s="350"/>
      <c r="N49" s="350"/>
      <c r="O49" s="350"/>
      <c r="P49" s="350"/>
      <c r="Q49" s="351" t="s">
        <v>981</v>
      </c>
      <c r="R49" s="351"/>
      <c r="S49" s="351"/>
      <c r="T49" s="351" t="s">
        <v>982</v>
      </c>
      <c r="U49" s="351"/>
      <c r="V49" s="352"/>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row>
    <row r="50" spans="1:49" s="57" customFormat="1" ht="30" customHeight="1" x14ac:dyDescent="0.3">
      <c r="A50" s="56"/>
      <c r="B50" s="56"/>
      <c r="C50" s="56"/>
      <c r="D50" s="56"/>
      <c r="E50" s="56"/>
      <c r="F50" s="56"/>
      <c r="G50" s="56"/>
      <c r="H50" s="347" t="s">
        <v>906</v>
      </c>
      <c r="I50" s="347"/>
      <c r="J50" s="347"/>
      <c r="K50" s="347"/>
      <c r="L50" s="347"/>
      <c r="M50" s="347"/>
      <c r="N50" s="347"/>
      <c r="O50" s="347"/>
      <c r="P50" s="347"/>
      <c r="Q50" s="343">
        <f>SUMIFS(Input[Fed G&amp;C E&amp;G],Input[Institution Name],$H$1)+SUMIFS(Input[Fed G&amp;C Desg],Input[Institution Name],$H$1)+SUMIFS(Input[Fed G&amp;C Aux],Input[Institution Name],$H$1)+SUMIFS(Input[Fed G&amp;C R Exp],Input[Institution Name],$H$1)+SUMIFS(Input[Fed G&amp;C Loan],Input[Institution Name],$H$1)+SUMIFS(Input[Fed G&amp;C Annuity],Input[Institution Name],$H$1)+SUMIFS(Input[Fed G&amp;C Unexp],Input[Institution Name],$H$1)+SUMIFS(Input[Fed G&amp;C R of Ind],Input[Institution Name],$H$1)+SUMIFS(Input[Fed G&amp;C Inv in P],Input[Institution Name],$H$1)</f>
        <v>0</v>
      </c>
      <c r="R50" s="343"/>
      <c r="S50" s="343"/>
      <c r="T50" s="343">
        <f>IFERROR(ROUND(Q50/$Z$1,0),0)</f>
        <v>0</v>
      </c>
      <c r="U50" s="343"/>
      <c r="V50" s="343"/>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row>
    <row r="51" spans="1:49" s="57" customFormat="1" ht="30" customHeight="1" x14ac:dyDescent="0.3">
      <c r="A51" s="56"/>
      <c r="B51" s="56"/>
      <c r="C51" s="56"/>
      <c r="D51" s="56"/>
      <c r="E51" s="56"/>
      <c r="F51" s="56"/>
      <c r="G51" s="56"/>
      <c r="H51" s="59"/>
      <c r="I51" s="59"/>
      <c r="J51" s="59"/>
      <c r="K51" s="59"/>
      <c r="L51" s="59"/>
      <c r="M51" s="59"/>
      <c r="N51" s="59"/>
      <c r="O51" s="59"/>
      <c r="P51" s="59"/>
      <c r="Q51" s="80"/>
      <c r="R51" s="80"/>
      <c r="S51" s="80"/>
      <c r="T51" s="80"/>
      <c r="U51" s="80"/>
      <c r="V51" s="80"/>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row>
    <row r="52" spans="1:49" s="57" customFormat="1" ht="30" customHeight="1" x14ac:dyDescent="0.3">
      <c r="A52" s="56"/>
      <c r="B52" s="56"/>
      <c r="C52" s="56"/>
      <c r="D52" s="56"/>
      <c r="E52" s="56"/>
      <c r="F52" s="56"/>
      <c r="G52" s="56"/>
      <c r="H52" s="349" t="s">
        <v>907</v>
      </c>
      <c r="I52" s="350"/>
      <c r="J52" s="350"/>
      <c r="K52" s="350"/>
      <c r="L52" s="350"/>
      <c r="M52" s="350"/>
      <c r="N52" s="350"/>
      <c r="O52" s="350"/>
      <c r="P52" s="350"/>
      <c r="Q52" s="351" t="s">
        <v>981</v>
      </c>
      <c r="R52" s="351"/>
      <c r="S52" s="351"/>
      <c r="T52" s="351" t="s">
        <v>982</v>
      </c>
      <c r="U52" s="351"/>
      <c r="V52" s="352"/>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row>
    <row r="53" spans="1:49" s="57" customFormat="1" ht="30" customHeight="1" x14ac:dyDescent="0.3">
      <c r="A53" s="56"/>
      <c r="B53" s="56"/>
      <c r="C53" s="56"/>
      <c r="D53" s="56"/>
      <c r="E53" s="56"/>
      <c r="F53" s="56"/>
      <c r="G53" s="56"/>
      <c r="H53" s="347" t="s">
        <v>908</v>
      </c>
      <c r="I53" s="347"/>
      <c r="J53" s="347"/>
      <c r="K53" s="347"/>
      <c r="L53" s="347"/>
      <c r="M53" s="347"/>
      <c r="N53" s="347"/>
      <c r="O53" s="347"/>
      <c r="P53" s="347"/>
      <c r="Q53" s="343">
        <f>SUMIFS(Input[Prof Fees E&amp;G],Input[Institution Name],$H$1)+SUMIFS(Input[Prof Fees Desg],Input[Institution Name],$H$1)+SUMIFS(Input[Prof Fees Aux],Input[Institution Name],$H$1)+SUMIFS(Input[Prof Fees R Exp],Input[Institution Name],$H$1)+SUMIFS(Input[Prof Fees Loan],Input[Institution Name],$H$1)+SUMIFS(Input[Prof Fees Annuity],Input[Institution Name],$H$1)+SUMIFS(Input[Prof Fees Unexp],Input[Institution Name],$H$1)+SUMIFS(Input[Prof Fees R of Ind],Input[Institution Name],$H$1)+SUMIFS(Input[Prof Fees Inv in P],Input[Institution Name],$H$1)</f>
        <v>0</v>
      </c>
      <c r="R53" s="343"/>
      <c r="S53" s="343"/>
      <c r="T53" s="343">
        <f>IFERROR(ROUND(Q53/$Z$1,0),0)</f>
        <v>0</v>
      </c>
      <c r="U53" s="343"/>
      <c r="V53" s="343"/>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row>
    <row r="54" spans="1:49" s="57" customFormat="1" ht="30" customHeight="1" x14ac:dyDescent="0.3">
      <c r="A54" s="56"/>
      <c r="B54" s="56"/>
      <c r="C54" s="56"/>
      <c r="D54" s="56"/>
      <c r="E54" s="56"/>
      <c r="F54" s="56"/>
      <c r="G54" s="56"/>
      <c r="H54" s="59"/>
      <c r="I54" s="59"/>
      <c r="J54" s="59"/>
      <c r="K54" s="59"/>
      <c r="L54" s="59"/>
      <c r="M54" s="59"/>
      <c r="N54" s="59"/>
      <c r="O54" s="59"/>
      <c r="P54" s="59"/>
      <c r="Q54" s="80"/>
      <c r="R54" s="80"/>
      <c r="S54" s="80"/>
      <c r="T54" s="80"/>
      <c r="U54" s="80"/>
      <c r="V54" s="80"/>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row>
    <row r="55" spans="1:49" s="57" customFormat="1" ht="30" customHeight="1" x14ac:dyDescent="0.3">
      <c r="A55" s="56"/>
      <c r="B55" s="56"/>
      <c r="C55" s="56"/>
      <c r="D55" s="56"/>
      <c r="E55" s="56"/>
      <c r="F55" s="56"/>
      <c r="G55" s="56"/>
      <c r="H55" s="349" t="s">
        <v>909</v>
      </c>
      <c r="I55" s="350"/>
      <c r="J55" s="350"/>
      <c r="K55" s="350"/>
      <c r="L55" s="350"/>
      <c r="M55" s="350"/>
      <c r="N55" s="350"/>
      <c r="O55" s="350"/>
      <c r="P55" s="350"/>
      <c r="Q55" s="351" t="s">
        <v>981</v>
      </c>
      <c r="R55" s="351"/>
      <c r="S55" s="351"/>
      <c r="T55" s="351" t="s">
        <v>982</v>
      </c>
      <c r="U55" s="351"/>
      <c r="V55" s="352"/>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row>
    <row r="56" spans="1:49" s="57" customFormat="1" ht="30" customHeight="1" x14ac:dyDescent="0.3">
      <c r="A56" s="56"/>
      <c r="B56" s="56"/>
      <c r="C56" s="56"/>
      <c r="D56" s="56"/>
      <c r="E56" s="56"/>
      <c r="F56" s="56"/>
      <c r="G56" s="56"/>
      <c r="H56" s="347" t="s">
        <v>908</v>
      </c>
      <c r="I56" s="347"/>
      <c r="J56" s="347"/>
      <c r="K56" s="347"/>
      <c r="L56" s="347"/>
      <c r="M56" s="347"/>
      <c r="N56" s="347"/>
      <c r="O56" s="347"/>
      <c r="P56" s="347"/>
      <c r="Q56" s="343">
        <f>SUMIFS(Input[H&amp;C E&amp;G],Input[Institution Name],$H$1)+SUMIFS(Input[H&amp;C Desg],Input[Institution Name],$H$1)+SUMIFS(Input[H&amp;C Aux],Input[Institution Name],$H$1)+SUMIFS(Input[H&amp;C R Exp],Input[Institution Name],$H$1)+SUMIFS(Input[H&amp;C Loan],Input[Institution Name],$H$1)+SUMIFS(Input[H&amp;C Annuity],Input[Institution Name],$H$1)+SUMIFS(Input[H&amp;C Unexp],Input[Institution Name],$H$1)+SUMIFS(Input[H&amp;C R of Ind],Input[Institution Name],$H$1)+SUMIFS(Input[H&amp;C Inv in P],Input[Institution Name],$H$1)</f>
        <v>0</v>
      </c>
      <c r="R56" s="343"/>
      <c r="S56" s="343"/>
      <c r="T56" s="343">
        <f>IFERROR(ROUND(Q56/$Z$1,0),0)</f>
        <v>0</v>
      </c>
      <c r="U56" s="343"/>
      <c r="V56" s="343"/>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row>
    <row r="57" spans="1:49" s="57" customFormat="1" ht="30" customHeight="1" x14ac:dyDescent="0.3">
      <c r="A57" s="56"/>
      <c r="B57" s="56"/>
      <c r="C57" s="56"/>
      <c r="D57" s="56"/>
      <c r="E57" s="56"/>
      <c r="F57" s="56"/>
      <c r="G57" s="56"/>
      <c r="H57" s="59"/>
      <c r="I57" s="59"/>
      <c r="J57" s="59"/>
      <c r="K57" s="59"/>
      <c r="L57" s="59"/>
      <c r="M57" s="59"/>
      <c r="N57" s="59"/>
      <c r="O57" s="59"/>
      <c r="P57" s="59"/>
      <c r="Q57" s="80"/>
      <c r="R57" s="80"/>
      <c r="S57" s="80"/>
      <c r="T57" s="80"/>
      <c r="U57" s="80"/>
      <c r="V57" s="80"/>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row>
    <row r="58" spans="1:49" s="57" customFormat="1" ht="30" customHeight="1" x14ac:dyDescent="0.3">
      <c r="A58" s="56"/>
      <c r="B58" s="56"/>
      <c r="C58" s="56"/>
      <c r="D58" s="56"/>
      <c r="E58" s="56"/>
      <c r="F58" s="56"/>
      <c r="G58" s="56"/>
      <c r="H58" s="382" t="s">
        <v>910</v>
      </c>
      <c r="I58" s="383"/>
      <c r="J58" s="383"/>
      <c r="K58" s="383"/>
      <c r="L58" s="383"/>
      <c r="M58" s="383"/>
      <c r="N58" s="383"/>
      <c r="O58" s="383"/>
      <c r="P58" s="383"/>
      <c r="Q58" s="384" t="s">
        <v>981</v>
      </c>
      <c r="R58" s="384"/>
      <c r="S58" s="384"/>
      <c r="T58" s="384" t="s">
        <v>982</v>
      </c>
      <c r="U58" s="384"/>
      <c r="V58" s="385"/>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row>
    <row r="59" spans="1:49" s="57" customFormat="1" ht="30" customHeight="1" x14ac:dyDescent="0.3">
      <c r="A59" s="56"/>
      <c r="B59" s="56"/>
      <c r="C59" s="56"/>
      <c r="D59" s="56"/>
      <c r="E59" s="56"/>
      <c r="F59" s="56"/>
      <c r="G59" s="56"/>
      <c r="H59" s="335" t="s">
        <v>911</v>
      </c>
      <c r="I59" s="335"/>
      <c r="J59" s="335"/>
      <c r="K59" s="335"/>
      <c r="L59" s="335"/>
      <c r="M59" s="335"/>
      <c r="N59" s="335"/>
      <c r="O59" s="335"/>
      <c r="P59" s="335"/>
      <c r="Q59" s="336">
        <f>SUMIFS(Input[End &amp; Int Inc E&amp;G],Input[Institution Name],$H$1)+SUMIFS(Input[End &amp; Int Inc Desg],Input[Institution Name],$H$1)+SUMIFS(Input[End &amp; Int Inc Aux],Input[Institution Name],$H$1)+SUMIFS(Input[End &amp; Int Inc R Exp],Input[Institution Name],$H$1)+SUMIFS(Input[End &amp; Int Inc Loan],Input[Institution Name],$H$1)+SUMIFS(Input[End &amp; Int Inc Annuity],Input[Institution Name],$H$1)+SUMIFS(Input[End &amp; Int Inc Unexp],Input[Institution Name],$H$1)+SUMIFS(Input[End &amp; Int Inc R of Ind],Input[Institution Name],$H$1)+SUMIFS(Input[End &amp; Int Inc Inv in P],Input[Institution Name],$H$1)</f>
        <v>0</v>
      </c>
      <c r="R59" s="336"/>
      <c r="S59" s="336"/>
      <c r="T59" s="336">
        <f t="shared" ref="T59:T64" si="2">IFERROR(ROUND(Q59/$Z$1,0),0)</f>
        <v>0</v>
      </c>
      <c r="U59" s="336"/>
      <c r="V59" s="33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row>
    <row r="60" spans="1:49" s="57" customFormat="1" ht="30" customHeight="1" x14ac:dyDescent="0.3">
      <c r="A60" s="56"/>
      <c r="B60" s="56"/>
      <c r="C60" s="56"/>
      <c r="D60" s="56"/>
      <c r="E60" s="56"/>
      <c r="F60" s="56"/>
      <c r="G60" s="56"/>
      <c r="H60" s="333" t="s">
        <v>912</v>
      </c>
      <c r="I60" s="333"/>
      <c r="J60" s="333"/>
      <c r="K60" s="333"/>
      <c r="L60" s="333"/>
      <c r="M60" s="333"/>
      <c r="N60" s="333"/>
      <c r="O60" s="333"/>
      <c r="P60" s="333"/>
      <c r="Q60" s="334">
        <f>SUMIFS(Input[Loc Gov G E&amp;G],Input[Institution Name],$H$1)+SUMIFS(Input[Loc Gov G Desg],Input[Institution Name],$H$1)+SUMIFS(Input[Loc Gov G Aux],Input[Institution Name],$H$1)+SUMIFS(Input[Loc Gov G R Exp],Input[Institution Name],$H$1)+SUMIFS(Input[Loc Gov G Loan],Input[Institution Name],$H$1)+SUMIFS(Input[Loc Gov G Annuity],Input[Institution Name],$H$1)+SUMIFS(Input[Loc Gov G Unexp],Input[Institution Name],$H$1)+SUMIFS(Input[Loc Gov G R of Ind],Input[Institution Name],$H$1)+SUMIFS(Input[Loc Gov G Inv in P],Input[Institution Name],$H$1)</f>
        <v>0</v>
      </c>
      <c r="R60" s="334"/>
      <c r="S60" s="334"/>
      <c r="T60" s="334">
        <f t="shared" si="2"/>
        <v>0</v>
      </c>
      <c r="U60" s="334"/>
      <c r="V60" s="334"/>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row>
    <row r="61" spans="1:49" s="57" customFormat="1" ht="30" customHeight="1" x14ac:dyDescent="0.3">
      <c r="A61" s="56"/>
      <c r="B61" s="56"/>
      <c r="C61" s="56"/>
      <c r="D61" s="56"/>
      <c r="E61" s="56"/>
      <c r="F61" s="56"/>
      <c r="G61" s="56"/>
      <c r="H61" s="333" t="s">
        <v>913</v>
      </c>
      <c r="I61" s="333"/>
      <c r="J61" s="333"/>
      <c r="K61" s="333"/>
      <c r="L61" s="333"/>
      <c r="M61" s="333"/>
      <c r="N61" s="333"/>
      <c r="O61" s="333"/>
      <c r="P61" s="333"/>
      <c r="Q61" s="334">
        <f>SUMIFS(Input[Pvt G&amp;G E&amp;G],Input[Institution Name],$H$1)+SUMIFS(Input[Pvt G&amp;G Desg],Input[Institution Name],$H$1)+SUMIFS(Input[Pvt G&amp;G Aux],Input[Institution Name],$H$1)+SUMIFS(Input[Pvt G&amp;G R Exp],Input[Institution Name],$H$1)+SUMIFS(Input[Pvt G&amp;G Loan],Input[Institution Name],$H$1)+SUMIFS(Input[Pvt G&amp;G Annuity],Input[Institution Name],$H$1)+SUMIFS(Input[Pvt G&amp;G Unexp],Input[Institution Name],$H$1)+SUMIFS(Input[Pvt G&amp;G R of Ind],Input[Institution Name],$H$1)+SUMIFS(Input[Pvt G&amp;G Inv in P],Input[Institution Name],$H$1)</f>
        <v>0</v>
      </c>
      <c r="R61" s="334"/>
      <c r="S61" s="334"/>
      <c r="T61" s="334">
        <f t="shared" si="2"/>
        <v>0</v>
      </c>
      <c r="U61" s="334"/>
      <c r="V61" s="334"/>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row>
    <row r="62" spans="1:49" s="57" customFormat="1" ht="30" customHeight="1" x14ac:dyDescent="0.3">
      <c r="A62" s="56"/>
      <c r="B62" s="56"/>
      <c r="C62" s="56"/>
      <c r="D62" s="56"/>
      <c r="E62" s="56"/>
      <c r="F62" s="56"/>
      <c r="G62" s="56"/>
      <c r="H62" s="333" t="s">
        <v>914</v>
      </c>
      <c r="I62" s="333"/>
      <c r="J62" s="333"/>
      <c r="K62" s="333"/>
      <c r="L62" s="333"/>
      <c r="M62" s="333"/>
      <c r="N62" s="333"/>
      <c r="O62" s="333"/>
      <c r="P62" s="333"/>
      <c r="Q62" s="334">
        <f>SUMIFS(Input[S&amp;S E&amp;G],Input[Institution Name],$H$1)+SUMIFS(Input[S&amp;S Desg],Input[Institution Name],$H$1)+SUMIFS(Input[S&amp;S Aux],Input[Institution Name],$H$1)+SUMIFS(Input[S&amp;S R Exp],Input[Institution Name],$H$1)+SUMIFS(Input[S&amp;S Loan],Input[Institution Name],$H$1)+SUMIFS(Input[S&amp;S Annuity],Input[Institution Name],$H$1)+SUMIFS(Input[S&amp;S Unexp],Input[Institution Name],$H$1)+SUMIFS(Input[S&amp;S R of Ind],Input[Institution Name],$H$1)+SUMIFS(Input[S&amp;S Inv in P],Input[Institution Name],$H$1)</f>
        <v>0</v>
      </c>
      <c r="R62" s="334"/>
      <c r="S62" s="334"/>
      <c r="T62" s="334">
        <f t="shared" si="2"/>
        <v>0</v>
      </c>
      <c r="U62" s="334"/>
      <c r="V62" s="334"/>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row>
    <row r="63" spans="1:49" s="57" customFormat="1" ht="30" customHeight="1" x14ac:dyDescent="0.3">
      <c r="A63" s="56"/>
      <c r="B63" s="56"/>
      <c r="C63" s="56"/>
      <c r="D63" s="56"/>
      <c r="E63" s="56"/>
      <c r="F63" s="56"/>
      <c r="G63" s="56"/>
      <c r="H63" s="333" t="s">
        <v>915</v>
      </c>
      <c r="I63" s="333"/>
      <c r="J63" s="333"/>
      <c r="K63" s="333"/>
      <c r="L63" s="333"/>
      <c r="M63" s="333"/>
      <c r="N63" s="333"/>
      <c r="O63" s="333"/>
      <c r="P63" s="333"/>
      <c r="Q63" s="334">
        <f>SUMIFS(Input[Net Aux Ent E&amp;G],Input[Institution Name],$H$1)+SUMIFS(Input[Net Aux Ent Desg],Input[Institution Name],$H$1)+SUMIFS(Input[Net Aux Ent Aux],Input[Institution Name],$H$1)+SUMIFS(Input[Net Aux Ent R Exp],Input[Institution Name],$H$1)+SUMIFS(Input[Net Aux Ent Loan],Input[Institution Name],$H$1)+SUMIFS(Input[Net Aux Ent Annuity],Input[Institution Name],$H$1)+SUMIFS(Input[Net Aux Ent Unexp],Input[Institution Name],$H$1)+SUMIFS(Input[Net Aux Ent R of Ind],Input[Institution Name],$H$1)+SUMIFS(Input[Net Aux Ent Inv in P],Input[Institution Name],$H$1)</f>
        <v>0</v>
      </c>
      <c r="R63" s="334"/>
      <c r="S63" s="334"/>
      <c r="T63" s="334">
        <f t="shared" si="2"/>
        <v>0</v>
      </c>
      <c r="U63" s="334"/>
      <c r="V63" s="334"/>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row>
    <row r="64" spans="1:49" s="57" customFormat="1" ht="30" customHeight="1" x14ac:dyDescent="0.3">
      <c r="A64" s="56"/>
      <c r="B64" s="56"/>
      <c r="C64" s="56"/>
      <c r="D64" s="56"/>
      <c r="E64" s="56"/>
      <c r="F64" s="56"/>
      <c r="G64" s="56"/>
      <c r="H64" s="339" t="s">
        <v>916</v>
      </c>
      <c r="I64" s="339"/>
      <c r="J64" s="339"/>
      <c r="K64" s="339"/>
      <c r="L64" s="339"/>
      <c r="M64" s="339"/>
      <c r="N64" s="339"/>
      <c r="O64" s="339"/>
      <c r="P64" s="339"/>
      <c r="Q64" s="340">
        <f>SUMIFS(Input[Oth Inc E&amp;G],Input[Institution Name],$H$1)+SUMIFS(Input[Oth Inc Desg],Input[Institution Name],$H$1)+SUMIFS(Input[Oth Inc Aux],Input[Institution Name],$H$1)+SUMIFS(Input[Oth Inc R Exp],Input[Institution Name],$H$1)+SUMIFS(Input[Oth Inc Loan],Input[Institution Name],$H$1)+SUMIFS(Input[Oth Inc Annuity],Input[Institution Name],$H$1)+SUMIFS(Input[Oth Inc Unexp],Input[Institution Name],$H$1)+SUMIFS(Input[Oth Inc R of Ind],Input[Institution Name],$H$1)+SUMIFS(Input[Oth Inc Inv in P],Input[Institution Name],$H$1)</f>
        <v>0</v>
      </c>
      <c r="R64" s="340"/>
      <c r="S64" s="340"/>
      <c r="T64" s="340">
        <f t="shared" si="2"/>
        <v>0</v>
      </c>
      <c r="U64" s="340"/>
      <c r="V64" s="340"/>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row>
    <row r="65" spans="1:49" s="57" customFormat="1" ht="30" customHeight="1" x14ac:dyDescent="0.3">
      <c r="A65" s="56"/>
      <c r="B65" s="56"/>
      <c r="C65" s="56"/>
      <c r="D65" s="56"/>
      <c r="E65" s="56"/>
      <c r="F65" s="56"/>
      <c r="G65" s="56"/>
      <c r="H65" s="353" t="s">
        <v>917</v>
      </c>
      <c r="I65" s="353"/>
      <c r="J65" s="353"/>
      <c r="K65" s="353"/>
      <c r="L65" s="353"/>
      <c r="M65" s="353"/>
      <c r="N65" s="353"/>
      <c r="O65" s="353"/>
      <c r="P65" s="353"/>
      <c r="Q65" s="322">
        <f>SUM(Q59:S64)</f>
        <v>0</v>
      </c>
      <c r="R65" s="322"/>
      <c r="S65" s="322"/>
      <c r="T65" s="322">
        <f>SUM(T59:V64)</f>
        <v>0</v>
      </c>
      <c r="U65" s="322"/>
      <c r="V65" s="322"/>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row>
    <row r="66" spans="1:49" s="57" customFormat="1" ht="30" customHeight="1" x14ac:dyDescent="0.3">
      <c r="A66" s="56"/>
      <c r="B66" s="56"/>
      <c r="C66" s="56"/>
      <c r="D66" s="56"/>
      <c r="E66" s="56"/>
      <c r="F66" s="56"/>
      <c r="G66" s="56"/>
      <c r="H66" s="59"/>
      <c r="I66" s="59"/>
      <c r="J66" s="59"/>
      <c r="K66" s="59"/>
      <c r="L66" s="59"/>
      <c r="M66" s="59"/>
      <c r="N66" s="59"/>
      <c r="O66" s="59"/>
      <c r="P66" s="59"/>
      <c r="Q66" s="80"/>
      <c r="R66" s="80"/>
      <c r="S66" s="80"/>
      <c r="T66" s="80"/>
      <c r="U66" s="80"/>
      <c r="V66" s="80"/>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row>
    <row r="67" spans="1:49" s="57" customFormat="1" ht="30" customHeight="1" x14ac:dyDescent="0.3">
      <c r="A67" s="56"/>
      <c r="B67" s="56"/>
      <c r="C67" s="56"/>
      <c r="D67" s="56"/>
      <c r="E67" s="56"/>
      <c r="F67" s="56"/>
      <c r="G67" s="56"/>
      <c r="H67" s="348" t="s">
        <v>918</v>
      </c>
      <c r="I67" s="348"/>
      <c r="J67" s="348"/>
      <c r="K67" s="348"/>
      <c r="L67" s="348"/>
      <c r="M67" s="348"/>
      <c r="N67" s="348"/>
      <c r="O67" s="348"/>
      <c r="P67" s="348"/>
      <c r="Q67" s="343">
        <f>SUM(Q14,Q30,Q45,Q50,Q53,Q56,Q65)</f>
        <v>0</v>
      </c>
      <c r="R67" s="343"/>
      <c r="S67" s="343"/>
      <c r="T67" s="343">
        <f>IFERROR(ROUND(Q67/$Z$1,0),0)</f>
        <v>0</v>
      </c>
      <c r="U67" s="343"/>
      <c r="V67" s="343"/>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row>
    <row r="68" spans="1:49" s="57" customFormat="1" ht="30" customHeight="1" thickBot="1" x14ac:dyDescent="0.35">
      <c r="A68" s="56"/>
      <c r="B68" s="56"/>
      <c r="C68" s="56"/>
      <c r="D68" s="56"/>
      <c r="E68" s="56"/>
      <c r="F68" s="56"/>
      <c r="G68" s="56"/>
      <c r="H68" s="59"/>
      <c r="I68" s="59"/>
      <c r="J68" s="59"/>
      <c r="K68" s="59"/>
      <c r="L68" s="59"/>
      <c r="M68" s="59"/>
      <c r="N68" s="59"/>
      <c r="O68" s="59"/>
      <c r="P68" s="59"/>
      <c r="Q68" s="80"/>
      <c r="R68" s="80"/>
      <c r="S68" s="80"/>
      <c r="T68" s="80"/>
      <c r="U68" s="80"/>
      <c r="V68" s="80"/>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row>
    <row r="69" spans="1:49" s="57" customFormat="1" ht="30" customHeight="1" thickBot="1" x14ac:dyDescent="0.35">
      <c r="A69" s="56"/>
      <c r="B69" s="56"/>
      <c r="C69" s="56"/>
      <c r="D69" s="56"/>
      <c r="E69" s="56"/>
      <c r="F69" s="56"/>
      <c r="G69" s="56"/>
      <c r="H69" s="301" t="s">
        <v>919</v>
      </c>
      <c r="I69" s="302"/>
      <c r="J69" s="302"/>
      <c r="K69" s="302"/>
      <c r="L69" s="302"/>
      <c r="M69" s="302"/>
      <c r="N69" s="302"/>
      <c r="O69" s="302"/>
      <c r="P69" s="302"/>
      <c r="Q69" s="302"/>
      <c r="R69" s="302"/>
      <c r="S69" s="302"/>
      <c r="T69" s="302"/>
      <c r="U69" s="302"/>
      <c r="V69" s="303"/>
      <c r="W69" s="56"/>
      <c r="X69" s="397" t="s">
        <v>1002</v>
      </c>
      <c r="Y69" s="397"/>
      <c r="Z69" s="397"/>
      <c r="AA69" s="397"/>
      <c r="AB69" s="397"/>
      <c r="AC69" s="397"/>
      <c r="AD69" s="397"/>
      <c r="AE69" s="397"/>
      <c r="AF69" s="397"/>
      <c r="AG69" s="397"/>
      <c r="AH69" s="397"/>
      <c r="AI69" s="132"/>
      <c r="AJ69" s="132"/>
      <c r="AK69" s="71"/>
      <c r="AL69" s="439" t="s">
        <v>1003</v>
      </c>
      <c r="AM69" s="440"/>
      <c r="AN69" s="440"/>
      <c r="AO69" s="440"/>
      <c r="AP69" s="440"/>
      <c r="AQ69" s="440"/>
      <c r="AR69" s="440"/>
      <c r="AS69" s="440"/>
      <c r="AT69" s="440"/>
      <c r="AU69" s="441"/>
      <c r="AV69" s="56"/>
      <c r="AW69" s="56"/>
    </row>
    <row r="70" spans="1:49" s="84" customFormat="1" ht="30" customHeight="1" thickBot="1" x14ac:dyDescent="0.35">
      <c r="A70" s="59"/>
      <c r="B70" s="59"/>
      <c r="C70" s="59"/>
      <c r="D70" s="59"/>
      <c r="E70" s="59"/>
      <c r="F70" s="59"/>
      <c r="G70" s="59"/>
      <c r="H70" s="378" t="s">
        <v>920</v>
      </c>
      <c r="I70" s="379"/>
      <c r="J70" s="379"/>
      <c r="K70" s="379"/>
      <c r="L70" s="379"/>
      <c r="M70" s="379"/>
      <c r="N70" s="379"/>
      <c r="O70" s="379"/>
      <c r="P70" s="379"/>
      <c r="Q70" s="380" t="s">
        <v>981</v>
      </c>
      <c r="R70" s="380"/>
      <c r="S70" s="380"/>
      <c r="T70" s="380" t="s">
        <v>982</v>
      </c>
      <c r="U70" s="380"/>
      <c r="V70" s="381"/>
      <c r="W70" s="59"/>
      <c r="X70" s="405" t="s">
        <v>920</v>
      </c>
      <c r="Y70" s="406"/>
      <c r="Z70" s="406"/>
      <c r="AA70" s="406"/>
      <c r="AB70" s="406"/>
      <c r="AC70" s="406"/>
      <c r="AD70" s="406"/>
      <c r="AE70" s="407" t="s">
        <v>1004</v>
      </c>
      <c r="AF70" s="407"/>
      <c r="AG70" s="407"/>
      <c r="AH70" s="407" t="s">
        <v>1005</v>
      </c>
      <c r="AI70" s="407"/>
      <c r="AJ70" s="408"/>
      <c r="AK70" s="83"/>
      <c r="AL70" s="432" t="s">
        <v>920</v>
      </c>
      <c r="AM70" s="433"/>
      <c r="AN70" s="433"/>
      <c r="AO70" s="433"/>
      <c r="AP70" s="433"/>
      <c r="AQ70" s="433"/>
      <c r="AR70" s="433"/>
      <c r="AS70" s="434" t="s">
        <v>985</v>
      </c>
      <c r="AT70" s="435"/>
      <c r="AU70" s="436"/>
      <c r="AV70" s="59"/>
      <c r="AW70" s="59"/>
    </row>
    <row r="71" spans="1:49" s="57" customFormat="1" ht="30" customHeight="1" x14ac:dyDescent="0.3">
      <c r="A71" s="56"/>
      <c r="B71" s="56"/>
      <c r="C71" s="56"/>
      <c r="D71" s="56"/>
      <c r="E71" s="56"/>
      <c r="F71" s="56"/>
      <c r="G71" s="56"/>
      <c r="H71" s="354" t="s">
        <v>921</v>
      </c>
      <c r="I71" s="355"/>
      <c r="J71" s="355"/>
      <c r="K71" s="355"/>
      <c r="L71" s="355"/>
      <c r="M71" s="355"/>
      <c r="N71" s="355"/>
      <c r="O71" s="355"/>
      <c r="P71" s="355"/>
      <c r="Q71" s="316">
        <f>SUMIFS(Input[Instr E&amp;G],Input[Institution Name],$H$1)+SUMIFS(Input[Instr Desg],Input[Institution Name],$H$1)+SUMIFS(Input[Instr Aux],Input[Institution Name],$H$1)+SUMIFS(Input[Instr R Exp],Input[Institution Name],$H$1)+SUMIFS(Input[Instr Loan],Input[Institution Name],$H$1)+SUMIFS(Input[Instr Annuity],Input[Institution Name],$H$1)+SUMIFS(Input[Instr Unexp],Input[Institution Name],$H$1)+SUMIFS(Input[Instr R of Ind],Input[Institution Name],$H$1)+SUMIFS(Input[Instr Inv in P],Input[Institution Name],$H$1)</f>
        <v>0</v>
      </c>
      <c r="R71" s="317"/>
      <c r="S71" s="318"/>
      <c r="T71" s="356">
        <f t="shared" ref="T71:T82" si="3">IFERROR(ROUND(Q71/$Z$1,0),0)</f>
        <v>0</v>
      </c>
      <c r="U71" s="317"/>
      <c r="V71" s="318"/>
      <c r="W71" s="56"/>
      <c r="X71" s="426" t="s">
        <v>921</v>
      </c>
      <c r="Y71" s="426"/>
      <c r="Z71" s="426"/>
      <c r="AA71" s="426"/>
      <c r="AB71" s="426"/>
      <c r="AC71" s="426"/>
      <c r="AD71" s="426"/>
      <c r="AE71" s="396">
        <f>SUMIFS(Input[SRECNA Inst.],Input[Institution Name],$H$1)</f>
        <v>0</v>
      </c>
      <c r="AF71" s="396"/>
      <c r="AG71" s="396"/>
      <c r="AH71" s="427">
        <f t="shared" ref="AH71:AH80" si="4">SUM(AD71,-P71)</f>
        <v>0</v>
      </c>
      <c r="AI71" s="427"/>
      <c r="AJ71" s="427"/>
      <c r="AK71" s="71"/>
      <c r="AL71" s="140" t="str" cm="1">
        <f t="array" ref="AL71">_xlfn.XLOOKUP(IFERROR(LARGE(_xlfn._xlws.FILTER($AE$71:$AE$80, $AE$71:$AE$80&gt;0), 1), ""),$AE$71:$AE$80,$X$71:$X$80,"",0,-1)</f>
        <v/>
      </c>
      <c r="AM71" s="75"/>
      <c r="AN71" s="75"/>
      <c r="AO71" s="75"/>
      <c r="AP71" s="75"/>
      <c r="AQ71" s="75"/>
      <c r="AR71" s="76"/>
      <c r="AS71" s="420">
        <f>_xlfn.XLOOKUP(AL71,$X$71:$X$80,$AE$71:$AE$80,0,0,1)</f>
        <v>0</v>
      </c>
      <c r="AT71" s="421"/>
      <c r="AU71" s="422"/>
      <c r="AV71" s="56"/>
      <c r="AW71" s="56"/>
    </row>
    <row r="72" spans="1:49" s="57" customFormat="1" ht="30" customHeight="1" x14ac:dyDescent="0.25">
      <c r="A72" s="56"/>
      <c r="B72" s="56"/>
      <c r="C72" s="56"/>
      <c r="D72" s="56"/>
      <c r="E72" s="56"/>
      <c r="F72" s="56"/>
      <c r="G72" s="56"/>
      <c r="H72" s="306" t="s">
        <v>922</v>
      </c>
      <c r="I72" s="255"/>
      <c r="J72" s="255"/>
      <c r="K72" s="255"/>
      <c r="L72" s="255"/>
      <c r="M72" s="255"/>
      <c r="N72" s="255"/>
      <c r="O72" s="255"/>
      <c r="P72" s="255"/>
      <c r="Q72" s="307">
        <f>SUMIFS(Input[Res E&amp;G],Input[Institution Name],$H$1)+SUMIFS(Input[Res Desg],Input[Institution Name],$H$1)+SUMIFS(Input[Res Aux],Input[Institution Name],$H$1)+SUMIFS(Input[Res R Exp],Input[Institution Name],$H$1)+SUMIFS(Input[Res Loan],Input[Institution Name],$H$1)+SUMIFS(Input[Res Annuity],Input[Institution Name],$H$1)+SUMIFS(Input[Res Unexp],Input[Institution Name],$H$1)+SUMIFS(Input[Res R of Ind],Input[Institution Name],$H$1)+SUMIFS(Input[Res Inv in P],Input[Institution Name],$H$1)</f>
        <v>0</v>
      </c>
      <c r="R72" s="260"/>
      <c r="S72" s="308"/>
      <c r="T72" s="309">
        <f t="shared" si="3"/>
        <v>0</v>
      </c>
      <c r="U72" s="260"/>
      <c r="V72" s="308"/>
      <c r="W72" s="56"/>
      <c r="X72" s="345" t="s">
        <v>922</v>
      </c>
      <c r="Y72" s="345"/>
      <c r="Z72" s="345"/>
      <c r="AA72" s="345"/>
      <c r="AB72" s="345"/>
      <c r="AC72" s="345"/>
      <c r="AD72" s="345"/>
      <c r="AE72" s="319">
        <f>SUMIFS(Input[SRECNA Resh],Input[Institution Name],$H$1)</f>
        <v>0</v>
      </c>
      <c r="AF72" s="319"/>
      <c r="AG72" s="319"/>
      <c r="AH72" s="428">
        <f t="shared" si="4"/>
        <v>0</v>
      </c>
      <c r="AI72" s="428"/>
      <c r="AJ72" s="428"/>
      <c r="AK72" s="72"/>
      <c r="AL72" s="135" t="str" cm="1">
        <f t="array" ref="AL72">_xlfn.XLOOKUP(IFERROR(LARGE(_xlfn._xlws.FILTER($AE$71:$AE$80, $AE$71:$AE$80&gt;0), 2), ""),$AE$71:$AE$80,$X$71:$X$80,"",0,-1)</f>
        <v/>
      </c>
      <c r="AM72" s="67"/>
      <c r="AN72" s="67"/>
      <c r="AO72" s="67"/>
      <c r="AP72" s="67"/>
      <c r="AQ72" s="67"/>
      <c r="AR72" s="68"/>
      <c r="AS72" s="423">
        <f>_xlfn.XLOOKUP(AL72,$X$71:$X$80,$AE$71:$AE$80,0,0,1)</f>
        <v>0</v>
      </c>
      <c r="AT72" s="424"/>
      <c r="AU72" s="425"/>
      <c r="AV72" s="56"/>
      <c r="AW72" s="56"/>
    </row>
    <row r="73" spans="1:49" s="57" customFormat="1" ht="30" customHeight="1" x14ac:dyDescent="0.25">
      <c r="A73" s="56"/>
      <c r="B73" s="56"/>
      <c r="C73" s="56"/>
      <c r="D73" s="56"/>
      <c r="E73" s="56"/>
      <c r="F73" s="56"/>
      <c r="G73" s="56"/>
      <c r="H73" s="306" t="s">
        <v>923</v>
      </c>
      <c r="I73" s="255"/>
      <c r="J73" s="255"/>
      <c r="K73" s="255"/>
      <c r="L73" s="255"/>
      <c r="M73" s="255"/>
      <c r="N73" s="255"/>
      <c r="O73" s="255"/>
      <c r="P73" s="255"/>
      <c r="Q73" s="307">
        <f>SUMIFS(Input[Pub Srv E&amp;G],Input[Institution Name],$H$1)+SUMIFS(Input[Pub Srv Desg],Input[Institution Name],$H$1)+SUMIFS(Input[Pub Srv Aux],Input[Institution Name],$H$1)+SUMIFS(Input[Pub Srv R Exp],Input[Institution Name],$H$1)+SUMIFS(Input[Pub Srv Loan],Input[Institution Name],$H$1)+SUMIFS(Input[Pub Srv Annuity],Input[Institution Name],$H$1)+SUMIFS(Input[Pub Srv Unexp],Input[Institution Name],$H$1)+SUMIFS(Input[Pub Srv R of Ind],Input[Institution Name],$H$1)+SUMIFS(Input[Pub Srv Inv in P],Input[Institution Name],$H$1)</f>
        <v>0</v>
      </c>
      <c r="R73" s="260"/>
      <c r="S73" s="308"/>
      <c r="T73" s="309">
        <f t="shared" si="3"/>
        <v>0</v>
      </c>
      <c r="U73" s="260"/>
      <c r="V73" s="308"/>
      <c r="W73" s="56"/>
      <c r="X73" s="345" t="s">
        <v>923</v>
      </c>
      <c r="Y73" s="345"/>
      <c r="Z73" s="345"/>
      <c r="AA73" s="345"/>
      <c r="AB73" s="345"/>
      <c r="AC73" s="345"/>
      <c r="AD73" s="345"/>
      <c r="AE73" s="319">
        <f>SUMIFS(Input[SRECNA Pub Svc],Input[Institution Name],$H$1)</f>
        <v>0</v>
      </c>
      <c r="AF73" s="319"/>
      <c r="AG73" s="319"/>
      <c r="AH73" s="428">
        <f t="shared" si="4"/>
        <v>0</v>
      </c>
      <c r="AI73" s="428"/>
      <c r="AJ73" s="428"/>
      <c r="AK73" s="73"/>
      <c r="AL73" s="135" t="str" cm="1">
        <f t="array" ref="AL73">_xlfn.XLOOKUP(IFERROR(LARGE(_xlfn._xlws.FILTER($AE$71:$AE$80, $AE$71:$AE$80&gt;0), 3), ""),$AE$71:$AE$80,$X$71:$X$80,"",0,-1)</f>
        <v/>
      </c>
      <c r="AM73" s="67"/>
      <c r="AN73" s="67"/>
      <c r="AO73" s="67"/>
      <c r="AP73" s="67"/>
      <c r="AQ73" s="67"/>
      <c r="AR73" s="68"/>
      <c r="AS73" s="423">
        <f>_xlfn.XLOOKUP(AL73,$X$71:$X$80,$AE$71:$AE$80,0,0,1)</f>
        <v>0</v>
      </c>
      <c r="AT73" s="424"/>
      <c r="AU73" s="425"/>
      <c r="AV73" s="56"/>
      <c r="AW73" s="56"/>
    </row>
    <row r="74" spans="1:49" s="57" customFormat="1" ht="30" customHeight="1" x14ac:dyDescent="0.25">
      <c r="A74" s="56"/>
      <c r="B74" s="56"/>
      <c r="C74" s="56"/>
      <c r="D74" s="56"/>
      <c r="E74" s="56"/>
      <c r="F74" s="56"/>
      <c r="G74" s="56"/>
      <c r="H74" s="306" t="s">
        <v>909</v>
      </c>
      <c r="I74" s="255"/>
      <c r="J74" s="255"/>
      <c r="K74" s="255"/>
      <c r="L74" s="255"/>
      <c r="M74" s="255"/>
      <c r="N74" s="255"/>
      <c r="O74" s="255"/>
      <c r="P74" s="255"/>
      <c r="Q74" s="307">
        <f>SUMIFS(Input[H&amp;C (OU) E&amp;G],Input[Institution Name],$H$1)+SUMIFS(Input[H&amp;C (OU) Desg],Input[Institution Name],$H$1)+SUMIFS(Input[H&amp;C (OU) Aux],Input[Institution Name],$H$1)+SUMIFS(Input[H&amp;C (OU) R Exp],Input[Institution Name],$H$1)+SUMIFS(Input[H&amp;C (OU) Loan],Input[Institution Name],$H$1)+SUMIFS(Input[H&amp;C (OU) Annuity],Input[Institution Name],$H$1)+SUMIFS(Input[H&amp;C (OU) Unexp],Input[Institution Name],$H$1)+SUMIFS(Input[H&amp;C (OU) R of Ind],Input[Institution Name],$H$1)+SUMIFS(Input[H&amp;C (OU) Inv in P],Input[Institution Name],$H$1)</f>
        <v>0</v>
      </c>
      <c r="R74" s="260"/>
      <c r="S74" s="308"/>
      <c r="T74" s="309">
        <f t="shared" si="3"/>
        <v>0</v>
      </c>
      <c r="U74" s="260"/>
      <c r="V74" s="308"/>
      <c r="W74" s="56"/>
      <c r="X74" s="345" t="s">
        <v>909</v>
      </c>
      <c r="Y74" s="345"/>
      <c r="Z74" s="345"/>
      <c r="AA74" s="345"/>
      <c r="AB74" s="345"/>
      <c r="AC74" s="345"/>
      <c r="AD74" s="345"/>
      <c r="AE74" s="319">
        <f>SUMIFS(Input[SRECNA H&amp;C],Input[Institution Name],$H$1)</f>
        <v>0</v>
      </c>
      <c r="AF74" s="319"/>
      <c r="AG74" s="319"/>
      <c r="AH74" s="428">
        <f t="shared" si="4"/>
        <v>0</v>
      </c>
      <c r="AI74" s="428"/>
      <c r="AJ74" s="428"/>
      <c r="AK74" s="73"/>
      <c r="AL74" s="135" t="str" cm="1">
        <f t="array" ref="AL74">_xlfn.XLOOKUP(IFERROR(LARGE(_xlfn._xlws.FILTER($AE$71:$AE$80, $AE$71:$AE$80&gt;0), 4), ""),$AE$71:$AE$80,$X$71:$X$80,"",0,-1)</f>
        <v/>
      </c>
      <c r="AM74" s="67"/>
      <c r="AN74" s="67"/>
      <c r="AO74" s="67"/>
      <c r="AP74" s="67"/>
      <c r="AQ74" s="67"/>
      <c r="AR74" s="68"/>
      <c r="AS74" s="423">
        <f>_xlfn.XLOOKUP(AL74,$X$71:$X$80,$AE$71:$AE$80,0,0,1)</f>
        <v>0</v>
      </c>
      <c r="AT74" s="424"/>
      <c r="AU74" s="425"/>
      <c r="AV74" s="56"/>
      <c r="AW74" s="56"/>
    </row>
    <row r="75" spans="1:49" s="57" customFormat="1" ht="30" customHeight="1" thickBot="1" x14ac:dyDescent="0.3">
      <c r="A75" s="56"/>
      <c r="B75" s="56"/>
      <c r="C75" s="56"/>
      <c r="D75" s="56"/>
      <c r="E75" s="56"/>
      <c r="F75" s="56"/>
      <c r="G75" s="56"/>
      <c r="H75" s="306" t="s">
        <v>924</v>
      </c>
      <c r="I75" s="255"/>
      <c r="J75" s="255"/>
      <c r="K75" s="255"/>
      <c r="L75" s="255"/>
      <c r="M75" s="255"/>
      <c r="N75" s="255"/>
      <c r="O75" s="255"/>
      <c r="P75" s="255"/>
      <c r="Q75" s="307">
        <f>SUMIFS(Input[Acad Sup E&amp;G],Input[Institution Name],$H$1)+SUMIFS(Input[Acad Sup Desg],Input[Institution Name],$H$1)+SUMIFS(Input[Acad Sup Aux],Input[Institution Name],$H$1)+SUMIFS(Input[Acad Sup R Exp],Input[Institution Name],$H$1)+SUMIFS(Input[Acad Sup Loan],Input[Institution Name],$H$1)+SUMIFS(Input[Acad Sup Annuity],Input[Institution Name],$H$1)+SUMIFS(Input[Acad Sup Unexp],Input[Institution Name],$H$1)+SUMIFS(Input[Acad Sup R of Ind],Input[Institution Name],$H$1)+SUMIFS(Input[Acad Sup Inv in P],Input[Institution Name],$H$1)</f>
        <v>0</v>
      </c>
      <c r="R75" s="260"/>
      <c r="S75" s="308"/>
      <c r="T75" s="309">
        <f t="shared" si="3"/>
        <v>0</v>
      </c>
      <c r="U75" s="260"/>
      <c r="V75" s="308"/>
      <c r="W75" s="56"/>
      <c r="X75" s="345" t="s">
        <v>924</v>
      </c>
      <c r="Y75" s="345"/>
      <c r="Z75" s="345"/>
      <c r="AA75" s="345"/>
      <c r="AB75" s="345"/>
      <c r="AC75" s="345"/>
      <c r="AD75" s="345"/>
      <c r="AE75" s="319">
        <f>SUMIFS(Input[SRECNA Aca Sppt],Input[Institution Name],$H$1)</f>
        <v>0</v>
      </c>
      <c r="AF75" s="319"/>
      <c r="AG75" s="319"/>
      <c r="AH75" s="428">
        <f t="shared" si="4"/>
        <v>0</v>
      </c>
      <c r="AI75" s="428"/>
      <c r="AJ75" s="428"/>
      <c r="AK75" s="73"/>
      <c r="AL75" s="136" t="str" cm="1">
        <f t="array" ref="AL75">_xlfn.XLOOKUP(IFERROR(LARGE(_xlfn._xlws.FILTER($AE$71:$AE$80, $AE$71:$AE$80&gt;0), 5), ""),$AE$71:$AE$80,$X$71:$X$80,"",0,-1)</f>
        <v/>
      </c>
      <c r="AM75" s="69"/>
      <c r="AN75" s="69"/>
      <c r="AO75" s="69"/>
      <c r="AP75" s="69"/>
      <c r="AQ75" s="69"/>
      <c r="AR75" s="70"/>
      <c r="AS75" s="429">
        <f>_xlfn.XLOOKUP(AL75,$X$71:$X$80,$AE$71:$AE$80,0,0,1)</f>
        <v>0</v>
      </c>
      <c r="AT75" s="430"/>
      <c r="AU75" s="431"/>
      <c r="AV75" s="56"/>
      <c r="AW75" s="56"/>
    </row>
    <row r="76" spans="1:49" s="57" customFormat="1" ht="30" customHeight="1" x14ac:dyDescent="0.3">
      <c r="A76" s="56"/>
      <c r="B76" s="56"/>
      <c r="C76" s="56"/>
      <c r="D76" s="56"/>
      <c r="E76" s="56"/>
      <c r="F76" s="56"/>
      <c r="G76" s="56"/>
      <c r="H76" s="306" t="s">
        <v>925</v>
      </c>
      <c r="I76" s="255"/>
      <c r="J76" s="255"/>
      <c r="K76" s="255"/>
      <c r="L76" s="255"/>
      <c r="M76" s="255"/>
      <c r="N76" s="255"/>
      <c r="O76" s="255"/>
      <c r="P76" s="255"/>
      <c r="Q76" s="307">
        <f>SUMIFS(Input[Stu Svc E&amp;G],Input[Institution Name],$H$1)+SUMIFS(Input[Stu Svc Desg],Input[Institution Name],$H$1)+SUMIFS(Input[Stu Svc Aux],Input[Institution Name],$H$1)+SUMIFS(Input[Stu Svc R Exp],Input[Institution Name],$H$1)+SUMIFS(Input[Stu Svc Loan],Input[Institution Name],$H$1)+SUMIFS(Input[Stu Svc Annuity],Input[Institution Name],$H$1)+SUMIFS(Input[Stu Svc Unexp],Input[Institution Name],$H$1)+SUMIFS(Input[Stu Svc R of Ind],Input[Institution Name],$H$1)+SUMIFS(Input[Stu Svc Inv in P],Input[Institution Name],$H$1)</f>
        <v>0</v>
      </c>
      <c r="R76" s="260"/>
      <c r="S76" s="308"/>
      <c r="T76" s="309">
        <f t="shared" si="3"/>
        <v>0</v>
      </c>
      <c r="U76" s="260"/>
      <c r="V76" s="308"/>
      <c r="W76" s="56"/>
      <c r="X76" s="345" t="s">
        <v>925</v>
      </c>
      <c r="Y76" s="345"/>
      <c r="Z76" s="345"/>
      <c r="AA76" s="345"/>
      <c r="AB76" s="345"/>
      <c r="AC76" s="345"/>
      <c r="AD76" s="345"/>
      <c r="AE76" s="319">
        <f>SUMIFS(Input[SRECNA Stu Svcs],Input[Institution Name],$H$1)</f>
        <v>0</v>
      </c>
      <c r="AF76" s="319"/>
      <c r="AG76" s="319"/>
      <c r="AH76" s="428">
        <f t="shared" si="4"/>
        <v>0</v>
      </c>
      <c r="AI76" s="428"/>
      <c r="AJ76" s="428"/>
      <c r="AK76" s="74"/>
      <c r="AL76" s="77"/>
      <c r="AM76" s="77"/>
      <c r="AN76" s="77"/>
      <c r="AO76" s="77"/>
      <c r="AP76" s="77"/>
      <c r="AQ76" s="77"/>
      <c r="AR76" s="77"/>
      <c r="AS76" s="77"/>
      <c r="AT76" s="77"/>
      <c r="AU76" s="77"/>
      <c r="AV76" s="56"/>
      <c r="AW76" s="56"/>
    </row>
    <row r="77" spans="1:49" s="57" customFormat="1" ht="30" customHeight="1" x14ac:dyDescent="0.25">
      <c r="A77" s="56"/>
      <c r="B77" s="56"/>
      <c r="C77" s="56"/>
      <c r="D77" s="56"/>
      <c r="E77" s="56"/>
      <c r="F77" s="56"/>
      <c r="G77" s="56"/>
      <c r="H77" s="306" t="s">
        <v>926</v>
      </c>
      <c r="I77" s="255"/>
      <c r="J77" s="255"/>
      <c r="K77" s="255"/>
      <c r="L77" s="255"/>
      <c r="M77" s="255"/>
      <c r="N77" s="255"/>
      <c r="O77" s="255"/>
      <c r="P77" s="255"/>
      <c r="Q77" s="307">
        <f>SUMIFS(Input[Inst. Spt E&amp;G],Input[Institution Name],$H$1)+SUMIFS(Input[Inst. Spt Desg],Input[Institution Name],$H$1)+SUMIFS(Input[Inst. Spt Aux],Input[Institution Name],$H$1)+SUMIFS(Input[Inst. Spt R Exp],Input[Institution Name],$H$1)+SUMIFS(Input[Inst. Spt Loan],Input[Institution Name],$H$1)+SUMIFS(Input[Inst. Spt Annuity],Input[Institution Name],$H$1)+SUMIFS(Input[Inst. Spt Unexp],Input[Institution Name],$H$1)+SUMIFS(Input[Inst. Spt R of Ind],Input[Institution Name],$H$1)+SUMIFS(Input[Inst. Spt Inv in P],Input[Institution Name],$H$1)</f>
        <v>0</v>
      </c>
      <c r="R77" s="260"/>
      <c r="S77" s="308"/>
      <c r="T77" s="309">
        <f t="shared" si="3"/>
        <v>0</v>
      </c>
      <c r="U77" s="260"/>
      <c r="V77" s="308"/>
      <c r="W77" s="56"/>
      <c r="X77" s="345" t="s">
        <v>926</v>
      </c>
      <c r="Y77" s="345"/>
      <c r="Z77" s="345"/>
      <c r="AA77" s="345"/>
      <c r="AB77" s="345"/>
      <c r="AC77" s="345"/>
      <c r="AD77" s="345"/>
      <c r="AE77" s="319">
        <f>SUMIFS(Input[SRECNA Inst. Sppt],Input[Institution Name],$H$1)</f>
        <v>0</v>
      </c>
      <c r="AF77" s="319"/>
      <c r="AG77" s="319"/>
      <c r="AH77" s="428">
        <f t="shared" si="4"/>
        <v>0</v>
      </c>
      <c r="AI77" s="428"/>
      <c r="AJ77" s="428"/>
      <c r="AK77" s="73"/>
      <c r="AL77" s="77"/>
      <c r="AM77" s="77"/>
      <c r="AN77" s="77"/>
      <c r="AO77" s="77"/>
      <c r="AP77" s="77"/>
      <c r="AQ77" s="77"/>
      <c r="AR77" s="77"/>
      <c r="AS77" s="77"/>
      <c r="AT77" s="77"/>
      <c r="AU77" s="77"/>
      <c r="AV77" s="56"/>
      <c r="AW77" s="56"/>
    </row>
    <row r="78" spans="1:49" s="57" customFormat="1" ht="30" customHeight="1" x14ac:dyDescent="0.25">
      <c r="A78" s="56"/>
      <c r="B78" s="56"/>
      <c r="C78" s="56"/>
      <c r="D78" s="56"/>
      <c r="E78" s="56"/>
      <c r="F78" s="56"/>
      <c r="G78" s="56"/>
      <c r="H78" s="306" t="s">
        <v>927</v>
      </c>
      <c r="I78" s="255"/>
      <c r="J78" s="255"/>
      <c r="K78" s="255"/>
      <c r="L78" s="255"/>
      <c r="M78" s="255"/>
      <c r="N78" s="255"/>
      <c r="O78" s="255"/>
      <c r="P78" s="255"/>
      <c r="Q78" s="307">
        <f>SUMIFS(Input[M&amp;O Plnt E&amp;G],Input[Institution Name],$H$1)+SUMIFS(Input[M&amp;O Plnt Desg],Input[Institution Name],$H$1)+SUMIFS(Input[M&amp;O Plnt Aux],Input[Institution Name],$H$1)+SUMIFS(Input[M&amp;O Plnt R Exp],Input[Institution Name],$H$1)+SUMIFS(Input[M&amp;O Plnt Loan],Input[Institution Name],$H$1)+SUMIFS(Input[M&amp;O Plnt Annuity],Input[Institution Name],$H$1)+SUMIFS(Input[M&amp;O Plnt Unexp],Input[Institution Name],$H$1)+SUMIFS(Input[M&amp;O Plnt R of Ind],Input[Institution Name],$H$1)+SUMIFS(Input[M&amp;O Plnt Inv in P],Input[Institution Name],$H$1)</f>
        <v>0</v>
      </c>
      <c r="R78" s="260"/>
      <c r="S78" s="308"/>
      <c r="T78" s="309">
        <f t="shared" si="3"/>
        <v>0</v>
      </c>
      <c r="U78" s="260"/>
      <c r="V78" s="308"/>
      <c r="W78" s="56"/>
      <c r="X78" s="345" t="s">
        <v>927</v>
      </c>
      <c r="Y78" s="345"/>
      <c r="Z78" s="345"/>
      <c r="AA78" s="345"/>
      <c r="AB78" s="345"/>
      <c r="AC78" s="345"/>
      <c r="AD78" s="345"/>
      <c r="AE78" s="319">
        <f>SUMIFS(Input[SRECNA Op &amp; Maint],Input[Institution Name],$H$1)</f>
        <v>0</v>
      </c>
      <c r="AF78" s="319"/>
      <c r="AG78" s="319"/>
      <c r="AH78" s="428">
        <f t="shared" si="4"/>
        <v>0</v>
      </c>
      <c r="AI78" s="428"/>
      <c r="AJ78" s="428"/>
      <c r="AK78" s="73"/>
      <c r="AL78" s="77"/>
      <c r="AM78" s="77"/>
      <c r="AN78" s="77"/>
      <c r="AO78" s="77"/>
      <c r="AP78" s="77"/>
      <c r="AQ78" s="77"/>
      <c r="AR78" s="77"/>
      <c r="AS78" s="77"/>
      <c r="AT78" s="77"/>
      <c r="AU78" s="77"/>
      <c r="AV78" s="56"/>
      <c r="AW78" s="56"/>
    </row>
    <row r="79" spans="1:49" s="57" customFormat="1" ht="30" customHeight="1" x14ac:dyDescent="0.25">
      <c r="A79" s="56"/>
      <c r="B79" s="56"/>
      <c r="C79" s="56"/>
      <c r="D79" s="56"/>
      <c r="E79" s="56"/>
      <c r="F79" s="56"/>
      <c r="G79" s="56"/>
      <c r="H79" s="306" t="s">
        <v>928</v>
      </c>
      <c r="I79" s="255"/>
      <c r="J79" s="255"/>
      <c r="K79" s="255"/>
      <c r="L79" s="255"/>
      <c r="M79" s="255"/>
      <c r="N79" s="255"/>
      <c r="O79" s="255"/>
      <c r="P79" s="255"/>
      <c r="Q79" s="307">
        <f>SUMIFS(Input[Schl &amp; Fell E&amp;G],Input[Institution Name],$H$1)+SUMIFS(Input[Schl &amp; Fell Desg],Input[Institution Name],$H$1)+SUMIFS(Input[Schl &amp; Fell Aux],Input[Institution Name],$H$1)+SUMIFS(Input[Schl &amp; Fell R Exp],Input[Institution Name],$H$1)+SUMIFS(Input[Schl &amp; Fell Loan],Input[Institution Name],$H$1)+SUMIFS(Input[Schl &amp; Fell Annuity],Input[Institution Name],$H$1)+SUMIFS(Input[Schl &amp; Fell Unexp],Input[Institution Name],$H$1)+SUMIFS(Input[Schl &amp; Fell R of Ind],Input[Institution Name],$H$1)+SUMIFS(Input[Schl &amp; Fell Inv in P],Input[Institution Name],$H$1)</f>
        <v>0</v>
      </c>
      <c r="R79" s="260"/>
      <c r="S79" s="308"/>
      <c r="T79" s="309">
        <f t="shared" si="3"/>
        <v>0</v>
      </c>
      <c r="U79" s="260"/>
      <c r="V79" s="308"/>
      <c r="W79" s="56"/>
      <c r="X79" s="345" t="s">
        <v>928</v>
      </c>
      <c r="Y79" s="345"/>
      <c r="Z79" s="345"/>
      <c r="AA79" s="345"/>
      <c r="AB79" s="345"/>
      <c r="AC79" s="345"/>
      <c r="AD79" s="345"/>
      <c r="AE79" s="319">
        <f>SUMIFS(Input[SRECNA Schl &amp; Fell],Input[Institution Name],$H$1)</f>
        <v>0</v>
      </c>
      <c r="AF79" s="319"/>
      <c r="AG79" s="319"/>
      <c r="AH79" s="428">
        <f t="shared" si="4"/>
        <v>0</v>
      </c>
      <c r="AI79" s="428"/>
      <c r="AJ79" s="428"/>
      <c r="AK79" s="73"/>
      <c r="AL79" s="77"/>
      <c r="AM79" s="77"/>
      <c r="AN79" s="77"/>
      <c r="AO79" s="77"/>
      <c r="AP79" s="77"/>
      <c r="AQ79" s="77"/>
      <c r="AR79" s="77"/>
      <c r="AS79" s="77"/>
      <c r="AT79" s="77"/>
      <c r="AU79" s="77"/>
      <c r="AV79" s="56"/>
      <c r="AW79" s="56"/>
    </row>
    <row r="80" spans="1:49" s="57" customFormat="1" ht="30" customHeight="1" x14ac:dyDescent="0.25">
      <c r="A80" s="56"/>
      <c r="B80" s="56"/>
      <c r="C80" s="56"/>
      <c r="D80" s="56"/>
      <c r="E80" s="56"/>
      <c r="F80" s="56"/>
      <c r="G80" s="56"/>
      <c r="H80" s="306" t="s">
        <v>929</v>
      </c>
      <c r="I80" s="255"/>
      <c r="J80" s="255"/>
      <c r="K80" s="255"/>
      <c r="L80" s="255"/>
      <c r="M80" s="255"/>
      <c r="N80" s="255"/>
      <c r="O80" s="255"/>
      <c r="P80" s="255"/>
      <c r="Q80" s="307">
        <f>SUMIFS(Input[Aux Ent E&amp;G],Input[Institution Name],$H$1)+SUMIFS(Input[Aux Ent Desg],Input[Institution Name],$H$1)+SUMIFS(Input[Aux Ent Aux],Input[Institution Name],$H$1)+SUMIFS(Input[Aux Ent R Exp],Input[Institution Name],$H$1)+SUMIFS(Input[Aux Ent Loan],Input[Institution Name],$H$1)+SUMIFS(Input[Aux Ent Annuity],Input[Institution Name],$H$1)+SUMIFS(Input[Aux Ent Unexp],Input[Institution Name],$H$1)+SUMIFS(Input[Aux Ent R of Ind],Input[Institution Name],$H$1)+SUMIFS(Input[Aux Ent Inv in P],Input[Institution Name],$H$1)</f>
        <v>0</v>
      </c>
      <c r="R80" s="260"/>
      <c r="S80" s="308"/>
      <c r="T80" s="309">
        <f t="shared" si="3"/>
        <v>0</v>
      </c>
      <c r="U80" s="260"/>
      <c r="V80" s="308"/>
      <c r="W80" s="56"/>
      <c r="X80" s="345" t="s">
        <v>929</v>
      </c>
      <c r="Y80" s="345"/>
      <c r="Z80" s="345"/>
      <c r="AA80" s="345"/>
      <c r="AB80" s="345"/>
      <c r="AC80" s="345"/>
      <c r="AD80" s="345"/>
      <c r="AE80" s="319">
        <f>SUMIFS(Input[SRECNA Aux],Input[Institution Name],$H$1)</f>
        <v>0</v>
      </c>
      <c r="AF80" s="319"/>
      <c r="AG80" s="319"/>
      <c r="AH80" s="428">
        <f t="shared" si="4"/>
        <v>0</v>
      </c>
      <c r="AI80" s="428"/>
      <c r="AJ80" s="428"/>
      <c r="AK80" s="73"/>
      <c r="AL80" s="77"/>
      <c r="AM80" s="77"/>
      <c r="AN80" s="77"/>
      <c r="AO80" s="77"/>
      <c r="AP80" s="77"/>
      <c r="AQ80" s="77"/>
      <c r="AR80" s="77"/>
      <c r="AS80" s="77"/>
      <c r="AT80" s="77"/>
      <c r="AU80" s="77"/>
      <c r="AV80" s="56"/>
      <c r="AW80" s="56"/>
    </row>
    <row r="81" spans="1:49" s="57" customFormat="1" ht="30" customHeight="1" x14ac:dyDescent="0.25">
      <c r="A81" s="56"/>
      <c r="B81" s="56"/>
      <c r="C81" s="56"/>
      <c r="D81" s="56"/>
      <c r="E81" s="56"/>
      <c r="F81" s="56"/>
      <c r="G81" s="56"/>
      <c r="H81" s="306" t="s">
        <v>930</v>
      </c>
      <c r="I81" s="255"/>
      <c r="J81" s="255"/>
      <c r="K81" s="255"/>
      <c r="L81" s="255"/>
      <c r="M81" s="255"/>
      <c r="N81" s="255"/>
      <c r="O81" s="255"/>
      <c r="P81" s="255"/>
      <c r="Q81" s="307">
        <f>SUMIFS(Input[Cap Out fund E&amp;G],Input[Institution Name],$H$1)+SUMIFS(Input[Cap Out fund Desg],Input[Institution Name],$H$1)+SUMIFS(Input[Cap Out fund Aux],Input[Institution Name],$H$1)+SUMIFS(Input[Cap Out fund R Exp],Input[Institution Name],$H$1)+SUMIFS(Input[Cap Out fund Loan],Input[Institution Name],$H$1)+SUMIFS(Input[Cap Out fund Annuity],Input[Institution Name],$H$1)+SUMIFS(Input[Cap Out fund Unexp],Input[Institution Name],$H$1)+SUMIFS(Input[Cap Out fund R of Ind],Input[Institution Name],$H$1)+SUMIFS(Input[Cap Out fund Inv in P],Input[Institution Name],$H$1)</f>
        <v>0</v>
      </c>
      <c r="R81" s="260"/>
      <c r="S81" s="308"/>
      <c r="T81" s="309">
        <f t="shared" si="3"/>
        <v>0</v>
      </c>
      <c r="U81" s="260"/>
      <c r="V81" s="308"/>
      <c r="W81" s="56"/>
      <c r="X81" s="437" t="s">
        <v>1006</v>
      </c>
      <c r="Y81" s="437"/>
      <c r="Z81" s="437"/>
      <c r="AA81" s="437"/>
      <c r="AB81" s="437"/>
      <c r="AC81" s="437"/>
      <c r="AD81" s="437"/>
      <c r="AE81" s="442">
        <f>Q101*-1</f>
        <v>0</v>
      </c>
      <c r="AF81" s="442"/>
      <c r="AG81" s="442"/>
      <c r="AH81" s="443">
        <f>SUM(AD81,P101)</f>
        <v>0</v>
      </c>
      <c r="AI81" s="443"/>
      <c r="AJ81" s="443"/>
      <c r="AK81" s="73"/>
      <c r="AL81" s="77"/>
      <c r="AM81" s="56"/>
      <c r="AN81" s="56"/>
      <c r="AO81" s="56"/>
      <c r="AP81" s="56"/>
      <c r="AQ81" s="56"/>
      <c r="AR81" s="77"/>
      <c r="AS81" s="77"/>
      <c r="AT81" s="77"/>
      <c r="AU81" s="77"/>
      <c r="AV81" s="56"/>
      <c r="AW81" s="56"/>
    </row>
    <row r="82" spans="1:49" s="57" customFormat="1" ht="30" customHeight="1" x14ac:dyDescent="0.3">
      <c r="A82" s="56"/>
      <c r="B82" s="56"/>
      <c r="C82" s="56"/>
      <c r="D82" s="56"/>
      <c r="E82" s="56"/>
      <c r="F82" s="56"/>
      <c r="G82" s="56"/>
      <c r="H82" s="365" t="s">
        <v>931</v>
      </c>
      <c r="I82" s="366"/>
      <c r="J82" s="366"/>
      <c r="K82" s="366"/>
      <c r="L82" s="366"/>
      <c r="M82" s="366"/>
      <c r="N82" s="366"/>
      <c r="O82" s="366"/>
      <c r="P82" s="366"/>
      <c r="Q82" s="389">
        <f>SUMIFS(Input[Oth Exp E&amp;G],Input[Institution Name],$H$1)+SUMIFS(Input[Oth Exp Desg],Input[Institution Name],$H$1)+SUMIFS(Input[Oth Exp Aux],Input[Institution Name],$H$1)+SUMIFS(Input[Oth Exp R Exp],Input[Institution Name],$H$1)+SUMIFS(Input[Oth Exp Loan],Input[Institution Name],$H$1)+SUMIFS(Input[Oth Exp Annuity],Input[Institution Name],$H$1)+SUMIFS(Input[Oth Exp Unexp],Input[Institution Name],$H$1)+SUMIFS(Input[Oth Exp R of Ind],Input[Institution Name],$H$1)+SUMIFS(Input[Oth Exp Inv in P],Input[Institution Name],$H$1)</f>
        <v>0</v>
      </c>
      <c r="R82" s="387"/>
      <c r="S82" s="388"/>
      <c r="T82" s="386">
        <f t="shared" si="3"/>
        <v>0</v>
      </c>
      <c r="U82" s="387"/>
      <c r="V82" s="388"/>
      <c r="W82" s="56"/>
      <c r="X82" s="56"/>
      <c r="Y82" s="56"/>
      <c r="Z82" s="56"/>
      <c r="AA82" s="56"/>
      <c r="AB82" s="56"/>
      <c r="AC82" s="56"/>
      <c r="AD82" s="56"/>
      <c r="AE82" s="56"/>
      <c r="AF82" s="56"/>
      <c r="AG82" s="56"/>
      <c r="AH82" s="56"/>
      <c r="AI82" s="56"/>
      <c r="AJ82" s="56"/>
      <c r="AK82" s="56"/>
      <c r="AL82" s="56"/>
      <c r="AM82" s="56"/>
      <c r="AN82" s="56"/>
      <c r="AO82" s="56"/>
      <c r="AP82" s="56"/>
      <c r="AQ82" s="56"/>
      <c r="AR82" s="56"/>
      <c r="AS82" s="77"/>
      <c r="AT82" s="77"/>
      <c r="AU82" s="77"/>
      <c r="AV82" s="56"/>
      <c r="AW82" s="56"/>
    </row>
    <row r="83" spans="1:49" s="57" customFormat="1" ht="30" customHeight="1" x14ac:dyDescent="0.3">
      <c r="A83" s="56"/>
      <c r="B83" s="56"/>
      <c r="C83" s="56"/>
      <c r="D83" s="56"/>
      <c r="E83" s="56"/>
      <c r="F83" s="56"/>
      <c r="G83" s="56"/>
      <c r="H83" s="358" t="s">
        <v>917</v>
      </c>
      <c r="I83" s="359"/>
      <c r="J83" s="359"/>
      <c r="K83" s="359"/>
      <c r="L83" s="359"/>
      <c r="M83" s="359"/>
      <c r="N83" s="359"/>
      <c r="O83" s="359"/>
      <c r="P83" s="360"/>
      <c r="Q83" s="361">
        <f>SUM(Q71:S82)</f>
        <v>0</v>
      </c>
      <c r="R83" s="362"/>
      <c r="S83" s="363"/>
      <c r="T83" s="364">
        <f>SUM(T71:V82)</f>
        <v>0</v>
      </c>
      <c r="U83" s="362"/>
      <c r="V83" s="363"/>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row>
    <row r="84" spans="1:49" s="57" customFormat="1" ht="30" customHeight="1" x14ac:dyDescent="0.3">
      <c r="A84" s="56"/>
      <c r="B84" s="56"/>
      <c r="C84" s="56"/>
      <c r="D84" s="56"/>
      <c r="E84" s="56"/>
      <c r="F84" s="56"/>
      <c r="G84" s="56"/>
      <c r="H84" s="59"/>
      <c r="I84" s="59"/>
      <c r="J84" s="59"/>
      <c r="K84" s="59"/>
      <c r="L84" s="59"/>
      <c r="M84" s="59"/>
      <c r="N84" s="59"/>
      <c r="O84" s="59"/>
      <c r="P84" s="59"/>
      <c r="Q84" s="80"/>
      <c r="R84" s="80"/>
      <c r="S84" s="80"/>
      <c r="T84" s="80"/>
      <c r="U84" s="80"/>
      <c r="V84" s="80"/>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row>
    <row r="85" spans="1:49" s="57" customFormat="1" ht="30" customHeight="1" x14ac:dyDescent="0.3">
      <c r="A85" s="56"/>
      <c r="B85" s="56"/>
      <c r="C85" s="56"/>
      <c r="D85" s="56"/>
      <c r="E85" s="56"/>
      <c r="F85" s="56"/>
      <c r="G85" s="56"/>
      <c r="H85" s="374" t="s">
        <v>932</v>
      </c>
      <c r="I85" s="375"/>
      <c r="J85" s="375"/>
      <c r="K85" s="375"/>
      <c r="L85" s="375"/>
      <c r="M85" s="375"/>
      <c r="N85" s="375"/>
      <c r="O85" s="375"/>
      <c r="P85" s="375"/>
      <c r="Q85" s="376" t="s">
        <v>981</v>
      </c>
      <c r="R85" s="376"/>
      <c r="S85" s="376"/>
      <c r="T85" s="376" t="s">
        <v>982</v>
      </c>
      <c r="U85" s="376"/>
      <c r="V85" s="377"/>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row>
    <row r="86" spans="1:49" s="57" customFormat="1" ht="30" customHeight="1" x14ac:dyDescent="0.3">
      <c r="A86" s="56"/>
      <c r="B86" s="56"/>
      <c r="C86" s="56"/>
      <c r="D86" s="56"/>
      <c r="E86" s="56"/>
      <c r="F86" s="56"/>
      <c r="G86" s="56"/>
      <c r="H86" s="306" t="s">
        <v>933</v>
      </c>
      <c r="I86" s="255"/>
      <c r="J86" s="255"/>
      <c r="K86" s="255"/>
      <c r="L86" s="255"/>
      <c r="M86" s="255"/>
      <c r="N86" s="255"/>
      <c r="O86" s="255"/>
      <c r="P86" s="256"/>
      <c r="Q86" s="258">
        <f>SUMIFS(Input[Cap Out n-Fund E&amp;G],Input[Institution Name],$H$1)+SUMIFS(Input[Cap Out n-Fund Desg],Input[Institution Name],$H$1)+SUMIFS(Input[Cap Out n-Fund Aux],Input[Institution Name],$H$1)+SUMIFS(Input[Cap Out n-Fund R Exp],Input[Institution Name],$H$1)+SUMIFS(Input[Cap Out n-Fund Loan],Input[Institution Name],$H$1)+SUMIFS(Input[Cap Out n-Fund Annuity],Input[Institution Name],$H$1)+SUMIFS(Input[Cap Out n-Fund Unexp],Input[Institution Name],$H$1)+SUMIFS(Input[Cap Out n-Fund R of Ind],Input[Institution Name],$H$1)+SUMIFS(Input[Cap Out n-Fund Inv in P],Input[Institution Name],$H$1)</f>
        <v>0</v>
      </c>
      <c r="R86" s="258"/>
      <c r="S86" s="258"/>
      <c r="T86" s="258">
        <f>IFERROR(ROUND(Q86/$Z$1,0),0)</f>
        <v>0</v>
      </c>
      <c r="U86" s="258"/>
      <c r="V86" s="357"/>
      <c r="W86" s="59"/>
      <c r="X86" s="59"/>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row>
    <row r="87" spans="1:49" s="57" customFormat="1" ht="30" customHeight="1" x14ac:dyDescent="0.3">
      <c r="A87" s="56"/>
      <c r="B87" s="56"/>
      <c r="C87" s="56"/>
      <c r="D87" s="56"/>
      <c r="E87" s="56"/>
      <c r="F87" s="56"/>
      <c r="G87" s="56"/>
      <c r="H87" s="306" t="s">
        <v>934</v>
      </c>
      <c r="I87" s="255"/>
      <c r="J87" s="255"/>
      <c r="K87" s="255"/>
      <c r="L87" s="255"/>
      <c r="M87" s="255"/>
      <c r="N87" s="255"/>
      <c r="O87" s="255"/>
      <c r="P87" s="256"/>
      <c r="Q87" s="260">
        <f>SUMIFS(Input[M&amp;Nm Xfrs E&amp;G],Input[Institution Name],$H$1)+SUMIFS(Input[M&amp;Nm Xfrs Desg],Input[Institution Name],$H$1)+SUMIFS(Input[M&amp;Nm Xfrs Aux],Input[Institution Name],$H$1)+SUMIFS(Input[M&amp;Nm Xfrs R Exp],Input[Institution Name],$H$1)+SUMIFS(Input[M&amp;Nm Xfrs Loan],Input[Institution Name],$H$1)+SUMIFS(Input[M&amp;Nm Xfrs Annuity],Input[Institution Name],$H$1)+SUMIFS(Input[M&amp;Nm Xfrs Unexp],Input[Institution Name],$H$1)+SUMIFS(Input[M&amp;Nm Xfrs R of Ind],Input[Institution Name],$H$1)+SUMIFS(Input[M&amp;Nm Xfrs Inv in P],Input[Institution Name],$H$1)</f>
        <v>0</v>
      </c>
      <c r="R87" s="260"/>
      <c r="S87" s="260"/>
      <c r="T87" s="260">
        <f>IFERROR(ROUND(Q87/$Z$1,0),0)</f>
        <v>0</v>
      </c>
      <c r="U87" s="260"/>
      <c r="V87" s="308"/>
      <c r="W87" s="59"/>
      <c r="X87" s="59"/>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row>
    <row r="88" spans="1:49" s="57" customFormat="1" ht="30" customHeight="1" x14ac:dyDescent="0.3">
      <c r="A88" s="56"/>
      <c r="B88" s="56"/>
      <c r="C88" s="56"/>
      <c r="D88" s="56"/>
      <c r="E88" s="56"/>
      <c r="F88" s="56"/>
      <c r="G88" s="56"/>
      <c r="H88" s="306" t="s">
        <v>935</v>
      </c>
      <c r="I88" s="255"/>
      <c r="J88" s="255"/>
      <c r="K88" s="255"/>
      <c r="L88" s="255"/>
      <c r="M88" s="255"/>
      <c r="N88" s="255"/>
      <c r="O88" s="255"/>
      <c r="P88" s="256"/>
      <c r="Q88" s="260">
        <f>SUMIFS(Input[Bond Xfrs In E&amp;G],Input[Institution Name],$H$1)+SUMIFS(Input[Bond Xfrs In Desg],Input[Institution Name],$H$1)+SUMIFS(Input[Bond Xfrs In Aux],Input[Institution Name],$H$1)+SUMIFS(Input[Bond Xfrs In R Exp],Input[Institution Name],$H$1)+SUMIFS(Input[Bond Xfrs In Loan],Input[Institution Name],$H$1)+SUMIFS(Input[Bond Xfrs In Annuity],Input[Institution Name],$H$1)+SUMIFS(Input[Bond Xfrs In Unexp],Input[Institution Name],$H$1)+SUMIFS(Input[Bond Xfrs In R of Ind],Input[Institution Name],$H$1)+SUMIFS(Input[Bond Xfrs In Inv in P],Input[Institution Name],$H$1)</f>
        <v>0</v>
      </c>
      <c r="R88" s="260"/>
      <c r="S88" s="260"/>
      <c r="T88" s="260">
        <f>IFERROR(ROUND(Q88/$Z$1,0),0)</f>
        <v>0</v>
      </c>
      <c r="U88" s="260"/>
      <c r="V88" s="308"/>
      <c r="W88" s="59"/>
      <c r="X88" s="59"/>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row>
    <row r="89" spans="1:49" s="57" customFormat="1" ht="30" customHeight="1" x14ac:dyDescent="0.3">
      <c r="A89" s="56"/>
      <c r="B89" s="56"/>
      <c r="C89" s="56"/>
      <c r="D89" s="56"/>
      <c r="E89" s="56"/>
      <c r="F89" s="56"/>
      <c r="G89" s="56"/>
      <c r="H89" s="306" t="s">
        <v>936</v>
      </c>
      <c r="I89" s="255"/>
      <c r="J89" s="255"/>
      <c r="K89" s="255"/>
      <c r="L89" s="255"/>
      <c r="M89" s="255"/>
      <c r="N89" s="255"/>
      <c r="O89" s="255"/>
      <c r="P89" s="256"/>
      <c r="Q89" s="260">
        <f>SUMIFS(Input[Debt Srv Pay E&amp;G],Input[Institution Name],$H$1)+SUMIFS(Input[Debt Srv Pay Desg],Input[Institution Name],$H$1)+SUMIFS(Input[Debt Srv Pay Aux],Input[Institution Name],$H$1)+SUMIFS(Input[Debt Srv Pay R Exp],Input[Institution Name],$H$1)+SUMIFS(Input[Debt Srv Pay Loan],Input[Institution Name],$H$1)+SUMIFS(Input[Debt Srv Pay Annuity],Input[Institution Name],$H$1)+SUMIFS(Input[Debt Srv Pay Unexp],Input[Institution Name],$H$1)+SUMIFS(Input[Debt Srv Pay R of Ind],Input[Institution Name],$H$1)+SUMIFS(Input[Debt Srv Pay Inv in P],Input[Institution Name],$H$1)</f>
        <v>0</v>
      </c>
      <c r="R89" s="260"/>
      <c r="S89" s="260"/>
      <c r="T89" s="260">
        <f>IFERROR(ROUND(Q89/$Z$1,0),0)</f>
        <v>0</v>
      </c>
      <c r="U89" s="260"/>
      <c r="V89" s="308"/>
      <c r="W89" s="59"/>
      <c r="X89" s="59"/>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row>
    <row r="90" spans="1:49" s="57" customFormat="1" ht="30" customHeight="1" x14ac:dyDescent="0.3">
      <c r="A90" s="56"/>
      <c r="B90" s="56"/>
      <c r="C90" s="56"/>
      <c r="D90" s="56"/>
      <c r="E90" s="56"/>
      <c r="F90" s="56"/>
      <c r="G90" s="56"/>
      <c r="H90" s="323" t="s">
        <v>917</v>
      </c>
      <c r="I90" s="324"/>
      <c r="J90" s="324"/>
      <c r="K90" s="324"/>
      <c r="L90" s="324"/>
      <c r="M90" s="324"/>
      <c r="N90" s="324"/>
      <c r="O90" s="324"/>
      <c r="P90" s="324"/>
      <c r="Q90" s="329">
        <f>SUM(Q86:S89)</f>
        <v>0</v>
      </c>
      <c r="R90" s="329"/>
      <c r="S90" s="329"/>
      <c r="T90" s="329">
        <f>SUM(T86:V89)</f>
        <v>0</v>
      </c>
      <c r="U90" s="329"/>
      <c r="V90" s="330"/>
      <c r="W90" s="59"/>
      <c r="X90" s="59"/>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row>
    <row r="91" spans="1:49" s="57" customFormat="1" ht="30" customHeight="1" x14ac:dyDescent="0.3">
      <c r="A91" s="56"/>
      <c r="B91" s="56"/>
      <c r="C91" s="56"/>
      <c r="D91" s="56"/>
      <c r="E91" s="56"/>
      <c r="F91" s="56"/>
      <c r="G91" s="56"/>
      <c r="H91" s="59"/>
      <c r="I91" s="59"/>
      <c r="J91" s="59"/>
      <c r="K91" s="59"/>
      <c r="L91" s="59"/>
      <c r="M91" s="59"/>
      <c r="N91" s="59"/>
      <c r="O91" s="59"/>
      <c r="P91" s="59"/>
      <c r="Q91" s="80"/>
      <c r="R91" s="80"/>
      <c r="S91" s="80"/>
      <c r="T91" s="80"/>
      <c r="U91" s="80"/>
      <c r="V91" s="80"/>
      <c r="W91" s="59"/>
      <c r="X91" s="59"/>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row>
    <row r="92" spans="1:49" s="57" customFormat="1" ht="30" customHeight="1" x14ac:dyDescent="0.3">
      <c r="A92" s="56"/>
      <c r="B92" s="56"/>
      <c r="C92" s="56"/>
      <c r="D92" s="56"/>
      <c r="E92" s="56"/>
      <c r="F92" s="56"/>
      <c r="G92" s="56"/>
      <c r="H92" s="374" t="s">
        <v>937</v>
      </c>
      <c r="I92" s="375"/>
      <c r="J92" s="375"/>
      <c r="K92" s="375"/>
      <c r="L92" s="375"/>
      <c r="M92" s="375"/>
      <c r="N92" s="375"/>
      <c r="O92" s="375"/>
      <c r="P92" s="375"/>
      <c r="Q92" s="376" t="s">
        <v>981</v>
      </c>
      <c r="R92" s="376"/>
      <c r="S92" s="376"/>
      <c r="T92" s="376" t="s">
        <v>982</v>
      </c>
      <c r="U92" s="376"/>
      <c r="V92" s="377"/>
      <c r="W92" s="59"/>
      <c r="X92" s="59"/>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row>
    <row r="93" spans="1:49" s="57" customFormat="1" ht="30" customHeight="1" x14ac:dyDescent="0.3">
      <c r="A93" s="56"/>
      <c r="B93" s="56"/>
      <c r="C93" s="56"/>
      <c r="D93" s="56"/>
      <c r="E93" s="56"/>
      <c r="F93" s="56"/>
      <c r="G93" s="56"/>
      <c r="H93" s="306" t="s">
        <v>938</v>
      </c>
      <c r="I93" s="255"/>
      <c r="J93" s="255"/>
      <c r="K93" s="255"/>
      <c r="L93" s="255"/>
      <c r="M93" s="255"/>
      <c r="N93" s="255"/>
      <c r="O93" s="255"/>
      <c r="P93" s="256"/>
      <c r="Q93" s="258">
        <f>SUMIFS(Input[Unreal G/L E&amp;G],Input[Institution Name],$H$1)+SUMIFS(Input[Unreal G/L Desg],Input[Institution Name],$H$1)+SUMIFS(Input[Unreal G/L Aux],Input[Institution Name],$H$1)+SUMIFS(Input[Unreal G/L R Exp],Input[Institution Name],$H$1)+SUMIFS(Input[Unreal G/L Loan],Input[Institution Name],$H$1)+SUMIFS(Input[Unreal G/L Annuity],Input[Institution Name],$H$1)+SUMIFS(Input[Unreal G/L Unexp],Input[Institution Name],$H$1)+SUMIFS(Input[Unreal G/L R of Ind],Input[Institution Name],$H$1)+SUMIFS(Input[Unreal G/L Inv in P],Input[Institution Name],$H$1)</f>
        <v>0</v>
      </c>
      <c r="R93" s="258"/>
      <c r="S93" s="258"/>
      <c r="T93" s="258">
        <f>IFERROR(ROUND(Q93/$Z$1,0),0)</f>
        <v>0</v>
      </c>
      <c r="U93" s="258"/>
      <c r="V93" s="357"/>
      <c r="W93" s="59"/>
      <c r="X93" s="59"/>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row>
    <row r="94" spans="1:49" s="57" customFormat="1" ht="30" customHeight="1" x14ac:dyDescent="0.3">
      <c r="A94" s="56"/>
      <c r="B94" s="56"/>
      <c r="C94" s="56"/>
      <c r="D94" s="56"/>
      <c r="E94" s="56"/>
      <c r="F94" s="56"/>
      <c r="G94" s="56"/>
      <c r="H94" s="306" t="s">
        <v>939</v>
      </c>
      <c r="I94" s="255"/>
      <c r="J94" s="255"/>
      <c r="K94" s="255"/>
      <c r="L94" s="255"/>
      <c r="M94" s="255"/>
      <c r="N94" s="255"/>
      <c r="O94" s="255"/>
      <c r="P94" s="256"/>
      <c r="Q94" s="260">
        <f>SUMIFS(Input[Add End E&amp;G],Input[Institution Name],$H$1)+SUMIFS(Input[Add End Desg],Input[Institution Name],$H$1)+SUMIFS(Input[Add End Aux],Input[Institution Name],$H$1)+SUMIFS(Input[Add End R Exp],Input[Institution Name],$H$1)+SUMIFS(Input[Add End Loan],Input[Institution Name],$H$1)+SUMIFS(Input[Add End Annuity],Input[Institution Name],$H$1)+SUMIFS(Input[Add End Unexp],Input[Institution Name],$H$1)+SUMIFS(Input[Add End R of Ind],Input[Institution Name],$H$1)+SUMIFS(Input[Add End Inv in P],Input[Institution Name],$H$1)</f>
        <v>0</v>
      </c>
      <c r="R94" s="260"/>
      <c r="S94" s="260"/>
      <c r="T94" s="260">
        <f>IFERROR(ROUND(Q94/$Z$1,0),0)</f>
        <v>0</v>
      </c>
      <c r="U94" s="260"/>
      <c r="V94" s="308"/>
      <c r="W94" s="59"/>
      <c r="X94" s="59"/>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row>
    <row r="95" spans="1:49" s="57" customFormat="1" ht="30" customHeight="1" x14ac:dyDescent="0.3">
      <c r="A95" s="56"/>
      <c r="B95" s="56"/>
      <c r="C95" s="56"/>
      <c r="D95" s="56"/>
      <c r="E95" s="56"/>
      <c r="F95" s="56"/>
      <c r="G95" s="56"/>
      <c r="H95" s="323" t="s">
        <v>917</v>
      </c>
      <c r="I95" s="324"/>
      <c r="J95" s="324"/>
      <c r="K95" s="324"/>
      <c r="L95" s="324"/>
      <c r="M95" s="324"/>
      <c r="N95" s="324"/>
      <c r="O95" s="324"/>
      <c r="P95" s="324"/>
      <c r="Q95" s="329">
        <f>SUM(Q93:S94)</f>
        <v>0</v>
      </c>
      <c r="R95" s="329"/>
      <c r="S95" s="329"/>
      <c r="T95" s="329">
        <f>SUM(T93:V94)</f>
        <v>0</v>
      </c>
      <c r="U95" s="329"/>
      <c r="V95" s="330"/>
      <c r="W95" s="59"/>
      <c r="X95" s="59"/>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row>
    <row r="96" spans="1:49" s="57" customFormat="1" ht="30" customHeight="1" x14ac:dyDescent="0.3">
      <c r="A96" s="56"/>
      <c r="B96" s="56"/>
      <c r="C96" s="56"/>
      <c r="D96" s="56"/>
      <c r="E96" s="56"/>
      <c r="F96" s="56"/>
      <c r="G96" s="56"/>
      <c r="H96" s="59"/>
      <c r="I96" s="59"/>
      <c r="J96" s="59"/>
      <c r="K96" s="59"/>
      <c r="L96" s="59"/>
      <c r="M96" s="59"/>
      <c r="N96" s="59"/>
      <c r="O96" s="59"/>
      <c r="P96" s="59"/>
      <c r="Q96" s="80"/>
      <c r="R96" s="80"/>
      <c r="S96" s="80"/>
      <c r="T96" s="80"/>
      <c r="U96" s="80"/>
      <c r="V96" s="80"/>
      <c r="W96" s="59"/>
      <c r="X96" s="59"/>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row>
    <row r="97" spans="1:49" s="57" customFormat="1" ht="30" customHeight="1" x14ac:dyDescent="0.3">
      <c r="A97" s="56"/>
      <c r="B97" s="56"/>
      <c r="C97" s="56"/>
      <c r="D97" s="56"/>
      <c r="E97" s="56"/>
      <c r="F97" s="56"/>
      <c r="G97" s="56"/>
      <c r="H97" s="369" t="s">
        <v>940</v>
      </c>
      <c r="I97" s="370"/>
      <c r="J97" s="370"/>
      <c r="K97" s="370"/>
      <c r="L97" s="370"/>
      <c r="M97" s="370"/>
      <c r="N97" s="370"/>
      <c r="O97" s="370"/>
      <c r="P97" s="370"/>
      <c r="Q97" s="367">
        <f>Q67-Q83+Q90+Q95</f>
        <v>0</v>
      </c>
      <c r="R97" s="367"/>
      <c r="S97" s="367"/>
      <c r="T97" s="367">
        <f>IFERROR(ROUND(Q97/$Z$1,0),0)</f>
        <v>0</v>
      </c>
      <c r="U97" s="367"/>
      <c r="V97" s="368"/>
      <c r="W97" s="59"/>
      <c r="X97" s="59"/>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row>
    <row r="98" spans="1:49" s="57" customFormat="1" ht="30" customHeight="1" x14ac:dyDescent="0.3">
      <c r="A98" s="56"/>
      <c r="B98" s="56"/>
      <c r="C98" s="56"/>
      <c r="D98" s="56"/>
      <c r="E98" s="56"/>
      <c r="F98" s="56"/>
      <c r="G98" s="56"/>
      <c r="H98" s="59"/>
      <c r="I98" s="59"/>
      <c r="J98" s="59"/>
      <c r="K98" s="59"/>
      <c r="L98" s="59"/>
      <c r="M98" s="59"/>
      <c r="N98" s="59"/>
      <c r="O98" s="59"/>
      <c r="P98" s="59"/>
      <c r="Q98" s="80"/>
      <c r="R98" s="80"/>
      <c r="S98" s="80"/>
      <c r="T98" s="80"/>
      <c r="U98" s="80"/>
      <c r="V98" s="80"/>
      <c r="W98" s="59"/>
      <c r="X98" s="59"/>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row>
    <row r="99" spans="1:49" s="57" customFormat="1" ht="30" customHeight="1" x14ac:dyDescent="0.3">
      <c r="A99" s="56"/>
      <c r="B99" s="56"/>
      <c r="C99" s="56"/>
      <c r="D99" s="56"/>
      <c r="E99" s="56"/>
      <c r="F99" s="56"/>
      <c r="G99" s="56"/>
      <c r="H99" s="374"/>
      <c r="I99" s="375"/>
      <c r="J99" s="375"/>
      <c r="K99" s="375"/>
      <c r="L99" s="375"/>
      <c r="M99" s="375"/>
      <c r="N99" s="375"/>
      <c r="O99" s="375"/>
      <c r="P99" s="375"/>
      <c r="Q99" s="376" t="s">
        <v>981</v>
      </c>
      <c r="R99" s="376"/>
      <c r="S99" s="376"/>
      <c r="T99" s="376" t="s">
        <v>982</v>
      </c>
      <c r="U99" s="376"/>
      <c r="V99" s="377"/>
      <c r="W99" s="59"/>
      <c r="X99" s="59"/>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row>
    <row r="100" spans="1:49" s="57" customFormat="1" ht="30" customHeight="1" x14ac:dyDescent="0.3">
      <c r="A100" s="56"/>
      <c r="B100" s="56"/>
      <c r="C100" s="56"/>
      <c r="D100" s="56"/>
      <c r="E100" s="56"/>
      <c r="F100" s="56"/>
      <c r="G100" s="56"/>
      <c r="H100" s="306" t="s">
        <v>941</v>
      </c>
      <c r="I100" s="255"/>
      <c r="J100" s="255"/>
      <c r="K100" s="255"/>
      <c r="L100" s="255"/>
      <c r="M100" s="255"/>
      <c r="N100" s="255"/>
      <c r="O100" s="255"/>
      <c r="P100" s="256"/>
      <c r="Q100" s="258">
        <f>SUMIFS(Input[Bond Proceeds E&amp;G],Input[Institution Name],$H$1)+SUMIFS(Input[Bond Proceeds Desg],Input[Institution Name],$H$1)+SUMIFS(Input[Bond Proceeds Aux],Input[Institution Name],$H$1)+SUMIFS(Input[Bond Proceeds R Exp],Input[Institution Name],$H$1)+SUMIFS(Input[Bond Proceeds Loan],Input[Institution Name],$H$1)+SUMIFS(Input[Bond Proceeds Annuity],Input[Institution Name],$H$1)+SUMIFS(Input[Bond Proceeds Unexp],Input[Institution Name],$H$1)+SUMIFS(Input[Bond Proceeds R of Ind],Input[Institution Name],$H$1)+SUMIFS(Input[Bond Proceeds Inv in P],Input[Institution Name],$H$1)</f>
        <v>0</v>
      </c>
      <c r="R100" s="258"/>
      <c r="S100" s="258"/>
      <c r="T100" s="258">
        <f t="shared" ref="T100:T105" si="5">IFERROR(ROUND(Q100/$Z$1,0),0)</f>
        <v>0</v>
      </c>
      <c r="U100" s="258"/>
      <c r="V100" s="357"/>
      <c r="W100" s="59"/>
      <c r="X100" s="59"/>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row>
    <row r="101" spans="1:49" s="57" customFormat="1" ht="30" customHeight="1" x14ac:dyDescent="0.3">
      <c r="A101" s="56"/>
      <c r="B101" s="56"/>
      <c r="C101" s="56"/>
      <c r="D101" s="56"/>
      <c r="E101" s="56"/>
      <c r="F101" s="56"/>
      <c r="G101" s="56"/>
      <c r="H101" s="306" t="s">
        <v>942</v>
      </c>
      <c r="I101" s="255"/>
      <c r="J101" s="255"/>
      <c r="K101" s="255"/>
      <c r="L101" s="255"/>
      <c r="M101" s="255"/>
      <c r="N101" s="255"/>
      <c r="O101" s="255"/>
      <c r="P101" s="256"/>
      <c r="Q101" s="260">
        <f>SUMIFS(Input[Dep Exp E&amp;G],Input[Institution Name],$H$1)+SUMIFS(Input[Dep Exp Desg],Input[Institution Name],$H$1)+SUMIFS(Input[Dep Exp Aux],Input[Institution Name],$H$1)+SUMIFS(Input[Dep Exp R Exp],Input[Institution Name],$H$1)+SUMIFS(Input[Dep Exp Loan],Input[Institution Name],$H$1)+SUMIFS(Input[Dep Exp Annuity],Input[Institution Name],$H$1)+SUMIFS(Input[Dep Exp Unexp],Input[Institution Name],$H$1)+SUMIFS(Input[Dep Exp R of Ind],Input[Institution Name],$H$1)+SUMIFS(Input[Dep Exp Inv in P],Input[Institution Name],$H$1)</f>
        <v>0</v>
      </c>
      <c r="R101" s="260"/>
      <c r="S101" s="260"/>
      <c r="T101" s="260">
        <f t="shared" si="5"/>
        <v>0</v>
      </c>
      <c r="U101" s="260"/>
      <c r="V101" s="308"/>
      <c r="W101" s="59"/>
      <c r="X101" s="59"/>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row>
    <row r="102" spans="1:49" s="57" customFormat="1" ht="30" customHeight="1" x14ac:dyDescent="0.3">
      <c r="A102" s="56"/>
      <c r="B102" s="56"/>
      <c r="C102" s="56"/>
      <c r="D102" s="56"/>
      <c r="E102" s="56"/>
      <c r="F102" s="56"/>
      <c r="G102" s="56"/>
      <c r="H102" s="306" t="s">
        <v>943</v>
      </c>
      <c r="I102" s="255"/>
      <c r="J102" s="255"/>
      <c r="K102" s="255"/>
      <c r="L102" s="255"/>
      <c r="M102" s="255"/>
      <c r="N102" s="255"/>
      <c r="O102" s="255"/>
      <c r="P102" s="256"/>
      <c r="Q102" s="260">
        <f>SUMIFS(Input[Xfr Cap Sys E&amp;G],Input[Institution Name],$H$1)+SUMIFS(Input[Xfr Cap Sys Desg],Input[Institution Name],$H$1)+SUMIFS(Input[Xfr Cap Sys Aux],Input[Institution Name],$H$1)+SUMIFS(Input[Xfr Cap Sys R Exp],Input[Institution Name],$H$1)+SUMIFS(Input[Xfr Cap Sys Loan],Input[Institution Name],$H$1)+SUMIFS(Input[Xfr Cap Sys Annuity],Input[Institution Name],$H$1)+SUMIFS(Input[Xfr Cap Sys Unexp],Input[Institution Name],$H$1)+SUMIFS(Input[Xfr Cap Sys R of Ind],Input[Institution Name],$H$1)+SUMIFS(Input[Xfr Cap Sys Inv in P],Input[Institution Name],$H$1)</f>
        <v>0</v>
      </c>
      <c r="R102" s="260"/>
      <c r="S102" s="260"/>
      <c r="T102" s="260">
        <f t="shared" si="5"/>
        <v>0</v>
      </c>
      <c r="U102" s="260"/>
      <c r="V102" s="308"/>
      <c r="W102" s="59"/>
      <c r="X102" s="59"/>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row>
    <row r="103" spans="1:49" s="57" customFormat="1" ht="30" customHeight="1" x14ac:dyDescent="0.3">
      <c r="A103" s="56"/>
      <c r="B103" s="56"/>
      <c r="C103" s="56"/>
      <c r="D103" s="56"/>
      <c r="E103" s="56"/>
      <c r="F103" s="56"/>
      <c r="G103" s="56"/>
      <c r="H103" s="306" t="s">
        <v>944</v>
      </c>
      <c r="I103" s="255"/>
      <c r="J103" s="255"/>
      <c r="K103" s="255"/>
      <c r="L103" s="255"/>
      <c r="M103" s="255"/>
      <c r="N103" s="255"/>
      <c r="O103" s="255"/>
      <c r="P103" s="256"/>
      <c r="Q103" s="260">
        <f>SUMIFS(Input[OPEB Exp E&amp;G],Input[Institution Name],$H$1)+SUMIFS(Input[OPEB Exp Desg],Input[Institution Name],$H$1)+SUMIFS(Input[OPEB Exp Aux],Input[Institution Name],$H$1)+SUMIFS(Input[OPEB Exp R Exp],Input[Institution Name],$H$1)+SUMIFS(Input[OPEB Exp Loan],Input[Institution Name],$H$1)+SUMIFS(Input[OPEB Exp Annuity],Input[Institution Name],$H$1)+SUMIFS(Input[OPEB Exp Unexp],Input[Institution Name],$H$1)+SUMIFS(Input[OPEB Exp R of Ind],Input[Institution Name],$H$1)+SUMIFS(Input[OPEB Exp Inv in P],Input[Institution Name],$H$1)</f>
        <v>0</v>
      </c>
      <c r="R103" s="260"/>
      <c r="S103" s="260"/>
      <c r="T103" s="260">
        <f t="shared" si="5"/>
        <v>0</v>
      </c>
      <c r="U103" s="260"/>
      <c r="V103" s="308"/>
      <c r="W103" s="59"/>
      <c r="X103" s="59"/>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row>
    <row r="104" spans="1:49" s="57" customFormat="1" ht="30" customHeight="1" x14ac:dyDescent="0.3">
      <c r="A104" s="56"/>
      <c r="B104" s="56"/>
      <c r="C104" s="56"/>
      <c r="D104" s="56"/>
      <c r="E104" s="56"/>
      <c r="F104" s="56"/>
      <c r="G104" s="56"/>
      <c r="H104" s="306" t="s">
        <v>945</v>
      </c>
      <c r="I104" s="255"/>
      <c r="J104" s="255"/>
      <c r="K104" s="255"/>
      <c r="L104" s="255"/>
      <c r="M104" s="255"/>
      <c r="N104" s="255"/>
      <c r="O104" s="255"/>
      <c r="P104" s="256"/>
      <c r="Q104" s="260">
        <f>SUMIFS(Input[Non-Cash Cap E&amp;G],Input[Institution Name],$H$1)+SUMIFS(Input[Non-Cash Cap Desg],Input[Institution Name],$H$1)+SUMIFS(Input[Non-Cash Cap Aux],Input[Institution Name],$H$1)+SUMIFS(Input[Non-Cash Cap R Exp],Input[Institution Name],$H$1)+SUMIFS(Input[Non-Cash Cap Loan],Input[Institution Name],$H$1)+SUMIFS(Input[Non-Cash Cap Annuity],Input[Institution Name],$H$1)+SUMIFS(Input[Non-Cash Cap Unexp],Input[Institution Name],$H$1)+SUMIFS(Input[Non-Cash Cap R of Ind],Input[Institution Name],$H$1)+SUMIFS(Input[Non-Cash Cap Inv in P],Input[Institution Name],$H$1)</f>
        <v>0</v>
      </c>
      <c r="R104" s="260"/>
      <c r="S104" s="260"/>
      <c r="T104" s="260">
        <f t="shared" si="5"/>
        <v>0</v>
      </c>
      <c r="U104" s="260"/>
      <c r="V104" s="308"/>
      <c r="W104" s="59"/>
      <c r="X104" s="59"/>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row>
    <row r="105" spans="1:49" s="57" customFormat="1" ht="30" customHeight="1" x14ac:dyDescent="0.3">
      <c r="A105" s="56"/>
      <c r="B105" s="56"/>
      <c r="C105" s="56"/>
      <c r="D105" s="56"/>
      <c r="E105" s="56"/>
      <c r="F105" s="56"/>
      <c r="G105" s="56"/>
      <c r="H105" s="306" t="s">
        <v>946</v>
      </c>
      <c r="I105" s="255"/>
      <c r="J105" s="255"/>
      <c r="K105" s="255"/>
      <c r="L105" s="255"/>
      <c r="M105" s="255"/>
      <c r="N105" s="255"/>
      <c r="O105" s="255"/>
      <c r="P105" s="256"/>
      <c r="Q105" s="260">
        <f>SUMIFS(Input[Cap Out E&amp;G],Input[Institution Name],$H$1)+SUMIFS(Input[Cap Out Desg],Input[Institution Name],$H$1)+SUMIFS(Input[Cap Out Aux],Input[Institution Name],$H$1)+SUMIFS(Input[Cap Out R Exp],Input[Institution Name],$H$1)+SUMIFS(Input[Cap Out Loan],Input[Institution Name],$H$1)+SUMIFS(Input[Cap Out Annuity],Input[Institution Name],$H$1)+SUMIFS(Input[Cap Out Unexp],Input[Institution Name],$H$1)+SUMIFS(Input[Cap Out R of Ind],Input[Institution Name],$H$1)+SUMIFS(Input[Cap Out Inv in P],Input[Institution Name],$H$1)</f>
        <v>0</v>
      </c>
      <c r="R105" s="260"/>
      <c r="S105" s="260"/>
      <c r="T105" s="260">
        <f t="shared" si="5"/>
        <v>0</v>
      </c>
      <c r="U105" s="260"/>
      <c r="V105" s="308"/>
      <c r="W105" s="59"/>
      <c r="X105" s="59"/>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row>
    <row r="106" spans="1:49" s="57" customFormat="1" ht="30" customHeight="1" x14ac:dyDescent="0.3">
      <c r="A106" s="56"/>
      <c r="B106" s="56"/>
      <c r="C106" s="56"/>
      <c r="D106" s="56"/>
      <c r="E106" s="56"/>
      <c r="F106" s="56"/>
      <c r="G106" s="56"/>
      <c r="H106" s="323"/>
      <c r="I106" s="324"/>
      <c r="J106" s="324"/>
      <c r="K106" s="324"/>
      <c r="L106" s="324"/>
      <c r="M106" s="324"/>
      <c r="N106" s="324"/>
      <c r="O106" s="324"/>
      <c r="P106" s="324"/>
      <c r="Q106" s="329">
        <f>SUM(Q97,Q100:S105)</f>
        <v>0</v>
      </c>
      <c r="R106" s="329"/>
      <c r="S106" s="329"/>
      <c r="T106" s="329">
        <f>SUM(T97,T100:V105)</f>
        <v>0</v>
      </c>
      <c r="U106" s="329"/>
      <c r="V106" s="330"/>
      <c r="W106" s="59"/>
      <c r="X106" s="59"/>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row>
    <row r="107" spans="1:49" s="57" customFormat="1" ht="30" customHeight="1" x14ac:dyDescent="0.3">
      <c r="A107" s="56"/>
      <c r="B107" s="56"/>
      <c r="C107" s="56"/>
      <c r="D107" s="56"/>
      <c r="E107" s="56"/>
      <c r="F107" s="56"/>
      <c r="G107" s="56"/>
      <c r="H107" s="59"/>
      <c r="I107" s="59"/>
      <c r="J107" s="59"/>
      <c r="K107" s="59"/>
      <c r="L107" s="59"/>
      <c r="M107" s="59"/>
      <c r="N107" s="59"/>
      <c r="O107" s="59"/>
      <c r="P107" s="59"/>
      <c r="Q107" s="80"/>
      <c r="R107" s="80"/>
      <c r="S107" s="80"/>
      <c r="T107" s="80"/>
      <c r="U107" s="80"/>
      <c r="V107" s="80"/>
      <c r="W107" s="59"/>
      <c r="X107" s="59"/>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row>
    <row r="108" spans="1:49" s="57" customFormat="1" ht="30" customHeight="1" x14ac:dyDescent="0.3">
      <c r="A108" s="56"/>
      <c r="B108" s="56"/>
      <c r="C108" s="56"/>
      <c r="D108" s="56"/>
      <c r="E108" s="56"/>
      <c r="F108" s="56"/>
      <c r="G108" s="56"/>
      <c r="H108" s="56"/>
      <c r="I108" s="56"/>
      <c r="J108" s="56"/>
      <c r="K108" s="56"/>
      <c r="L108" s="56"/>
      <c r="M108" s="56"/>
      <c r="N108" s="56"/>
      <c r="O108" s="56"/>
      <c r="P108" s="56"/>
      <c r="Q108" s="27"/>
      <c r="R108" s="27"/>
      <c r="S108" s="27"/>
      <c r="T108" s="27"/>
      <c r="U108" s="27"/>
      <c r="V108" s="27"/>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row>
    <row r="109" spans="1:49" s="57" customFormat="1" ht="24" customHeight="1" x14ac:dyDescent="0.3">
      <c r="Q109" s="28"/>
      <c r="R109" s="28"/>
      <c r="S109" s="28"/>
      <c r="T109" s="28"/>
      <c r="U109" s="28"/>
      <c r="V109" s="28"/>
    </row>
  </sheetData>
  <sheetProtection algorithmName="SHA-512" hashValue="qec/AqppWOWJ23cxDjQD3uM42XPHvDi96Yg1X21AXMblrcI/kGP+XrFDrbD+t1ONCMpN2T6mW6fDaj+G5i4UKA==" saltValue="esj1BrwuV1h+OqVnMW232w==" spinCount="100000" sheet="1" objects="1" scenarios="1" formatCells="0" formatColumns="0" formatRows="0"/>
  <mergeCells count="379">
    <mergeCell ref="AL69:AU69"/>
    <mergeCell ref="X81:AD81"/>
    <mergeCell ref="AE81:AG81"/>
    <mergeCell ref="AH81:AJ81"/>
    <mergeCell ref="AL19:AU19"/>
    <mergeCell ref="H1:V1"/>
    <mergeCell ref="H2:V2"/>
    <mergeCell ref="H3:V3"/>
    <mergeCell ref="X79:AD79"/>
    <mergeCell ref="AE79:AG79"/>
    <mergeCell ref="AH79:AJ79"/>
    <mergeCell ref="X80:AD80"/>
    <mergeCell ref="AE80:AG80"/>
    <mergeCell ref="AH80:AJ80"/>
    <mergeCell ref="X77:AD77"/>
    <mergeCell ref="AE77:AG77"/>
    <mergeCell ref="AH77:AJ77"/>
    <mergeCell ref="X78:AD78"/>
    <mergeCell ref="AE78:AG78"/>
    <mergeCell ref="AH78:AJ78"/>
    <mergeCell ref="X75:AD75"/>
    <mergeCell ref="AE75:AG75"/>
    <mergeCell ref="AH75:AJ75"/>
    <mergeCell ref="AS75:AU75"/>
    <mergeCell ref="X76:AD76"/>
    <mergeCell ref="AE76:AG76"/>
    <mergeCell ref="AH76:AJ76"/>
    <mergeCell ref="X73:AD73"/>
    <mergeCell ref="AE73:AG73"/>
    <mergeCell ref="AH73:AJ73"/>
    <mergeCell ref="AS73:AU73"/>
    <mergeCell ref="X74:AD74"/>
    <mergeCell ref="AE74:AG74"/>
    <mergeCell ref="AH74:AJ74"/>
    <mergeCell ref="AS74:AU74"/>
    <mergeCell ref="X71:AD71"/>
    <mergeCell ref="AE71:AG71"/>
    <mergeCell ref="AH71:AJ71"/>
    <mergeCell ref="AS71:AU71"/>
    <mergeCell ref="X72:AD72"/>
    <mergeCell ref="AE72:AG72"/>
    <mergeCell ref="AH72:AJ72"/>
    <mergeCell ref="AS72:AU72"/>
    <mergeCell ref="AS32:AU32"/>
    <mergeCell ref="X69:AH69"/>
    <mergeCell ref="X70:AD70"/>
    <mergeCell ref="AE70:AG70"/>
    <mergeCell ref="AH70:AJ70"/>
    <mergeCell ref="AL70:AR70"/>
    <mergeCell ref="AS70:AU70"/>
    <mergeCell ref="X41:AD41"/>
    <mergeCell ref="AE41:AG41"/>
    <mergeCell ref="AH41:AJ41"/>
    <mergeCell ref="X37:AD37"/>
    <mergeCell ref="X38:AD38"/>
    <mergeCell ref="X35:AD35"/>
    <mergeCell ref="X36:AD36"/>
    <mergeCell ref="X33:AD33"/>
    <mergeCell ref="X34:AD34"/>
    <mergeCell ref="AL26:AR26"/>
    <mergeCell ref="AS26:AU26"/>
    <mergeCell ref="AL27:AR27"/>
    <mergeCell ref="AS27:AU27"/>
    <mergeCell ref="AS28:AU28"/>
    <mergeCell ref="AS29:AU29"/>
    <mergeCell ref="AS30:AU30"/>
    <mergeCell ref="AS31:AU31"/>
    <mergeCell ref="AE40:AG40"/>
    <mergeCell ref="AH40:AJ40"/>
    <mergeCell ref="AE37:AG37"/>
    <mergeCell ref="AH37:AJ37"/>
    <mergeCell ref="AE38:AG38"/>
    <mergeCell ref="AH38:AJ38"/>
    <mergeCell ref="AE35:AG35"/>
    <mergeCell ref="AH35:AJ35"/>
    <mergeCell ref="AE36:AG36"/>
    <mergeCell ref="AH36:AJ36"/>
    <mergeCell ref="AE32:AG32"/>
    <mergeCell ref="AH32:AJ32"/>
    <mergeCell ref="AE33:AG33"/>
    <mergeCell ref="AH33:AJ33"/>
    <mergeCell ref="AE34:AG34"/>
    <mergeCell ref="AH34:AJ34"/>
    <mergeCell ref="X29:AD29"/>
    <mergeCell ref="AE29:AG29"/>
    <mergeCell ref="AH29:AJ29"/>
    <mergeCell ref="X30:AD30"/>
    <mergeCell ref="AE30:AG30"/>
    <mergeCell ref="AH30:AJ30"/>
    <mergeCell ref="X27:AD27"/>
    <mergeCell ref="AE27:AG27"/>
    <mergeCell ref="AH27:AJ27"/>
    <mergeCell ref="X28:AD28"/>
    <mergeCell ref="AE28:AG28"/>
    <mergeCell ref="AH28:AJ28"/>
    <mergeCell ref="Q52:S52"/>
    <mergeCell ref="T52:V52"/>
    <mergeCell ref="T82:V82"/>
    <mergeCell ref="Q82:S82"/>
    <mergeCell ref="X19:AD19"/>
    <mergeCell ref="AE19:AG19"/>
    <mergeCell ref="X20:AD20"/>
    <mergeCell ref="AE20:AG20"/>
    <mergeCell ref="H5:V7"/>
    <mergeCell ref="X26:AJ26"/>
    <mergeCell ref="X14:AD14"/>
    <mergeCell ref="AE14:AG14"/>
    <mergeCell ref="AH14:AJ14"/>
    <mergeCell ref="X17:AG17"/>
    <mergeCell ref="X18:AD18"/>
    <mergeCell ref="AE18:AG18"/>
    <mergeCell ref="X8:AJ8"/>
    <mergeCell ref="X9:AD9"/>
    <mergeCell ref="AE9:AG9"/>
    <mergeCell ref="AH9:AJ9"/>
    <mergeCell ref="X10:AD10"/>
    <mergeCell ref="AE10:AG10"/>
    <mergeCell ref="AH10:AJ10"/>
    <mergeCell ref="X11:AD11"/>
    <mergeCell ref="Q41:S41"/>
    <mergeCell ref="T41:V41"/>
    <mergeCell ref="H40:P40"/>
    <mergeCell ref="H35:P35"/>
    <mergeCell ref="AH12:AJ12"/>
    <mergeCell ref="H92:P92"/>
    <mergeCell ref="Q92:S92"/>
    <mergeCell ref="T92:V92"/>
    <mergeCell ref="H99:P99"/>
    <mergeCell ref="Q99:S99"/>
    <mergeCell ref="T99:V99"/>
    <mergeCell ref="H70:P70"/>
    <mergeCell ref="Q70:S70"/>
    <mergeCell ref="T70:V70"/>
    <mergeCell ref="H85:P85"/>
    <mergeCell ref="Q85:S85"/>
    <mergeCell ref="T85:V85"/>
    <mergeCell ref="H55:P55"/>
    <mergeCell ref="Q55:S55"/>
    <mergeCell ref="T55:V55"/>
    <mergeCell ref="H58:P58"/>
    <mergeCell ref="Q58:S58"/>
    <mergeCell ref="T58:V58"/>
    <mergeCell ref="H52:P52"/>
    <mergeCell ref="T44:V44"/>
    <mergeCell ref="Q44:S44"/>
    <mergeCell ref="T34:V34"/>
    <mergeCell ref="Q34:S34"/>
    <mergeCell ref="T40:V40"/>
    <mergeCell ref="Q40:S40"/>
    <mergeCell ref="T42:V42"/>
    <mergeCell ref="H9:P9"/>
    <mergeCell ref="Q9:S9"/>
    <mergeCell ref="T9:V9"/>
    <mergeCell ref="H16:P16"/>
    <mergeCell ref="Q16:S16"/>
    <mergeCell ref="T16:V16"/>
    <mergeCell ref="H18:V18"/>
    <mergeCell ref="H24:V24"/>
    <mergeCell ref="H33:V33"/>
    <mergeCell ref="H39:V39"/>
    <mergeCell ref="Q42:S42"/>
    <mergeCell ref="H44:P44"/>
    <mergeCell ref="H43:P43"/>
    <mergeCell ref="Q43:S43"/>
    <mergeCell ref="T43:V43"/>
    <mergeCell ref="H42:P42"/>
    <mergeCell ref="H41:P41"/>
    <mergeCell ref="H102:P102"/>
    <mergeCell ref="Q102:S102"/>
    <mergeCell ref="T102:V102"/>
    <mergeCell ref="H101:P101"/>
    <mergeCell ref="Q101:S101"/>
    <mergeCell ref="T101:V101"/>
    <mergeCell ref="H100:P100"/>
    <mergeCell ref="Q100:S100"/>
    <mergeCell ref="T100:V100"/>
    <mergeCell ref="T106:V106"/>
    <mergeCell ref="Q106:S106"/>
    <mergeCell ref="H106:P106"/>
    <mergeCell ref="H105:P105"/>
    <mergeCell ref="Q105:S105"/>
    <mergeCell ref="T105:V105"/>
    <mergeCell ref="H104:P104"/>
    <mergeCell ref="H103:P103"/>
    <mergeCell ref="Q103:S103"/>
    <mergeCell ref="T103:V103"/>
    <mergeCell ref="Q104:S104"/>
    <mergeCell ref="T104:V104"/>
    <mergeCell ref="Q97:S97"/>
    <mergeCell ref="T97:V97"/>
    <mergeCell ref="H95:P95"/>
    <mergeCell ref="Q95:S95"/>
    <mergeCell ref="T95:V95"/>
    <mergeCell ref="H94:P94"/>
    <mergeCell ref="Q94:S94"/>
    <mergeCell ref="T94:V94"/>
    <mergeCell ref="H93:P93"/>
    <mergeCell ref="Q93:S93"/>
    <mergeCell ref="T93:V93"/>
    <mergeCell ref="H97:P97"/>
    <mergeCell ref="T90:V90"/>
    <mergeCell ref="H90:P90"/>
    <mergeCell ref="H89:P89"/>
    <mergeCell ref="Q89:S89"/>
    <mergeCell ref="T89:V89"/>
    <mergeCell ref="H88:P88"/>
    <mergeCell ref="Q88:S88"/>
    <mergeCell ref="T88:V88"/>
    <mergeCell ref="H87:P87"/>
    <mergeCell ref="Q87:S87"/>
    <mergeCell ref="T87:V87"/>
    <mergeCell ref="Q90:S90"/>
    <mergeCell ref="H86:P86"/>
    <mergeCell ref="Q86:S86"/>
    <mergeCell ref="T86:V86"/>
    <mergeCell ref="H83:P83"/>
    <mergeCell ref="Q83:S83"/>
    <mergeCell ref="T83:V83"/>
    <mergeCell ref="H82:P82"/>
    <mergeCell ref="H81:P81"/>
    <mergeCell ref="Q81:S81"/>
    <mergeCell ref="T81:V81"/>
    <mergeCell ref="H80:P80"/>
    <mergeCell ref="H79:P79"/>
    <mergeCell ref="Q79:S79"/>
    <mergeCell ref="T79:V79"/>
    <mergeCell ref="H78:P78"/>
    <mergeCell ref="H77:P77"/>
    <mergeCell ref="Q77:S77"/>
    <mergeCell ref="T77:V77"/>
    <mergeCell ref="H76:P76"/>
    <mergeCell ref="T78:V78"/>
    <mergeCell ref="Q78:S78"/>
    <mergeCell ref="T80:V80"/>
    <mergeCell ref="Q80:S80"/>
    <mergeCell ref="T76:V76"/>
    <mergeCell ref="Q76:S76"/>
    <mergeCell ref="H75:P75"/>
    <mergeCell ref="Q75:S75"/>
    <mergeCell ref="T75:V75"/>
    <mergeCell ref="H74:P74"/>
    <mergeCell ref="H73:P73"/>
    <mergeCell ref="Q73:S73"/>
    <mergeCell ref="T73:V73"/>
    <mergeCell ref="H72:P72"/>
    <mergeCell ref="H71:P71"/>
    <mergeCell ref="Q71:S71"/>
    <mergeCell ref="T71:V71"/>
    <mergeCell ref="T72:V72"/>
    <mergeCell ref="Q72:S72"/>
    <mergeCell ref="T74:V74"/>
    <mergeCell ref="Q74:S74"/>
    <mergeCell ref="H67:P67"/>
    <mergeCell ref="Q67:S67"/>
    <mergeCell ref="T67:V67"/>
    <mergeCell ref="H65:P65"/>
    <mergeCell ref="Q65:S65"/>
    <mergeCell ref="T65:V65"/>
    <mergeCell ref="H64:P64"/>
    <mergeCell ref="H63:P63"/>
    <mergeCell ref="Q63:S63"/>
    <mergeCell ref="T63:V63"/>
    <mergeCell ref="T64:V64"/>
    <mergeCell ref="Q64:S64"/>
    <mergeCell ref="H62:P62"/>
    <mergeCell ref="Q62:S62"/>
    <mergeCell ref="T62:V62"/>
    <mergeCell ref="H61:P61"/>
    <mergeCell ref="Q61:S61"/>
    <mergeCell ref="T61:V61"/>
    <mergeCell ref="H60:P60"/>
    <mergeCell ref="Q60:S60"/>
    <mergeCell ref="T60:V60"/>
    <mergeCell ref="H59:P59"/>
    <mergeCell ref="Q59:S59"/>
    <mergeCell ref="T59:V59"/>
    <mergeCell ref="H56:P56"/>
    <mergeCell ref="Q56:S56"/>
    <mergeCell ref="T56:V56"/>
    <mergeCell ref="H53:P53"/>
    <mergeCell ref="Q53:S53"/>
    <mergeCell ref="T53:V53"/>
    <mergeCell ref="H50:P50"/>
    <mergeCell ref="Q50:S50"/>
    <mergeCell ref="T50:V50"/>
    <mergeCell ref="H47:P47"/>
    <mergeCell ref="Q47:S47"/>
    <mergeCell ref="T47:V47"/>
    <mergeCell ref="H45:P45"/>
    <mergeCell ref="Q45:S45"/>
    <mergeCell ref="T45:V45"/>
    <mergeCell ref="H49:P49"/>
    <mergeCell ref="Q49:S49"/>
    <mergeCell ref="T49:V49"/>
    <mergeCell ref="X39:AD39"/>
    <mergeCell ref="AE39:AG39"/>
    <mergeCell ref="AH39:AJ39"/>
    <mergeCell ref="X40:AD40"/>
    <mergeCell ref="H38:P38"/>
    <mergeCell ref="H37:P37"/>
    <mergeCell ref="Q37:S37"/>
    <mergeCell ref="T37:V37"/>
    <mergeCell ref="H36:P36"/>
    <mergeCell ref="T36:V36"/>
    <mergeCell ref="Q36:S36"/>
    <mergeCell ref="T38:V38"/>
    <mergeCell ref="Q38:S38"/>
    <mergeCell ref="Q35:S35"/>
    <mergeCell ref="T35:V35"/>
    <mergeCell ref="H34:P34"/>
    <mergeCell ref="T32:V32"/>
    <mergeCell ref="H32:P32"/>
    <mergeCell ref="X31:AD31"/>
    <mergeCell ref="AE31:AG31"/>
    <mergeCell ref="AH31:AJ31"/>
    <mergeCell ref="X32:AD32"/>
    <mergeCell ref="Q32:S32"/>
    <mergeCell ref="H30:P30"/>
    <mergeCell ref="H29:P29"/>
    <mergeCell ref="Q29:S29"/>
    <mergeCell ref="T29:V29"/>
    <mergeCell ref="H28:P28"/>
    <mergeCell ref="Q28:S28"/>
    <mergeCell ref="T28:V28"/>
    <mergeCell ref="H27:P27"/>
    <mergeCell ref="Q27:S27"/>
    <mergeCell ref="T27:V27"/>
    <mergeCell ref="T30:V30"/>
    <mergeCell ref="Q30:S30"/>
    <mergeCell ref="H26:P26"/>
    <mergeCell ref="Q26:S26"/>
    <mergeCell ref="T26:V26"/>
    <mergeCell ref="H25:P25"/>
    <mergeCell ref="Q25:S25"/>
    <mergeCell ref="T25:V25"/>
    <mergeCell ref="H23:P23"/>
    <mergeCell ref="Q23:S23"/>
    <mergeCell ref="T23:V23"/>
    <mergeCell ref="T12:V12"/>
    <mergeCell ref="Q12:S12"/>
    <mergeCell ref="T14:V14"/>
    <mergeCell ref="Q14:S14"/>
    <mergeCell ref="X12:AD12"/>
    <mergeCell ref="H22:P22"/>
    <mergeCell ref="H21:P21"/>
    <mergeCell ref="Q21:S21"/>
    <mergeCell ref="T21:V21"/>
    <mergeCell ref="H20:P20"/>
    <mergeCell ref="Q20:S20"/>
    <mergeCell ref="T20:V20"/>
    <mergeCell ref="H19:P19"/>
    <mergeCell ref="Q19:S19"/>
    <mergeCell ref="T19:V19"/>
    <mergeCell ref="T22:V22"/>
    <mergeCell ref="Q22:S22"/>
    <mergeCell ref="H69:V69"/>
    <mergeCell ref="AE13:AG13"/>
    <mergeCell ref="AH13:AJ13"/>
    <mergeCell ref="H11:P11"/>
    <mergeCell ref="Q11:S11"/>
    <mergeCell ref="T11:V11"/>
    <mergeCell ref="H10:P10"/>
    <mergeCell ref="H8:V8"/>
    <mergeCell ref="Z1:AB1"/>
    <mergeCell ref="AC1:AE1"/>
    <mergeCell ref="T10:V10"/>
    <mergeCell ref="Q10:S10"/>
    <mergeCell ref="AE11:AG11"/>
    <mergeCell ref="AH11:AJ11"/>
    <mergeCell ref="AE12:AG12"/>
    <mergeCell ref="H17:P17"/>
    <mergeCell ref="Q17:S17"/>
    <mergeCell ref="T17:V17"/>
    <mergeCell ref="H14:P14"/>
    <mergeCell ref="H13:P13"/>
    <mergeCell ref="Q13:S13"/>
    <mergeCell ref="T13:V13"/>
    <mergeCell ref="H12:P12"/>
    <mergeCell ref="X13:AD13"/>
  </mergeCells>
  <conditionalFormatting sqref="H2">
    <cfRule type="containsText" dxfId="10" priority="1" operator="containsText" text="▲">
      <formula>NOT(ISERROR(SEARCH("▲",H2)))</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8F84D0AB-A50B-4A75-AC10-6088C4B61F1D}">
            <xm:f>NOT(ISERROR(SEARCH("Select",H1)))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H1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379EAE3-DD84-4341-8579-D235D5522A97}">
          <x14:formula1>
            <xm:f>Hidden!$A$2:$A$80</xm:f>
          </x14:formula1>
          <xm:sqref>H1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B475-BFEA-4FE2-87E4-0D88C8CD7410}">
  <sheetPr codeName="Sheet8">
    <tabColor theme="6"/>
  </sheetPr>
  <dimension ref="A1:AX108"/>
  <sheetViews>
    <sheetView zoomScale="80" zoomScaleNormal="80" workbookViewId="0"/>
  </sheetViews>
  <sheetFormatPr defaultColWidth="8.1640625" defaultRowHeight="13.8" x14ac:dyDescent="0.3"/>
  <cols>
    <col min="1" max="49" width="6.6640625" style="28" customWidth="1"/>
    <col min="50" max="51" width="7.58203125" style="28" customWidth="1"/>
    <col min="52" max="61" width="7" style="28" customWidth="1"/>
    <col min="62" max="16384" width="8.1640625" style="28"/>
  </cols>
  <sheetData>
    <row r="1" spans="1:49" s="57" customFormat="1" ht="30" customHeight="1" x14ac:dyDescent="0.3">
      <c r="A1" s="56"/>
      <c r="B1" s="56"/>
      <c r="C1" s="56"/>
      <c r="D1" s="56"/>
      <c r="E1" s="56"/>
      <c r="F1" s="56"/>
      <c r="G1" s="56"/>
      <c r="H1" s="238"/>
      <c r="I1" s="239"/>
      <c r="J1" s="239"/>
      <c r="K1" s="239"/>
      <c r="L1" s="239"/>
      <c r="M1" s="239"/>
      <c r="N1" s="239"/>
      <c r="O1" s="239"/>
      <c r="P1" s="239"/>
      <c r="Q1" s="239"/>
      <c r="R1" s="239"/>
      <c r="S1" s="239"/>
      <c r="T1" s="239"/>
      <c r="U1" s="239"/>
      <c r="V1" s="240"/>
      <c r="W1" s="56"/>
      <c r="X1" s="56"/>
      <c r="Y1" s="56"/>
      <c r="Z1" s="312">
        <f>SUMIFS(Input[FTSE], Input[System],$Z$2)</f>
        <v>0</v>
      </c>
      <c r="AA1" s="312"/>
      <c r="AB1" s="312"/>
      <c r="AC1" s="533" t="s">
        <v>737</v>
      </c>
      <c r="AD1" s="533"/>
      <c r="AE1" s="533"/>
      <c r="AF1" s="56"/>
      <c r="AG1" s="56"/>
      <c r="AH1" s="56"/>
      <c r="AI1" s="56"/>
      <c r="AJ1" s="56"/>
      <c r="AK1" s="56"/>
      <c r="AL1" s="56"/>
      <c r="AM1" s="56"/>
      <c r="AN1" s="56"/>
      <c r="AO1" s="56"/>
      <c r="AP1" s="56"/>
      <c r="AQ1" s="56"/>
      <c r="AR1" s="56"/>
      <c r="AS1" s="56"/>
      <c r="AT1" s="56"/>
      <c r="AU1" s="56"/>
      <c r="AV1" s="56"/>
      <c r="AW1" s="56"/>
    </row>
    <row r="2" spans="1:49" s="57" customFormat="1" ht="30" customHeight="1" x14ac:dyDescent="0.3">
      <c r="A2" s="56"/>
      <c r="B2" s="56"/>
      <c r="C2" s="56"/>
      <c r="D2" s="56"/>
      <c r="E2" s="56"/>
      <c r="F2" s="56"/>
      <c r="G2" s="56"/>
      <c r="H2" s="534" t="str">
        <f>IF(ISBLANK($H$1),"▲ Select institution name from dropdown ▲",VLOOKUP($H$1,Hidden!$G$16:$I$23,2,FALSE))</f>
        <v>▲ Select institution name from dropdown ▲</v>
      </c>
      <c r="I2" s="535"/>
      <c r="J2" s="535"/>
      <c r="K2" s="535"/>
      <c r="L2" s="535"/>
      <c r="M2" s="535"/>
      <c r="N2" s="535"/>
      <c r="O2" s="535"/>
      <c r="P2" s="535"/>
      <c r="Q2" s="535"/>
      <c r="R2" s="535"/>
      <c r="S2" s="535"/>
      <c r="T2" s="535"/>
      <c r="U2" s="535"/>
      <c r="V2" s="536"/>
      <c r="W2" s="56"/>
      <c r="X2" s="56"/>
      <c r="Y2" s="56"/>
      <c r="Z2" s="537" t="e">
        <f>VLOOKUP($H$1,Hidden!$G$16:$I$23,3,FALSE)</f>
        <v>#N/A</v>
      </c>
      <c r="AA2" s="538"/>
      <c r="AB2" s="539"/>
      <c r="AC2" s="56"/>
      <c r="AD2" s="56"/>
      <c r="AE2" s="56"/>
      <c r="AF2" s="56"/>
      <c r="AG2" s="56"/>
      <c r="AH2" s="56"/>
      <c r="AI2" s="56"/>
      <c r="AJ2" s="56"/>
      <c r="AK2" s="56"/>
      <c r="AL2" s="56"/>
      <c r="AM2" s="56"/>
      <c r="AN2" s="56"/>
      <c r="AO2" s="56"/>
      <c r="AP2" s="56"/>
      <c r="AQ2" s="56"/>
      <c r="AR2" s="56"/>
      <c r="AS2" s="56"/>
      <c r="AT2" s="56"/>
      <c r="AU2" s="56"/>
      <c r="AV2" s="56"/>
      <c r="AW2" s="56"/>
    </row>
    <row r="3" spans="1:49" s="57" customFormat="1" ht="30" customHeight="1" x14ac:dyDescent="0.3">
      <c r="A3" s="56"/>
      <c r="B3" s="56"/>
      <c r="C3" s="56"/>
      <c r="D3" s="56"/>
      <c r="E3" s="56"/>
      <c r="F3" s="56"/>
      <c r="G3" s="56"/>
      <c r="H3" s="244" t="s">
        <v>68</v>
      </c>
      <c r="I3" s="245"/>
      <c r="J3" s="245"/>
      <c r="K3" s="245"/>
      <c r="L3" s="245"/>
      <c r="M3" s="245"/>
      <c r="N3" s="245"/>
      <c r="O3" s="245"/>
      <c r="P3" s="245"/>
      <c r="Q3" s="245"/>
      <c r="R3" s="245"/>
      <c r="S3" s="245"/>
      <c r="T3" s="245"/>
      <c r="U3" s="245"/>
      <c r="V3" s="245"/>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row>
    <row r="4" spans="1:49" s="57" customFormat="1" ht="30" customHeight="1" x14ac:dyDescent="0.4">
      <c r="A4" s="56"/>
      <c r="B4" s="56"/>
      <c r="C4" s="56"/>
      <c r="D4" s="56"/>
      <c r="E4" s="56"/>
      <c r="F4" s="56"/>
      <c r="G4" s="56"/>
      <c r="H4" s="58"/>
      <c r="I4" s="58"/>
      <c r="J4" s="58"/>
      <c r="K4" s="58"/>
      <c r="L4" s="58"/>
      <c r="M4" s="58"/>
      <c r="N4" s="58"/>
      <c r="O4" s="58"/>
      <c r="P4" s="58"/>
      <c r="Q4" s="58"/>
      <c r="R4" s="58"/>
      <c r="S4" s="58"/>
      <c r="T4" s="58"/>
      <c r="U4" s="58"/>
      <c r="V4" s="58"/>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row>
    <row r="5" spans="1:49" s="57" customFormat="1" ht="30" customHeight="1" x14ac:dyDescent="0.3">
      <c r="A5" s="56"/>
      <c r="B5" s="56"/>
      <c r="C5" s="56"/>
      <c r="D5" s="56"/>
      <c r="E5" s="56"/>
      <c r="F5" s="56"/>
      <c r="G5" s="56"/>
      <c r="H5" s="540" t="s">
        <v>1009</v>
      </c>
      <c r="I5" s="540"/>
      <c r="J5" s="540"/>
      <c r="K5" s="540"/>
      <c r="L5" s="540"/>
      <c r="M5" s="540"/>
      <c r="N5" s="540"/>
      <c r="O5" s="540"/>
      <c r="P5" s="540"/>
      <c r="Q5" s="540"/>
      <c r="R5" s="540"/>
      <c r="S5" s="540"/>
      <c r="T5" s="540"/>
      <c r="U5" s="540"/>
      <c r="V5" s="540"/>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row>
    <row r="6" spans="1:49" s="57" customFormat="1" ht="30" customHeight="1" x14ac:dyDescent="0.3">
      <c r="A6" s="56"/>
      <c r="B6" s="56"/>
      <c r="C6" s="56"/>
      <c r="D6" s="56"/>
      <c r="E6" s="56"/>
      <c r="F6" s="56"/>
      <c r="G6" s="56"/>
      <c r="H6" s="540"/>
      <c r="I6" s="540"/>
      <c r="J6" s="540"/>
      <c r="K6" s="540"/>
      <c r="L6" s="540"/>
      <c r="M6" s="540"/>
      <c r="N6" s="540"/>
      <c r="O6" s="540"/>
      <c r="P6" s="540"/>
      <c r="Q6" s="540"/>
      <c r="R6" s="540"/>
      <c r="S6" s="540"/>
      <c r="T6" s="540"/>
      <c r="U6" s="540"/>
      <c r="V6" s="540"/>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row>
    <row r="7" spans="1:49" s="57" customFormat="1" ht="30" customHeight="1" x14ac:dyDescent="0.3">
      <c r="A7" s="56"/>
      <c r="B7" s="56"/>
      <c r="C7" s="56"/>
      <c r="D7" s="56"/>
      <c r="E7" s="56"/>
      <c r="F7" s="56"/>
      <c r="G7" s="56"/>
      <c r="H7" s="540"/>
      <c r="I7" s="540"/>
      <c r="J7" s="540"/>
      <c r="K7" s="540"/>
      <c r="L7" s="540"/>
      <c r="M7" s="540"/>
      <c r="N7" s="540"/>
      <c r="O7" s="540"/>
      <c r="P7" s="540"/>
      <c r="Q7" s="540"/>
      <c r="R7" s="540"/>
      <c r="S7" s="540"/>
      <c r="T7" s="540"/>
      <c r="U7" s="540"/>
      <c r="V7" s="540"/>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s="57" customFormat="1" ht="30" customHeight="1" thickBot="1" x14ac:dyDescent="0.35">
      <c r="A8" s="56"/>
      <c r="B8" s="56"/>
      <c r="C8" s="56"/>
      <c r="D8" s="56"/>
      <c r="E8" s="56"/>
      <c r="F8" s="56"/>
      <c r="G8" s="56"/>
      <c r="H8" s="301" t="s">
        <v>875</v>
      </c>
      <c r="I8" s="302"/>
      <c r="J8" s="302"/>
      <c r="K8" s="302"/>
      <c r="L8" s="302"/>
      <c r="M8" s="302"/>
      <c r="N8" s="302"/>
      <c r="O8" s="302"/>
      <c r="P8" s="302"/>
      <c r="Q8" s="302"/>
      <c r="R8" s="302"/>
      <c r="S8" s="302"/>
      <c r="T8" s="302"/>
      <c r="U8" s="302"/>
      <c r="V8" s="303"/>
      <c r="W8" s="59"/>
      <c r="X8" s="541" t="s">
        <v>983</v>
      </c>
      <c r="Y8" s="542"/>
      <c r="Z8" s="542"/>
      <c r="AA8" s="542"/>
      <c r="AB8" s="542"/>
      <c r="AC8" s="542"/>
      <c r="AD8" s="542"/>
      <c r="AE8" s="542"/>
      <c r="AF8" s="542"/>
      <c r="AG8" s="542"/>
      <c r="AH8" s="542"/>
      <c r="AI8" s="542"/>
      <c r="AJ8" s="543"/>
      <c r="AK8" s="56"/>
      <c r="AL8" s="56"/>
      <c r="AM8" s="524" t="s">
        <v>1008</v>
      </c>
      <c r="AN8" s="161"/>
      <c r="AO8" s="161"/>
      <c r="AP8" s="161"/>
      <c r="AQ8" s="161"/>
      <c r="AR8" s="161"/>
      <c r="AS8" s="161"/>
      <c r="AT8" s="161"/>
      <c r="AU8" s="161"/>
      <c r="AV8" s="162"/>
      <c r="AW8" s="56"/>
    </row>
    <row r="9" spans="1:49" s="57" customFormat="1" ht="30" customHeight="1" thickBot="1" x14ac:dyDescent="0.35">
      <c r="A9" s="56"/>
      <c r="B9" s="56"/>
      <c r="C9" s="56"/>
      <c r="D9" s="56"/>
      <c r="E9" s="56"/>
      <c r="F9" s="56"/>
      <c r="G9" s="56"/>
      <c r="H9" s="477" t="s">
        <v>65</v>
      </c>
      <c r="I9" s="236"/>
      <c r="J9" s="236"/>
      <c r="K9" s="236"/>
      <c r="L9" s="236"/>
      <c r="M9" s="236"/>
      <c r="N9" s="236"/>
      <c r="O9" s="236"/>
      <c r="P9" s="236"/>
      <c r="Q9" s="478" t="s">
        <v>981</v>
      </c>
      <c r="R9" s="478"/>
      <c r="S9" s="478"/>
      <c r="T9" s="478" t="s">
        <v>982</v>
      </c>
      <c r="U9" s="478"/>
      <c r="V9" s="479"/>
      <c r="W9" s="59"/>
      <c r="X9" s="448" t="s">
        <v>984</v>
      </c>
      <c r="Y9" s="433"/>
      <c r="Z9" s="433"/>
      <c r="AA9" s="433"/>
      <c r="AB9" s="433"/>
      <c r="AC9" s="433"/>
      <c r="AD9" s="433"/>
      <c r="AE9" s="434" t="s">
        <v>985</v>
      </c>
      <c r="AF9" s="435"/>
      <c r="AG9" s="435"/>
      <c r="AH9" s="434" t="s">
        <v>986</v>
      </c>
      <c r="AI9" s="435"/>
      <c r="AJ9" s="449"/>
      <c r="AK9" s="56"/>
      <c r="AL9" s="56"/>
      <c r="AM9" s="525"/>
      <c r="AN9" s="526"/>
      <c r="AO9" s="526"/>
      <c r="AP9" s="526"/>
      <c r="AQ9" s="526"/>
      <c r="AR9" s="526"/>
      <c r="AS9" s="526"/>
      <c r="AT9" s="526"/>
      <c r="AU9" s="526"/>
      <c r="AV9" s="527"/>
      <c r="AW9" s="56"/>
    </row>
    <row r="10" spans="1:49" s="57" customFormat="1" ht="30" customHeight="1" x14ac:dyDescent="0.3">
      <c r="A10" s="56"/>
      <c r="B10" s="56"/>
      <c r="C10" s="56"/>
      <c r="D10" s="56"/>
      <c r="E10" s="56"/>
      <c r="F10" s="56"/>
      <c r="G10" s="56"/>
      <c r="H10" s="483" t="s">
        <v>885</v>
      </c>
      <c r="I10" s="247"/>
      <c r="J10" s="247"/>
      <c r="K10" s="247"/>
      <c r="L10" s="247"/>
      <c r="M10" s="247"/>
      <c r="N10" s="247"/>
      <c r="O10" s="247"/>
      <c r="P10" s="248"/>
      <c r="Q10" s="258">
        <f>SUMIFS(Input[St. Ap. E &amp; G],Input[System],$Z$2)+SUMIFS(Input[St. Ap. Desg],Input[System],$Z$2)+SUMIFS(Input[St. Ap. Aux],Input[System],$Z$2)+SUMIFS(Input[St. Ap. R Exp],Input[System],$Z$2)+SUMIFS(Input[St. Ap. Loan],Input[System],$Z$2)+SUMIFS(Input[St. Ap. Annuity],Input[System],$Z$2)+SUMIFS(Input[St. Ap. Unexp],Input[System],$Z$2)+SUMIFS(Input[St. Ap. R of Ind],Input[System],$Z$2)+SUMIFS(Input[St. Ap. Inv in P],Input[System],$Z$2)</f>
        <v>0</v>
      </c>
      <c r="R10" s="258"/>
      <c r="S10" s="258"/>
      <c r="T10" s="258">
        <f>IFERROR(ROUND(Q10/$Z$1,0),0)</f>
        <v>0</v>
      </c>
      <c r="U10" s="258"/>
      <c r="V10" s="357"/>
      <c r="W10" s="59"/>
      <c r="X10" s="529" t="s">
        <v>65</v>
      </c>
      <c r="Y10" s="530"/>
      <c r="Z10" s="530"/>
      <c r="AA10" s="530"/>
      <c r="AB10" s="530"/>
      <c r="AC10" s="530"/>
      <c r="AD10" s="531"/>
      <c r="AE10" s="499">
        <f>Q14</f>
        <v>0</v>
      </c>
      <c r="AF10" s="499"/>
      <c r="AG10" s="499"/>
      <c r="AH10" s="532">
        <f>IFERROR(AE10/$AE$14,0)</f>
        <v>0</v>
      </c>
      <c r="AI10" s="532"/>
      <c r="AJ10" s="532"/>
      <c r="AK10" s="56"/>
      <c r="AL10" s="56"/>
      <c r="AM10" s="528" t="str" cm="1">
        <f t="array" ref="AM10">IFERROR(CHAR(10) &amp; _xlfn.TEXTJOIN(CHAR(10), TRUE, IF(Input[System]=Z2, "▸ "&amp;Input[Institution Name], "")),"")</f>
        <v/>
      </c>
      <c r="AN10" s="528"/>
      <c r="AO10" s="528"/>
      <c r="AP10" s="528"/>
      <c r="AQ10" s="528"/>
      <c r="AR10" s="528"/>
      <c r="AS10" s="528"/>
      <c r="AT10" s="528"/>
      <c r="AU10" s="528"/>
      <c r="AV10" s="528"/>
      <c r="AW10" s="56"/>
    </row>
    <row r="11" spans="1:49" s="57" customFormat="1" ht="30" customHeight="1" x14ac:dyDescent="0.3">
      <c r="A11" s="56"/>
      <c r="B11" s="56"/>
      <c r="C11" s="56"/>
      <c r="D11" s="56"/>
      <c r="E11" s="56"/>
      <c r="F11" s="56"/>
      <c r="G11" s="56"/>
      <c r="H11" s="306" t="s">
        <v>886</v>
      </c>
      <c r="I11" s="255"/>
      <c r="J11" s="255"/>
      <c r="K11" s="255"/>
      <c r="L11" s="255"/>
      <c r="M11" s="255"/>
      <c r="N11" s="255"/>
      <c r="O11" s="255"/>
      <c r="P11" s="256"/>
      <c r="Q11" s="260">
        <f>SUMIFS(Input[St. C&amp;G E&amp;G],Input[System],$Z$2)+SUMIFS(Input[St. C&amp;G Desg],Input[System],$Z$2)+SUMIFS(Input[St. C&amp;G Aux],Input[System],$Z$2)+SUMIFS(Input[St. C&amp;G R Exp],Input[System],$Z$2)+SUMIFS(Input[St. C&amp;G Loan],Input[System],$Z$2)+SUMIFS(Input[St. C&amp;G Annuity],Input[System],$Z$2)+SUMIFS(Input[St. C&amp;G Unexp],Input[System],$Z$2)+SUMIFS(Input[St. C&amp;G R of Ind],Input[System],$Z$2)+SUMIFS(Input[St. C&amp;G Inv in P],Input[System],$Z$2)</f>
        <v>0</v>
      </c>
      <c r="R11" s="260"/>
      <c r="S11" s="260"/>
      <c r="T11" s="260">
        <f>IFERROR(ROUND(Q11/$Z$1,0),0)</f>
        <v>0</v>
      </c>
      <c r="U11" s="260"/>
      <c r="V11" s="308"/>
      <c r="W11" s="59"/>
      <c r="X11" s="515" t="s">
        <v>987</v>
      </c>
      <c r="Y11" s="516"/>
      <c r="Z11" s="516"/>
      <c r="AA11" s="516"/>
      <c r="AB11" s="516"/>
      <c r="AC11" s="516"/>
      <c r="AD11" s="517"/>
      <c r="AE11" s="518">
        <f>Q47</f>
        <v>0</v>
      </c>
      <c r="AF11" s="518"/>
      <c r="AG11" s="518"/>
      <c r="AH11" s="519">
        <f>IFERROR(AE11/$AE$14,0)</f>
        <v>0</v>
      </c>
      <c r="AI11" s="519"/>
      <c r="AJ11" s="519"/>
      <c r="AK11" s="56"/>
      <c r="AL11" s="56"/>
      <c r="AM11" s="528"/>
      <c r="AN11" s="528"/>
      <c r="AO11" s="528"/>
      <c r="AP11" s="528"/>
      <c r="AQ11" s="528"/>
      <c r="AR11" s="528"/>
      <c r="AS11" s="528"/>
      <c r="AT11" s="528"/>
      <c r="AU11" s="528"/>
      <c r="AV11" s="528"/>
      <c r="AW11" s="56"/>
    </row>
    <row r="12" spans="1:49" s="57" customFormat="1" ht="30" customHeight="1" x14ac:dyDescent="0.3">
      <c r="A12" s="56"/>
      <c r="B12" s="56"/>
      <c r="C12" s="56"/>
      <c r="D12" s="56"/>
      <c r="E12" s="56"/>
      <c r="F12" s="56"/>
      <c r="G12" s="56"/>
      <c r="H12" s="306" t="s">
        <v>887</v>
      </c>
      <c r="I12" s="255"/>
      <c r="J12" s="255"/>
      <c r="K12" s="255"/>
      <c r="L12" s="255"/>
      <c r="M12" s="255"/>
      <c r="N12" s="255"/>
      <c r="O12" s="255"/>
      <c r="P12" s="256"/>
      <c r="Q12" s="260">
        <f>SUMIFS(Input[HEF E&amp;G],Input[System],$Z$2)+SUMIFS(Input[HEF Desg],Input[System],$Z$2)+SUMIFS(Input[HEF Aux],Input[System],$Z$2)+SUMIFS(Input[HEF R Exp],Input[System],$Z$2)+SUMIFS(Input[HEF Loan],Input[System],$Z$2)+SUMIFS(Input[HEF Annuity],Input[System],$Z$2)+SUMIFS(Input[HEF Unexp],Input[System],$Z$2)+SUMIFS(Input[HEF R of Ind],Input[System],$Z$2)+SUMIFS(Input[HEF Inv in P],Input[System],$Z$2)</f>
        <v>0</v>
      </c>
      <c r="R12" s="260"/>
      <c r="S12" s="260"/>
      <c r="T12" s="260">
        <f>IFERROR(ROUND(Q12/$Z$1,0),0)</f>
        <v>0</v>
      </c>
      <c r="U12" s="260"/>
      <c r="V12" s="308"/>
      <c r="W12" s="59"/>
      <c r="X12" s="515" t="s">
        <v>988</v>
      </c>
      <c r="Y12" s="516"/>
      <c r="Z12" s="516"/>
      <c r="AA12" s="516"/>
      <c r="AB12" s="516"/>
      <c r="AC12" s="516"/>
      <c r="AD12" s="517"/>
      <c r="AE12" s="518">
        <f>Q50</f>
        <v>0</v>
      </c>
      <c r="AF12" s="518"/>
      <c r="AG12" s="518"/>
      <c r="AH12" s="519">
        <f>IFERROR(AE12/$AE$14,0)</f>
        <v>0</v>
      </c>
      <c r="AI12" s="519"/>
      <c r="AJ12" s="519"/>
      <c r="AK12" s="56"/>
      <c r="AL12" s="56"/>
      <c r="AM12" s="528"/>
      <c r="AN12" s="528"/>
      <c r="AO12" s="528"/>
      <c r="AP12" s="528"/>
      <c r="AQ12" s="528"/>
      <c r="AR12" s="528"/>
      <c r="AS12" s="528"/>
      <c r="AT12" s="528"/>
      <c r="AU12" s="528"/>
      <c r="AV12" s="528"/>
      <c r="AW12" s="56"/>
    </row>
    <row r="13" spans="1:49" s="57" customFormat="1" ht="30" customHeight="1" x14ac:dyDescent="0.3">
      <c r="A13" s="56"/>
      <c r="B13" s="56"/>
      <c r="C13" s="56"/>
      <c r="D13" s="56"/>
      <c r="E13" s="56"/>
      <c r="F13" s="56"/>
      <c r="G13" s="56"/>
      <c r="H13" s="326" t="s">
        <v>888</v>
      </c>
      <c r="I13" s="266"/>
      <c r="J13" s="266"/>
      <c r="K13" s="266"/>
      <c r="L13" s="266"/>
      <c r="M13" s="266"/>
      <c r="N13" s="266"/>
      <c r="O13" s="266"/>
      <c r="P13" s="267"/>
      <c r="Q13" s="260">
        <f>SUMIFS(Input[Available E&amp;G],Input[System],$Z$2)+SUMIFS(Input[Available Desg],Input[System],$Z$2)+SUMIFS(Input[Available Aux],Input[System],$Z$2)+SUMIFS(Input[Available R Exp],Input[System],$Z$2)+SUMIFS(Input[Available Loan],Input[System],$Z$2)+SUMIFS(Input[Available Annuity],Input[System],$Z$2)+SUMIFS(Input[Available Unexp],Input[System],$Z$2)+SUMIFS(Input[Available R of Ind],Input[System],$Z$2)+SUMIFS(Input[Available Inv in P],Input[System],$Z$2)</f>
        <v>0</v>
      </c>
      <c r="R13" s="260"/>
      <c r="S13" s="260"/>
      <c r="T13" s="260">
        <f>IFERROR(ROUND(Q13/$Z$1,0),0)</f>
        <v>0</v>
      </c>
      <c r="U13" s="260"/>
      <c r="V13" s="308"/>
      <c r="W13" s="59"/>
      <c r="X13" s="520" t="s">
        <v>66</v>
      </c>
      <c r="Y13" s="521"/>
      <c r="Z13" s="521"/>
      <c r="AA13" s="521"/>
      <c r="AB13" s="521"/>
      <c r="AC13" s="521"/>
      <c r="AD13" s="522"/>
      <c r="AE13" s="500">
        <f>SUM(Q53,Q56,Q65)</f>
        <v>0</v>
      </c>
      <c r="AF13" s="500"/>
      <c r="AG13" s="500"/>
      <c r="AH13" s="523">
        <f>IFERROR(AE13/$AE$14,0)</f>
        <v>0</v>
      </c>
      <c r="AI13" s="523"/>
      <c r="AJ13" s="523"/>
      <c r="AK13" s="56"/>
      <c r="AL13" s="56"/>
      <c r="AM13" s="528"/>
      <c r="AN13" s="528"/>
      <c r="AO13" s="528"/>
      <c r="AP13" s="528"/>
      <c r="AQ13" s="528"/>
      <c r="AR13" s="528"/>
      <c r="AS13" s="528"/>
      <c r="AT13" s="528"/>
      <c r="AU13" s="528"/>
      <c r="AV13" s="528"/>
      <c r="AW13" s="56"/>
    </row>
    <row r="14" spans="1:49" s="57" customFormat="1" ht="30" customHeight="1" x14ac:dyDescent="0.3">
      <c r="A14" s="56"/>
      <c r="B14" s="56"/>
      <c r="C14" s="56"/>
      <c r="D14" s="56"/>
      <c r="E14" s="56"/>
      <c r="F14" s="56"/>
      <c r="G14" s="56"/>
      <c r="H14" s="323" t="s">
        <v>889</v>
      </c>
      <c r="I14" s="324"/>
      <c r="J14" s="324"/>
      <c r="K14" s="324"/>
      <c r="L14" s="324"/>
      <c r="M14" s="324"/>
      <c r="N14" s="324"/>
      <c r="O14" s="324"/>
      <c r="P14" s="324"/>
      <c r="Q14" s="329">
        <f>SUM(Q10:S13)</f>
        <v>0</v>
      </c>
      <c r="R14" s="329"/>
      <c r="S14" s="329"/>
      <c r="T14" s="329">
        <f>SUM(T10:V13)</f>
        <v>0</v>
      </c>
      <c r="U14" s="329"/>
      <c r="V14" s="330"/>
      <c r="W14" s="59"/>
      <c r="X14" s="390"/>
      <c r="Y14" s="390"/>
      <c r="Z14" s="390"/>
      <c r="AA14" s="390"/>
      <c r="AB14" s="390"/>
      <c r="AC14" s="390"/>
      <c r="AD14" s="390"/>
      <c r="AE14" s="391">
        <f>SUM(AE10:AE13)</f>
        <v>0</v>
      </c>
      <c r="AF14" s="391"/>
      <c r="AG14" s="391"/>
      <c r="AH14" s="512">
        <f>SUM(AH10:AJ13)</f>
        <v>0</v>
      </c>
      <c r="AI14" s="513"/>
      <c r="AJ14" s="514"/>
      <c r="AK14" s="56"/>
      <c r="AL14" s="56"/>
      <c r="AM14" s="528"/>
      <c r="AN14" s="528"/>
      <c r="AO14" s="528"/>
      <c r="AP14" s="528"/>
      <c r="AQ14" s="528"/>
      <c r="AR14" s="528"/>
      <c r="AS14" s="528"/>
      <c r="AT14" s="528"/>
      <c r="AU14" s="528"/>
      <c r="AV14" s="528"/>
      <c r="AW14" s="56"/>
    </row>
    <row r="15" spans="1:49" s="57" customFormat="1" ht="30" customHeight="1" x14ac:dyDescent="0.3">
      <c r="A15" s="56"/>
      <c r="B15" s="56"/>
      <c r="C15" s="56"/>
      <c r="D15" s="56"/>
      <c r="E15" s="56"/>
      <c r="F15" s="56"/>
      <c r="G15" s="56"/>
      <c r="H15" s="59"/>
      <c r="I15" s="59"/>
      <c r="J15" s="59"/>
      <c r="K15" s="59"/>
      <c r="L15" s="59"/>
      <c r="M15" s="59"/>
      <c r="N15" s="59"/>
      <c r="O15" s="59"/>
      <c r="P15" s="59"/>
      <c r="Q15" s="80"/>
      <c r="R15" s="80"/>
      <c r="S15" s="80"/>
      <c r="T15" s="80"/>
      <c r="U15" s="80"/>
      <c r="V15" s="80"/>
      <c r="W15" s="59"/>
      <c r="X15" s="56"/>
      <c r="Y15" s="56"/>
      <c r="Z15" s="56"/>
      <c r="AA15" s="56"/>
      <c r="AB15" s="56"/>
      <c r="AC15" s="56"/>
      <c r="AD15" s="56"/>
      <c r="AE15" s="56"/>
      <c r="AF15" s="56"/>
      <c r="AG15" s="56"/>
      <c r="AH15" s="56"/>
      <c r="AI15" s="56"/>
      <c r="AJ15" s="56"/>
      <c r="AK15" s="56"/>
      <c r="AL15" s="56"/>
      <c r="AM15" s="528"/>
      <c r="AN15" s="528"/>
      <c r="AO15" s="528"/>
      <c r="AP15" s="528"/>
      <c r="AQ15" s="528"/>
      <c r="AR15" s="528"/>
      <c r="AS15" s="528"/>
      <c r="AT15" s="528"/>
      <c r="AU15" s="528"/>
      <c r="AV15" s="528"/>
      <c r="AW15" s="56"/>
    </row>
    <row r="16" spans="1:49" s="57" customFormat="1" ht="30" customHeight="1" x14ac:dyDescent="0.3">
      <c r="A16" s="56"/>
      <c r="B16" s="56"/>
      <c r="C16" s="56"/>
      <c r="D16" s="56"/>
      <c r="E16" s="56"/>
      <c r="F16" s="56"/>
      <c r="G16" s="56"/>
      <c r="H16" s="374" t="s">
        <v>890</v>
      </c>
      <c r="I16" s="375"/>
      <c r="J16" s="375"/>
      <c r="K16" s="375"/>
      <c r="L16" s="375"/>
      <c r="M16" s="375"/>
      <c r="N16" s="375"/>
      <c r="O16" s="375"/>
      <c r="P16" s="375"/>
      <c r="Q16" s="376" t="s">
        <v>981</v>
      </c>
      <c r="R16" s="376"/>
      <c r="S16" s="376"/>
      <c r="T16" s="376" t="s">
        <v>982</v>
      </c>
      <c r="U16" s="376"/>
      <c r="V16" s="377"/>
      <c r="W16" s="59"/>
      <c r="X16" s="56"/>
      <c r="Y16" s="56"/>
      <c r="Z16" s="56"/>
      <c r="AA16" s="56"/>
      <c r="AB16" s="56"/>
      <c r="AC16" s="56"/>
      <c r="AD16" s="56"/>
      <c r="AE16" s="56"/>
      <c r="AF16" s="56"/>
      <c r="AG16" s="56"/>
      <c r="AH16" s="56"/>
      <c r="AI16" s="56"/>
      <c r="AJ16" s="56"/>
      <c r="AK16" s="56"/>
      <c r="AL16" s="56"/>
      <c r="AM16" s="528"/>
      <c r="AN16" s="528"/>
      <c r="AO16" s="528"/>
      <c r="AP16" s="528"/>
      <c r="AQ16" s="528"/>
      <c r="AR16" s="528"/>
      <c r="AS16" s="528"/>
      <c r="AT16" s="528"/>
      <c r="AU16" s="528"/>
      <c r="AV16" s="528"/>
      <c r="AW16" s="56"/>
    </row>
    <row r="17" spans="1:49" s="57" customFormat="1" ht="30" customHeight="1" x14ac:dyDescent="0.3">
      <c r="A17" s="56"/>
      <c r="B17" s="56"/>
      <c r="C17" s="56"/>
      <c r="D17" s="56"/>
      <c r="E17" s="56"/>
      <c r="F17" s="56"/>
      <c r="G17" s="56"/>
      <c r="H17" s="509" t="s">
        <v>891</v>
      </c>
      <c r="I17" s="510"/>
      <c r="J17" s="510"/>
      <c r="K17" s="510"/>
      <c r="L17" s="510"/>
      <c r="M17" s="510"/>
      <c r="N17" s="510"/>
      <c r="O17" s="510"/>
      <c r="P17" s="511"/>
      <c r="Q17" s="269" cm="1">
        <f t="array" ref="Q17">SUM(Q23:S23,-Q19:S22)</f>
        <v>0</v>
      </c>
      <c r="R17" s="269"/>
      <c r="S17" s="269"/>
      <c r="T17" s="258">
        <f>IFERROR(ROUND(Q17/$Z$1,0),0)</f>
        <v>0</v>
      </c>
      <c r="U17" s="258"/>
      <c r="V17" s="357"/>
      <c r="W17" s="59"/>
      <c r="X17" s="56"/>
      <c r="Y17" s="56"/>
      <c r="Z17" s="56"/>
      <c r="AA17" s="56"/>
      <c r="AB17" s="56"/>
      <c r="AC17" s="56"/>
      <c r="AD17" s="56"/>
      <c r="AE17" s="56"/>
      <c r="AF17" s="56"/>
      <c r="AG17" s="56"/>
      <c r="AH17" s="56"/>
      <c r="AI17" s="56"/>
      <c r="AJ17" s="56"/>
      <c r="AK17" s="56"/>
      <c r="AL17" s="56"/>
      <c r="AM17" s="528"/>
      <c r="AN17" s="528"/>
      <c r="AO17" s="528"/>
      <c r="AP17" s="528"/>
      <c r="AQ17" s="528"/>
      <c r="AR17" s="528"/>
      <c r="AS17" s="528"/>
      <c r="AT17" s="528"/>
      <c r="AU17" s="528"/>
      <c r="AV17" s="528"/>
      <c r="AW17" s="56"/>
    </row>
    <row r="18" spans="1:49" s="57" customFormat="1" ht="30" customHeight="1" x14ac:dyDescent="0.3">
      <c r="A18" s="56"/>
      <c r="B18" s="56"/>
      <c r="C18" s="56"/>
      <c r="D18" s="56"/>
      <c r="E18" s="56"/>
      <c r="F18" s="56"/>
      <c r="G18" s="56"/>
      <c r="H18" s="487" t="s">
        <v>1119</v>
      </c>
      <c r="I18" s="274"/>
      <c r="J18" s="274"/>
      <c r="K18" s="274"/>
      <c r="L18" s="274"/>
      <c r="M18" s="274"/>
      <c r="N18" s="274"/>
      <c r="O18" s="274"/>
      <c r="P18" s="274"/>
      <c r="Q18" s="274"/>
      <c r="R18" s="274"/>
      <c r="S18" s="274"/>
      <c r="T18" s="274"/>
      <c r="U18" s="274"/>
      <c r="V18" s="488"/>
      <c r="W18" s="59"/>
      <c r="X18" s="56"/>
      <c r="Y18" s="56"/>
      <c r="Z18" s="56"/>
      <c r="AA18" s="56"/>
      <c r="AB18" s="56"/>
      <c r="AC18" s="56"/>
      <c r="AD18" s="56"/>
      <c r="AE18" s="56"/>
      <c r="AF18" s="56"/>
      <c r="AG18" s="56"/>
      <c r="AH18" s="56"/>
      <c r="AI18" s="56"/>
      <c r="AJ18" s="56"/>
      <c r="AK18" s="56"/>
      <c r="AL18" s="56"/>
      <c r="AM18" s="528"/>
      <c r="AN18" s="528"/>
      <c r="AO18" s="528"/>
      <c r="AP18" s="528"/>
      <c r="AQ18" s="528"/>
      <c r="AR18" s="528"/>
      <c r="AS18" s="528"/>
      <c r="AT18" s="528"/>
      <c r="AU18" s="528"/>
      <c r="AV18" s="528"/>
      <c r="AW18" s="56"/>
    </row>
    <row r="19" spans="1:49" s="57" customFormat="1" ht="30" customHeight="1" x14ac:dyDescent="0.3">
      <c r="A19" s="56"/>
      <c r="B19" s="56"/>
      <c r="C19" s="56"/>
      <c r="D19" s="56"/>
      <c r="E19" s="56"/>
      <c r="F19" s="56"/>
      <c r="G19" s="56"/>
      <c r="H19" s="483" t="s">
        <v>892</v>
      </c>
      <c r="I19" s="247"/>
      <c r="J19" s="247"/>
      <c r="K19" s="247"/>
      <c r="L19" s="247"/>
      <c r="M19" s="247"/>
      <c r="N19" s="247"/>
      <c r="O19" s="247"/>
      <c r="P19" s="248"/>
      <c r="Q19" s="258">
        <f>SUMIFS(Input[T. W. - Stat (NR AFR) E&amp;G],Input[System],$Z$2)+SUMIFS(Input[T. W. - Stat (NR AFR) Desg],Input[System],$Z$2)+SUMIFS(Input[T. W. - Stat (NR AFR) Aux],Input[System],$Z$2)+SUMIFS(Input[T. W. - Stat (NR AFR) R Exp],Input[System],$Z$2)+SUMIFS(Input[T. W. - Stat (NR AFR) Loan],Input[System],$Z$2)+SUMIFS(Input[T. W. - Stat (NR AFR) Annuity],Input[System],$Z$2)+SUMIFS(Input[T. W. - Stat (NR AFR) Unexp],Input[System],$Z$2)+SUMIFS(Input[T. W. - Stat (NR AFR) R of Ind],Input[System],$Z$2)+SUMIFS(Input[T. W. - Stat (NR AFR) Inv in P],Input[System],$Z$2)</f>
        <v>0</v>
      </c>
      <c r="R19" s="258"/>
      <c r="S19" s="258"/>
      <c r="T19" s="258">
        <f>IFERROR(ROUND(Q19/$Z$1,0),0)</f>
        <v>0</v>
      </c>
      <c r="U19" s="258"/>
      <c r="V19" s="357"/>
      <c r="W19" s="59"/>
      <c r="X19" s="56"/>
      <c r="Y19" s="56"/>
      <c r="Z19" s="56"/>
      <c r="AA19" s="56"/>
      <c r="AB19" s="56"/>
      <c r="AC19" s="56"/>
      <c r="AD19" s="56"/>
      <c r="AE19" s="56"/>
      <c r="AF19" s="56"/>
      <c r="AG19" s="56"/>
      <c r="AH19" s="56"/>
      <c r="AI19" s="56"/>
      <c r="AJ19" s="56"/>
      <c r="AK19" s="56"/>
      <c r="AL19" s="56"/>
      <c r="AM19" s="528"/>
      <c r="AN19" s="528"/>
      <c r="AO19" s="528"/>
      <c r="AP19" s="528"/>
      <c r="AQ19" s="528"/>
      <c r="AR19" s="528"/>
      <c r="AS19" s="528"/>
      <c r="AT19" s="528"/>
      <c r="AU19" s="528"/>
      <c r="AV19" s="528"/>
      <c r="AW19" s="56"/>
    </row>
    <row r="20" spans="1:49" s="57" customFormat="1" ht="30" customHeight="1" x14ac:dyDescent="0.3">
      <c r="A20" s="56"/>
      <c r="B20" s="56"/>
      <c r="C20" s="56"/>
      <c r="D20" s="56"/>
      <c r="E20" s="56"/>
      <c r="F20" s="56"/>
      <c r="G20" s="56"/>
      <c r="H20" s="306" t="s">
        <v>893</v>
      </c>
      <c r="I20" s="255"/>
      <c r="J20" s="255"/>
      <c r="K20" s="255"/>
      <c r="L20" s="255"/>
      <c r="M20" s="255"/>
      <c r="N20" s="255"/>
      <c r="O20" s="255"/>
      <c r="P20" s="256"/>
      <c r="Q20" s="260">
        <f>SUMIFS(Input[T. W. - Inst. (NR AFR) E&amp;G],Input[System],$Z$2)+SUMIFS(Input[T. W. - Inst. (NR AFR) Desg],Input[System],$Z$2)+SUMIFS(Input[T. W. - Inst. (NR AFR) Aux],Input[System],$Z$2)+SUMIFS(Input[T. W. - Inst. (NR AFR) R Exp],Input[System],$Z$2)+SUMIFS(Input[T. W. - Inst. (NR AFR) Loan],Input[System],$Z$2)+SUMIFS(Input[T. W. - Inst. (NR AFR) Annuity],Input[System],$Z$2)+SUMIFS(Input[T. W. - Inst. (NR AFR) Unexp],Input[System],$Z$2)+SUMIFS(Input[T. W. - Inst. (NR AFR) R of Ind],Input[System],$Z$2)+SUMIFS(Input[T. W. - Inst. (NR AFR) Inv in P],Input[System],$Z$2)</f>
        <v>0</v>
      </c>
      <c r="R20" s="260"/>
      <c r="S20" s="260"/>
      <c r="T20" s="260">
        <f>IFERROR(ROUND(Q20/$Z$1,0),0)</f>
        <v>0</v>
      </c>
      <c r="U20" s="260"/>
      <c r="V20" s="308"/>
      <c r="W20" s="59"/>
      <c r="X20" s="56"/>
      <c r="Y20" s="56"/>
      <c r="Z20" s="56"/>
      <c r="AA20" s="56"/>
      <c r="AB20" s="56"/>
      <c r="AC20" s="56"/>
      <c r="AD20" s="56"/>
      <c r="AE20" s="56"/>
      <c r="AF20" s="56"/>
      <c r="AG20" s="56"/>
      <c r="AH20" s="56"/>
      <c r="AI20" s="56"/>
      <c r="AJ20" s="56"/>
      <c r="AK20" s="56"/>
      <c r="AL20" s="56"/>
      <c r="AM20" s="528"/>
      <c r="AN20" s="528"/>
      <c r="AO20" s="528"/>
      <c r="AP20" s="528"/>
      <c r="AQ20" s="528"/>
      <c r="AR20" s="528"/>
      <c r="AS20" s="528"/>
      <c r="AT20" s="528"/>
      <c r="AU20" s="528"/>
      <c r="AV20" s="528"/>
      <c r="AW20" s="56"/>
    </row>
    <row r="21" spans="1:49" s="57" customFormat="1" ht="30" customHeight="1" x14ac:dyDescent="0.3">
      <c r="A21" s="56"/>
      <c r="B21" s="56"/>
      <c r="C21" s="56"/>
      <c r="D21" s="56"/>
      <c r="E21" s="56"/>
      <c r="F21" s="56"/>
      <c r="G21" s="56"/>
      <c r="H21" s="306" t="s">
        <v>894</v>
      </c>
      <c r="I21" s="255"/>
      <c r="J21" s="255"/>
      <c r="K21" s="255"/>
      <c r="L21" s="255"/>
      <c r="M21" s="255"/>
      <c r="N21" s="255"/>
      <c r="O21" s="255"/>
      <c r="P21" s="256"/>
      <c r="Q21" s="260">
        <f>SUMIFS(Input[T. Exp. - Stat (NR AFR) E&amp;G],Input[System],$Z$2)+SUMIFS(Input[T. Exp. - Stat (NR AFR) Desg],Input[System],$Z$2)+SUMIFS(Input[T. Exp. - Stat (NR AFR) Aux],Input[System],$Z$2)+SUMIFS(Input[T. Exp. - Stat (NR AFR) R Exp],Input[System],$Z$2)+SUMIFS(Input[T. Exp. - Stat (NR AFR) Loan],Input[System],$Z$2)+SUMIFS(Input[T. Exp. - Stat (NR AFR) Annuity],Input[System],$Z$2)+SUMIFS(Input[T. Exp. - Stat (NR AFR) Unexp],Input[System],$Z$2)+SUMIFS(Input[T. Exp. - Stat (NR AFR) R of Ind],Input[System],$Z$2)+SUMIFS(Input[T. Exp. - Stat (NR AFR) Inv in P],Input[System],$Z$2)</f>
        <v>0</v>
      </c>
      <c r="R21" s="260"/>
      <c r="S21" s="260"/>
      <c r="T21" s="260">
        <f>IFERROR(ROUND(Q21/$Z$1,0),0)</f>
        <v>0</v>
      </c>
      <c r="U21" s="260"/>
      <c r="V21" s="308"/>
      <c r="W21" s="59"/>
      <c r="X21" s="56"/>
      <c r="Y21" s="56"/>
      <c r="Z21" s="56"/>
      <c r="AA21" s="56"/>
      <c r="AB21" s="56"/>
      <c r="AC21" s="56"/>
      <c r="AD21" s="56"/>
      <c r="AE21" s="56"/>
      <c r="AF21" s="56"/>
      <c r="AG21" s="56"/>
      <c r="AH21" s="56"/>
      <c r="AI21" s="56"/>
      <c r="AJ21" s="56"/>
      <c r="AK21" s="56"/>
      <c r="AL21" s="56"/>
      <c r="AM21" s="528"/>
      <c r="AN21" s="528"/>
      <c r="AO21" s="528"/>
      <c r="AP21" s="528"/>
      <c r="AQ21" s="528"/>
      <c r="AR21" s="528"/>
      <c r="AS21" s="528"/>
      <c r="AT21" s="528"/>
      <c r="AU21" s="528"/>
      <c r="AV21" s="528"/>
      <c r="AW21" s="56"/>
    </row>
    <row r="22" spans="1:49" s="57" customFormat="1" ht="30" customHeight="1" x14ac:dyDescent="0.3">
      <c r="A22" s="56"/>
      <c r="B22" s="56"/>
      <c r="C22" s="56"/>
      <c r="D22" s="56"/>
      <c r="E22" s="56"/>
      <c r="F22" s="56"/>
      <c r="G22" s="56"/>
      <c r="H22" s="306" t="s">
        <v>895</v>
      </c>
      <c r="I22" s="255"/>
      <c r="J22" s="255"/>
      <c r="K22" s="255"/>
      <c r="L22" s="255"/>
      <c r="M22" s="255"/>
      <c r="N22" s="255"/>
      <c r="O22" s="255"/>
      <c r="P22" s="256"/>
      <c r="Q22" s="260">
        <f>SUMIFS(Input[T. Exp. - Inst. (NR AFR) E&amp;G],Input[System],$Z$2)+SUMIFS(Input[T. Exp. - Inst. (NR AFR) Desg],Input[System],$Z$2)+SUMIFS(Input[T. Exp. - Inst. (NR AFR) Aux],Input[System],$Z$2)+SUMIFS(Input[T. Exp. - Inst. (NR AFR) R Exp],Input[System],$Z$2)+SUMIFS(Input[T. Exp. - Inst. (NR AFR) Loan],Input[System],$Z$2)+SUMIFS(Input[T. Exp. - Inst. (NR AFR) Annuity],Input[System],$Z$2)+SUMIFS(Input[T. Exp. - Inst. (NR AFR) Unexp],Input[System],$Z$2)+SUMIFS(Input[T. Exp. - Inst. (NR AFR) R of Ind],Input[System],$Z$2)+SUMIFS(Input[T. Exp. - Inst. (NR AFR) Inv in P],Input[System],$Z$2)</f>
        <v>0</v>
      </c>
      <c r="R22" s="260"/>
      <c r="S22" s="260"/>
      <c r="T22" s="260">
        <f>IFERROR(ROUND(Q22/$Z$1,0),0)</f>
        <v>0</v>
      </c>
      <c r="U22" s="260"/>
      <c r="V22" s="308"/>
      <c r="W22" s="59"/>
      <c r="X22" s="56"/>
      <c r="Y22" s="56"/>
      <c r="Z22" s="56"/>
      <c r="AA22" s="56"/>
      <c r="AB22" s="56"/>
      <c r="AC22" s="56"/>
      <c r="AD22" s="56"/>
      <c r="AE22" s="56"/>
      <c r="AF22" s="56"/>
      <c r="AG22" s="56"/>
      <c r="AH22" s="56"/>
      <c r="AI22" s="56"/>
      <c r="AJ22" s="56"/>
      <c r="AK22" s="56"/>
      <c r="AL22" s="56"/>
      <c r="AM22" s="528"/>
      <c r="AN22" s="528"/>
      <c r="AO22" s="528"/>
      <c r="AP22" s="528"/>
      <c r="AQ22" s="528"/>
      <c r="AR22" s="528"/>
      <c r="AS22" s="528"/>
      <c r="AT22" s="528"/>
      <c r="AU22" s="528"/>
      <c r="AV22" s="528"/>
      <c r="AW22" s="56"/>
    </row>
    <row r="23" spans="1:49" s="57" customFormat="1" ht="30" customHeight="1" x14ac:dyDescent="0.3">
      <c r="A23" s="56"/>
      <c r="B23" s="56"/>
      <c r="C23" s="56"/>
      <c r="D23" s="56"/>
      <c r="E23" s="56"/>
      <c r="F23" s="56"/>
      <c r="G23" s="56"/>
      <c r="H23" s="306" t="s">
        <v>896</v>
      </c>
      <c r="I23" s="255"/>
      <c r="J23" s="255"/>
      <c r="K23" s="255"/>
      <c r="L23" s="255"/>
      <c r="M23" s="255"/>
      <c r="N23" s="255"/>
      <c r="O23" s="255"/>
      <c r="P23" s="256"/>
      <c r="Q23" s="260">
        <f>SUMIFS(Input[T. - Gross E&amp;G],Input[System],$Z$2)+SUMIFS(Input[T. - Gross Desg],Input[System],$Z$2)+SUMIFS(Input[T. - Gross Aux],Input[System],$Z$2)+SUMIFS(Input[T. - Gross R Exp],Input[System],$Z$2)+SUMIFS(Input[T. - Gross Loan],Input[System],$Z$2)+SUMIFS(Input[T. - Gross Annuity],Input[System],$Z$2)+SUMIFS(Input[T. - Gross Unexp],Input[System],$Z$2)+SUMIFS(Input[T. - Gross R of Ind],Input[System],$Z$2)+SUMIFS(Input[T. - Gross Inv in P],Input[System],$Z$2)</f>
        <v>0</v>
      </c>
      <c r="R23" s="260"/>
      <c r="S23" s="260"/>
      <c r="T23" s="260">
        <f>IFERROR(ROUND(Q23/$Z$1,0),0)</f>
        <v>0</v>
      </c>
      <c r="U23" s="260"/>
      <c r="V23" s="308"/>
      <c r="W23" s="59"/>
      <c r="X23" s="56"/>
      <c r="Y23" s="56"/>
      <c r="Z23" s="56"/>
      <c r="AA23" s="56"/>
      <c r="AB23" s="56"/>
      <c r="AC23" s="56"/>
      <c r="AD23" s="56"/>
      <c r="AE23" s="56"/>
      <c r="AF23" s="56"/>
      <c r="AG23" s="56"/>
      <c r="AH23" s="56"/>
      <c r="AI23" s="56"/>
      <c r="AJ23" s="56"/>
      <c r="AK23" s="56"/>
      <c r="AL23" s="56"/>
      <c r="AM23" s="528"/>
      <c r="AN23" s="528"/>
      <c r="AO23" s="528"/>
      <c r="AP23" s="528"/>
      <c r="AQ23" s="528"/>
      <c r="AR23" s="528"/>
      <c r="AS23" s="528"/>
      <c r="AT23" s="528"/>
      <c r="AU23" s="528"/>
      <c r="AV23" s="528"/>
      <c r="AW23" s="56"/>
    </row>
    <row r="24" spans="1:49" s="57" customFormat="1" ht="30" customHeight="1" x14ac:dyDescent="0.3">
      <c r="A24" s="56"/>
      <c r="B24" s="56"/>
      <c r="C24" s="56"/>
      <c r="D24" s="56"/>
      <c r="E24" s="56"/>
      <c r="F24" s="56"/>
      <c r="G24" s="56"/>
      <c r="H24" s="487" t="s">
        <v>897</v>
      </c>
      <c r="I24" s="274"/>
      <c r="J24" s="274"/>
      <c r="K24" s="274"/>
      <c r="L24" s="274"/>
      <c r="M24" s="274"/>
      <c r="N24" s="274"/>
      <c r="O24" s="274"/>
      <c r="P24" s="274"/>
      <c r="Q24" s="274"/>
      <c r="R24" s="274"/>
      <c r="S24" s="274"/>
      <c r="T24" s="274"/>
      <c r="U24" s="274"/>
      <c r="V24" s="488"/>
      <c r="W24" s="59"/>
      <c r="X24" s="56"/>
      <c r="Y24" s="56"/>
      <c r="Z24" s="56"/>
      <c r="AA24" s="56"/>
      <c r="AB24" s="56"/>
      <c r="AC24" s="56"/>
      <c r="AD24" s="56"/>
      <c r="AE24" s="56"/>
      <c r="AF24" s="56"/>
      <c r="AG24" s="56"/>
      <c r="AH24" s="56"/>
      <c r="AI24" s="56"/>
      <c r="AJ24" s="56"/>
      <c r="AK24" s="56"/>
      <c r="AL24" s="56"/>
      <c r="AM24" s="528"/>
      <c r="AN24" s="528"/>
      <c r="AO24" s="528"/>
      <c r="AP24" s="528"/>
      <c r="AQ24" s="528"/>
      <c r="AR24" s="528"/>
      <c r="AS24" s="528"/>
      <c r="AT24" s="528"/>
      <c r="AU24" s="528"/>
      <c r="AV24" s="528"/>
      <c r="AW24" s="56"/>
    </row>
    <row r="25" spans="1:49" s="57" customFormat="1" ht="30" customHeight="1" x14ac:dyDescent="0.3">
      <c r="A25" s="56"/>
      <c r="B25" s="56"/>
      <c r="C25" s="56"/>
      <c r="D25" s="56"/>
      <c r="E25" s="56"/>
      <c r="F25" s="56"/>
      <c r="G25" s="56"/>
      <c r="H25" s="483" t="s">
        <v>892</v>
      </c>
      <c r="I25" s="247"/>
      <c r="J25" s="247"/>
      <c r="K25" s="247"/>
      <c r="L25" s="247"/>
      <c r="M25" s="247"/>
      <c r="N25" s="247"/>
      <c r="O25" s="247"/>
      <c r="P25" s="248"/>
      <c r="Q25" s="258">
        <f>SUMIFS(Input[T. W. - Stat (R AFR) Desg],Input[System],$Z$2)+SUMIFS(Input[T. W. - Stat (R AFR) Aux],Input[System],$Z$2)+SUMIFS(Input[T. W. - Stat (R AFR) R Exp],Input[System],$Z$2)+SUMIFS(Input[T. W. - Stat (R AFR) Loan],Input[System],$Z$2)+SUMIFS(Input[T. W. - Stat (R AFR) Annuity],Input[System],$Z$2)+SUMIFS(Input[T. W. - Stat (R AFR) Unexp],Input[System],$Z$2)+SUMIFS(Input[T. W. - Stat (R AFR) R of Ind],Input[System],$Z$2)+SUMIFS(Input[T. W. - Stat (R AFR) Inv in P],Input[System],$Z$2)</f>
        <v>0</v>
      </c>
      <c r="R25" s="258"/>
      <c r="S25" s="258"/>
      <c r="T25" s="258">
        <f>IFERROR(ROUND(Q25/$Z$1,0),0)</f>
        <v>0</v>
      </c>
      <c r="U25" s="258"/>
      <c r="V25" s="357"/>
      <c r="W25" s="59"/>
      <c r="X25" s="56"/>
      <c r="Y25" s="56"/>
      <c r="Z25" s="56"/>
      <c r="AA25" s="56"/>
      <c r="AB25" s="56"/>
      <c r="AC25" s="56"/>
      <c r="AD25" s="56"/>
      <c r="AE25" s="56"/>
      <c r="AF25" s="56"/>
      <c r="AG25" s="56"/>
      <c r="AH25" s="56"/>
      <c r="AI25" s="56"/>
      <c r="AJ25" s="56"/>
      <c r="AK25" s="56"/>
      <c r="AL25" s="56"/>
      <c r="AM25" s="528"/>
      <c r="AN25" s="528"/>
      <c r="AO25" s="528"/>
      <c r="AP25" s="528"/>
      <c r="AQ25" s="528"/>
      <c r="AR25" s="528"/>
      <c r="AS25" s="528"/>
      <c r="AT25" s="528"/>
      <c r="AU25" s="528"/>
      <c r="AV25" s="528"/>
      <c r="AW25" s="56"/>
    </row>
    <row r="26" spans="1:49" s="57" customFormat="1" ht="30" customHeight="1" x14ac:dyDescent="0.3">
      <c r="A26" s="56"/>
      <c r="B26" s="56"/>
      <c r="C26" s="56"/>
      <c r="D26" s="56"/>
      <c r="E26" s="56"/>
      <c r="F26" s="56"/>
      <c r="G26" s="56"/>
      <c r="H26" s="306" t="s">
        <v>893</v>
      </c>
      <c r="I26" s="255"/>
      <c r="J26" s="255"/>
      <c r="K26" s="255"/>
      <c r="L26" s="255"/>
      <c r="M26" s="255"/>
      <c r="N26" s="255"/>
      <c r="O26" s="255"/>
      <c r="P26" s="256"/>
      <c r="Q26" s="260">
        <f>SUMIFS(Input[T. W. - Inst. (R AFR) Desg],Input[System],$Z$2)+SUMIFS(Input[T. W. - Inst. (R AFR) Aux],Input[System],$Z$2)+SUMIFS(Input[T. W. - Inst. (R AFR) R Exp],Input[System],$Z$2)+SUMIFS(Input[T. W. - Inst. (R AFR) Loan],Input[System],$Z$2)+SUMIFS(Input[T. W. - Inst. (R AFR) Annuity],Input[System],$Z$2)+SUMIFS(Input[T. W. - Inst. (R AFR) Unexp],Input[System],$Z$2)+SUMIFS(Input[T. W. - Inst. (R AFR) R of Ind],Input[System],$Z$2)+SUMIFS(Input[T. W. - Inst. (R AFR) Inv in P],Input[System],$Z$2)</f>
        <v>0</v>
      </c>
      <c r="R26" s="260"/>
      <c r="S26" s="260"/>
      <c r="T26" s="260">
        <f>IFERROR(ROUND(Q26/$Z$1,0),0)</f>
        <v>0</v>
      </c>
      <c r="U26" s="260"/>
      <c r="V26" s="308"/>
      <c r="W26" s="59"/>
      <c r="X26" s="56"/>
      <c r="Y26" s="56"/>
      <c r="Z26" s="56"/>
      <c r="AA26" s="56"/>
      <c r="AB26" s="56"/>
      <c r="AC26" s="56"/>
      <c r="AD26" s="56"/>
      <c r="AE26" s="56"/>
      <c r="AF26" s="56"/>
      <c r="AG26" s="56"/>
      <c r="AH26" s="56"/>
      <c r="AI26" s="56"/>
      <c r="AJ26" s="56"/>
      <c r="AK26" s="56"/>
      <c r="AL26" s="56"/>
      <c r="AM26" s="528"/>
      <c r="AN26" s="528"/>
      <c r="AO26" s="528"/>
      <c r="AP26" s="528"/>
      <c r="AQ26" s="528"/>
      <c r="AR26" s="528"/>
      <c r="AS26" s="528"/>
      <c r="AT26" s="528"/>
      <c r="AU26" s="528"/>
      <c r="AV26" s="528"/>
      <c r="AW26" s="56"/>
    </row>
    <row r="27" spans="1:49" s="57" customFormat="1" ht="30" customHeight="1" x14ac:dyDescent="0.3">
      <c r="A27" s="56"/>
      <c r="B27" s="56"/>
      <c r="C27" s="56"/>
      <c r="D27" s="56"/>
      <c r="E27" s="56"/>
      <c r="F27" s="56"/>
      <c r="G27" s="56"/>
      <c r="H27" s="306" t="s">
        <v>894</v>
      </c>
      <c r="I27" s="255"/>
      <c r="J27" s="255"/>
      <c r="K27" s="255"/>
      <c r="L27" s="255"/>
      <c r="M27" s="255"/>
      <c r="N27" s="255"/>
      <c r="O27" s="255"/>
      <c r="P27" s="256"/>
      <c r="Q27" s="260">
        <f>SUMIFS(Input[T. Exp. - Stat (R AFR) Desg],Input[System],$Z$2)+SUMIFS(Input[T. Exp. - Stat (R AFR) Aux],Input[System],$Z$2)+SUMIFS(Input[T. Exp. - Stat (R AFR) R Exp],Input[System],$Z$2)+SUMIFS(Input[T. Exp. - Stat (R AFR) Loan],Input[System],$Z$2)+SUMIFS(Input[T. Exp. - Stat (R AFR) Annuity],Input[System],$Z$2)+SUMIFS(Input[T. Exp. - Stat (R AFR) Unexp],Input[System],$Z$2)+SUMIFS(Input[T. Exp. - Stat (R AFR) R of Ind],Input[System],$Z$2)+SUMIFS(Input[T. Exp. - Stat (R AFR) Inv in P],Input[System],$Z$2)</f>
        <v>0</v>
      </c>
      <c r="R27" s="260"/>
      <c r="S27" s="260"/>
      <c r="T27" s="260">
        <f>IFERROR(ROUND(Q27/$Z$1,0),0)</f>
        <v>0</v>
      </c>
      <c r="U27" s="260"/>
      <c r="V27" s="308"/>
      <c r="W27" s="59"/>
      <c r="X27" s="56"/>
      <c r="Y27" s="56"/>
      <c r="Z27" s="56"/>
      <c r="AA27" s="56"/>
      <c r="AB27" s="56"/>
      <c r="AC27" s="56"/>
      <c r="AD27" s="56"/>
      <c r="AE27" s="56"/>
      <c r="AF27" s="56"/>
      <c r="AG27" s="56"/>
      <c r="AH27" s="56"/>
      <c r="AI27" s="56"/>
      <c r="AJ27" s="56"/>
      <c r="AK27" s="56"/>
      <c r="AL27" s="56"/>
      <c r="AM27" s="528"/>
      <c r="AN27" s="528"/>
      <c r="AO27" s="528"/>
      <c r="AP27" s="528"/>
      <c r="AQ27" s="528"/>
      <c r="AR27" s="528"/>
      <c r="AS27" s="528"/>
      <c r="AT27" s="528"/>
      <c r="AU27" s="528"/>
      <c r="AV27" s="528"/>
      <c r="AW27" s="56"/>
    </row>
    <row r="28" spans="1:49" s="57" customFormat="1" ht="30" customHeight="1" x14ac:dyDescent="0.3">
      <c r="A28" s="56"/>
      <c r="B28" s="56"/>
      <c r="C28" s="56"/>
      <c r="D28" s="56"/>
      <c r="E28" s="56"/>
      <c r="F28" s="56"/>
      <c r="G28" s="56"/>
      <c r="H28" s="306" t="s">
        <v>895</v>
      </c>
      <c r="I28" s="255"/>
      <c r="J28" s="255"/>
      <c r="K28" s="255"/>
      <c r="L28" s="255"/>
      <c r="M28" s="255"/>
      <c r="N28" s="255"/>
      <c r="O28" s="255"/>
      <c r="P28" s="256"/>
      <c r="Q28" s="260">
        <f>SUMIFS(Input[T. Exp. - Inst. (R AFR) Desg],Input[System],$Z$2)+SUMIFS(Input[T. Exp. - Inst. (R AFR) Aux],Input[System],$Z$2)+SUMIFS(Input[T. Exp. - Inst. (R AFR) R Exp],Input[System],$Z$2)+SUMIFS(Input[T. Exp. - Inst. (R AFR) Loan],Input[System],$Z$2)+SUMIFS(Input[T. Exp. - Inst. (R AFR) Annuity],Input[System],$Z$2)+SUMIFS(Input[T. Exp. - Inst. (R AFR) Unexp],Input[System],$Z$2)+SUMIFS(Input[T. Exp. - Inst. (R AFR) R of Ind],Input[System],$Z$2)+SUMIFS(Input[T. Exp. - Inst. (R AFR) Inv in P],Input[System],$Z$2)</f>
        <v>0</v>
      </c>
      <c r="R28" s="260"/>
      <c r="S28" s="260"/>
      <c r="T28" s="260">
        <f>IFERROR(ROUND(Q28/$Z$1,0),0)</f>
        <v>0</v>
      </c>
      <c r="U28" s="260"/>
      <c r="V28" s="308"/>
      <c r="W28" s="59"/>
      <c r="X28" s="56"/>
      <c r="Y28" s="56"/>
      <c r="Z28" s="56"/>
      <c r="AA28" s="56"/>
      <c r="AB28" s="56"/>
      <c r="AC28" s="56"/>
      <c r="AD28" s="56"/>
      <c r="AE28" s="56"/>
      <c r="AF28" s="56"/>
      <c r="AG28" s="56"/>
      <c r="AH28" s="56"/>
      <c r="AI28" s="56"/>
      <c r="AJ28" s="56"/>
      <c r="AK28" s="56"/>
      <c r="AL28" s="56"/>
      <c r="AM28" s="528"/>
      <c r="AN28" s="528"/>
      <c r="AO28" s="528"/>
      <c r="AP28" s="528"/>
      <c r="AQ28" s="528"/>
      <c r="AR28" s="528"/>
      <c r="AS28" s="528"/>
      <c r="AT28" s="528"/>
      <c r="AU28" s="528"/>
      <c r="AV28" s="528"/>
      <c r="AW28" s="56"/>
    </row>
    <row r="29" spans="1:49" s="57" customFormat="1" ht="30" customHeight="1" x14ac:dyDescent="0.3">
      <c r="A29" s="56"/>
      <c r="B29" s="56"/>
      <c r="C29" s="56"/>
      <c r="D29" s="56"/>
      <c r="E29" s="56"/>
      <c r="F29" s="56"/>
      <c r="G29" s="56"/>
      <c r="H29" s="306" t="s">
        <v>898</v>
      </c>
      <c r="I29" s="255"/>
      <c r="J29" s="255"/>
      <c r="K29" s="255"/>
      <c r="L29" s="255"/>
      <c r="M29" s="255"/>
      <c r="N29" s="255"/>
      <c r="O29" s="255"/>
      <c r="P29" s="256"/>
      <c r="Q29" s="260">
        <f>SUMIFS(Input[T. Schlr Desg],Input[System],$Z$2)+SUMIFS(Input[T. Schlr Aux],Input[System],$Z$2)+SUMIFS(Input[T. Schlr R Exp],Input[System],$Z$2)+SUMIFS(Input[T. Schlr Loan],Input[System],$Z$2)+SUMIFS(Input[T. Schlr Annuity],Input[System],$Z$2)+SUMIFS(Input[T. Schlr Unexp],Input[System],$Z$2)+SUMIFS(Input[T. Schlr R of Ind],Input[System],$Z$2)+SUMIFS(Input[T. Schlr Inv in P],Input[System],$Z$2)</f>
        <v>0</v>
      </c>
      <c r="R29" s="260"/>
      <c r="S29" s="260"/>
      <c r="T29" s="260">
        <f>IFERROR(ROUND(Q29/$Z$1,0),0)</f>
        <v>0</v>
      </c>
      <c r="U29" s="260"/>
      <c r="V29" s="308"/>
      <c r="W29" s="59"/>
      <c r="X29" s="501" t="str">
        <f>IF(ISBLANK(H1),"","Figure 1: Total Revenue by Operating Source Category")</f>
        <v/>
      </c>
      <c r="Y29" s="501"/>
      <c r="Z29" s="501"/>
      <c r="AA29" s="501"/>
      <c r="AB29" s="501"/>
      <c r="AC29" s="501"/>
      <c r="AD29" s="501"/>
      <c r="AE29" s="501"/>
      <c r="AF29" s="501"/>
      <c r="AG29" s="501"/>
      <c r="AH29" s="501"/>
      <c r="AI29" s="501"/>
      <c r="AJ29" s="56"/>
      <c r="AK29" s="56"/>
      <c r="AL29" s="56"/>
      <c r="AM29" s="528"/>
      <c r="AN29" s="528"/>
      <c r="AO29" s="528"/>
      <c r="AP29" s="528"/>
      <c r="AQ29" s="528"/>
      <c r="AR29" s="528"/>
      <c r="AS29" s="528"/>
      <c r="AT29" s="528"/>
      <c r="AU29" s="528"/>
      <c r="AV29" s="528"/>
      <c r="AW29" s="56"/>
    </row>
    <row r="30" spans="1:49" s="57" customFormat="1" ht="30" customHeight="1" x14ac:dyDescent="0.3">
      <c r="A30" s="56"/>
      <c r="B30" s="56"/>
      <c r="C30" s="56"/>
      <c r="D30" s="56"/>
      <c r="E30" s="56"/>
      <c r="F30" s="56"/>
      <c r="G30" s="56"/>
      <c r="H30" s="323" t="s">
        <v>899</v>
      </c>
      <c r="I30" s="324"/>
      <c r="J30" s="324"/>
      <c r="K30" s="324"/>
      <c r="L30" s="324"/>
      <c r="M30" s="324"/>
      <c r="N30" s="324"/>
      <c r="O30" s="324"/>
      <c r="P30" s="324"/>
      <c r="Q30" s="329">
        <f>SUM(Q23,Q25:S29)</f>
        <v>0</v>
      </c>
      <c r="R30" s="329"/>
      <c r="S30" s="329"/>
      <c r="T30" s="329">
        <f>SUM(T23,T25:V29)</f>
        <v>0</v>
      </c>
      <c r="U30" s="329"/>
      <c r="V30" s="330"/>
      <c r="W30" s="59"/>
      <c r="X30" s="56"/>
      <c r="Y30" s="56"/>
      <c r="Z30" s="56"/>
      <c r="AA30" s="56"/>
      <c r="AB30" s="56"/>
      <c r="AC30" s="56"/>
      <c r="AD30" s="56"/>
      <c r="AE30" s="56"/>
      <c r="AF30" s="56"/>
      <c r="AG30" s="56"/>
      <c r="AH30" s="56"/>
      <c r="AI30" s="56"/>
      <c r="AJ30" s="56"/>
      <c r="AK30" s="56"/>
      <c r="AL30" s="56"/>
      <c r="AM30" s="528"/>
      <c r="AN30" s="528"/>
      <c r="AO30" s="528"/>
      <c r="AP30" s="528"/>
      <c r="AQ30" s="528"/>
      <c r="AR30" s="528"/>
      <c r="AS30" s="528"/>
      <c r="AT30" s="528"/>
      <c r="AU30" s="528"/>
      <c r="AV30" s="528"/>
      <c r="AW30" s="56"/>
    </row>
    <row r="31" spans="1:49" s="57" customFormat="1" ht="30" customHeight="1" x14ac:dyDescent="0.3">
      <c r="A31" s="56"/>
      <c r="B31" s="56"/>
      <c r="C31" s="56"/>
      <c r="D31" s="56"/>
      <c r="E31" s="56"/>
      <c r="F31" s="56"/>
      <c r="G31" s="56"/>
      <c r="H31" s="59"/>
      <c r="I31" s="59"/>
      <c r="J31" s="59"/>
      <c r="K31" s="59"/>
      <c r="L31" s="59"/>
      <c r="M31" s="59"/>
      <c r="N31" s="59"/>
      <c r="O31" s="59"/>
      <c r="P31" s="59"/>
      <c r="Q31" s="80"/>
      <c r="R31" s="80"/>
      <c r="S31" s="80"/>
      <c r="T31" s="80"/>
      <c r="U31" s="80"/>
      <c r="V31" s="80"/>
      <c r="W31" s="59"/>
      <c r="X31" s="56"/>
      <c r="Y31" s="56"/>
      <c r="Z31" s="56"/>
      <c r="AA31" s="56"/>
      <c r="AB31" s="56"/>
      <c r="AC31" s="56"/>
      <c r="AD31" s="56"/>
      <c r="AE31" s="56"/>
      <c r="AF31" s="56"/>
      <c r="AG31" s="56"/>
      <c r="AH31" s="56"/>
      <c r="AI31" s="56"/>
      <c r="AJ31" s="56"/>
      <c r="AK31" s="56"/>
      <c r="AL31" s="56"/>
      <c r="AM31" s="528"/>
      <c r="AN31" s="528"/>
      <c r="AO31" s="528"/>
      <c r="AP31" s="528"/>
      <c r="AQ31" s="528"/>
      <c r="AR31" s="528"/>
      <c r="AS31" s="528"/>
      <c r="AT31" s="528"/>
      <c r="AU31" s="528"/>
      <c r="AV31" s="528"/>
      <c r="AW31" s="56"/>
    </row>
    <row r="32" spans="1:49" s="57" customFormat="1" ht="30" customHeight="1" thickBot="1" x14ac:dyDescent="0.35">
      <c r="A32" s="56"/>
      <c r="B32" s="56"/>
      <c r="C32" s="56"/>
      <c r="D32" s="56"/>
      <c r="E32" s="56"/>
      <c r="F32" s="56"/>
      <c r="G32" s="56"/>
      <c r="H32" s="502" t="s">
        <v>900</v>
      </c>
      <c r="I32" s="503"/>
      <c r="J32" s="503"/>
      <c r="K32" s="503"/>
      <c r="L32" s="503"/>
      <c r="M32" s="503"/>
      <c r="N32" s="503"/>
      <c r="O32" s="503"/>
      <c r="P32" s="504"/>
      <c r="Q32" s="505" cm="1">
        <f t="array" ref="Q32">SUM(Q38:S38,-Q34:S37)</f>
        <v>0</v>
      </c>
      <c r="R32" s="505"/>
      <c r="S32" s="505"/>
      <c r="T32" s="317">
        <f>IFERROR(ROUND(Q32/$Z$1,0),0)</f>
        <v>0</v>
      </c>
      <c r="U32" s="317"/>
      <c r="V32" s="318"/>
      <c r="W32" s="59"/>
      <c r="X32" s="506" t="s">
        <v>989</v>
      </c>
      <c r="Y32" s="507"/>
      <c r="Z32" s="507"/>
      <c r="AA32" s="507"/>
      <c r="AB32" s="507"/>
      <c r="AC32" s="507"/>
      <c r="AD32" s="507"/>
      <c r="AE32" s="507"/>
      <c r="AF32" s="507"/>
      <c r="AG32" s="508"/>
      <c r="AH32" s="56"/>
      <c r="AI32" s="56"/>
      <c r="AJ32" s="56"/>
      <c r="AK32" s="56"/>
      <c r="AL32" s="56"/>
      <c r="AM32" s="528"/>
      <c r="AN32" s="528"/>
      <c r="AO32" s="528"/>
      <c r="AP32" s="528"/>
      <c r="AQ32" s="528"/>
      <c r="AR32" s="528"/>
      <c r="AS32" s="528"/>
      <c r="AT32" s="528"/>
      <c r="AU32" s="528"/>
      <c r="AV32" s="528"/>
      <c r="AW32" s="56"/>
    </row>
    <row r="33" spans="1:49" s="57" customFormat="1" ht="30" customHeight="1" x14ac:dyDescent="0.3">
      <c r="A33" s="56"/>
      <c r="B33" s="56"/>
      <c r="C33" s="56"/>
      <c r="D33" s="56"/>
      <c r="E33" s="56"/>
      <c r="F33" s="56"/>
      <c r="G33" s="56"/>
      <c r="H33" s="487" t="s">
        <v>1119</v>
      </c>
      <c r="I33" s="274"/>
      <c r="J33" s="274"/>
      <c r="K33" s="274"/>
      <c r="L33" s="274"/>
      <c r="M33" s="274"/>
      <c r="N33" s="274"/>
      <c r="O33" s="274"/>
      <c r="P33" s="274"/>
      <c r="Q33" s="274"/>
      <c r="R33" s="274"/>
      <c r="S33" s="274"/>
      <c r="T33" s="274"/>
      <c r="U33" s="274"/>
      <c r="V33" s="488"/>
      <c r="W33" s="59"/>
      <c r="X33" s="496" t="s">
        <v>990</v>
      </c>
      <c r="Y33" s="497"/>
      <c r="Z33" s="497"/>
      <c r="AA33" s="497"/>
      <c r="AB33" s="497"/>
      <c r="AC33" s="497"/>
      <c r="AD33" s="498"/>
      <c r="AE33" s="499">
        <f>SUM(Q23,Q38)</f>
        <v>0</v>
      </c>
      <c r="AF33" s="499"/>
      <c r="AG33" s="499"/>
      <c r="AH33" s="56"/>
      <c r="AI33" s="56"/>
      <c r="AJ33" s="56"/>
      <c r="AK33" s="56"/>
      <c r="AL33" s="56"/>
      <c r="AM33" s="528"/>
      <c r="AN33" s="528"/>
      <c r="AO33" s="528"/>
      <c r="AP33" s="528"/>
      <c r="AQ33" s="528"/>
      <c r="AR33" s="528"/>
      <c r="AS33" s="528"/>
      <c r="AT33" s="528"/>
      <c r="AU33" s="528"/>
      <c r="AV33" s="528"/>
      <c r="AW33" s="56"/>
    </row>
    <row r="34" spans="1:49" s="57" customFormat="1" ht="30" customHeight="1" x14ac:dyDescent="0.3">
      <c r="A34" s="56"/>
      <c r="B34" s="56"/>
      <c r="C34" s="56"/>
      <c r="D34" s="56"/>
      <c r="E34" s="56"/>
      <c r="F34" s="56"/>
      <c r="G34" s="56"/>
      <c r="H34" s="483" t="s">
        <v>892</v>
      </c>
      <c r="I34" s="247"/>
      <c r="J34" s="247"/>
      <c r="K34" s="247"/>
      <c r="L34" s="247"/>
      <c r="M34" s="247"/>
      <c r="N34" s="247"/>
      <c r="O34" s="247"/>
      <c r="P34" s="248"/>
      <c r="Q34" s="258">
        <f>SUMIFS(Input[F. W. - Stat (NR AFR) E&amp;G],Input[System],$Z$2)+SUMIFS(Input[F. W. - Stat (NR AFR) Desg],Input[System],$Z$2)+SUMIFS(Input[F. W. - Stat (NR AFR) Aux],Input[System],$Z$2)+SUMIFS(Input[F. W. - Stat (NR AFR) R Exp],Input[System],$Z$2)+SUMIFS(Input[F. W. - Stat (NR AFR) Loan],Input[System],$Z$2)+SUMIFS(Input[F. W. - Stat (NR AFR) Annuity],Input[System],$Z$2)+SUMIFS(Input[F. W. - Stat (NR AFR) Unexp],Input[System],$Z$2)+SUMIFS(Input[F. W. - Stat (NR AFR) R of Ind],Input[System],$Z$2)+SUMIFS(Input[F. W. - Stat (NR AFR) Inv in P],Input[System],$Z$2)</f>
        <v>0</v>
      </c>
      <c r="R34" s="258"/>
      <c r="S34" s="258"/>
      <c r="T34" s="258">
        <f>IFERROR(ROUND(Q34/$Z$1,0),0)</f>
        <v>0</v>
      </c>
      <c r="U34" s="258"/>
      <c r="V34" s="357"/>
      <c r="W34" s="59"/>
      <c r="X34" s="464" t="s">
        <v>991</v>
      </c>
      <c r="Y34" s="465"/>
      <c r="Z34" s="465"/>
      <c r="AA34" s="465"/>
      <c r="AB34" s="465"/>
      <c r="AC34" s="465"/>
      <c r="AD34" s="466"/>
      <c r="AE34" s="500">
        <f>SUM(Q25:S29,Q40:S44)</f>
        <v>0</v>
      </c>
      <c r="AF34" s="500"/>
      <c r="AG34" s="500"/>
      <c r="AH34" s="56"/>
      <c r="AI34" s="56"/>
      <c r="AJ34" s="56"/>
      <c r="AK34" s="56"/>
      <c r="AL34" s="62"/>
      <c r="AM34" s="528"/>
      <c r="AN34" s="528"/>
      <c r="AO34" s="528"/>
      <c r="AP34" s="528"/>
      <c r="AQ34" s="528"/>
      <c r="AR34" s="528"/>
      <c r="AS34" s="528"/>
      <c r="AT34" s="528"/>
      <c r="AU34" s="528"/>
      <c r="AV34" s="528"/>
      <c r="AW34" s="56"/>
    </row>
    <row r="35" spans="1:49" s="57" customFormat="1" ht="30" customHeight="1" x14ac:dyDescent="0.3">
      <c r="A35" s="56"/>
      <c r="B35" s="56"/>
      <c r="C35" s="56"/>
      <c r="D35" s="56"/>
      <c r="E35" s="56"/>
      <c r="F35" s="56"/>
      <c r="G35" s="56"/>
      <c r="H35" s="306" t="s">
        <v>893</v>
      </c>
      <c r="I35" s="255"/>
      <c r="J35" s="255"/>
      <c r="K35" s="255"/>
      <c r="L35" s="255"/>
      <c r="M35" s="255"/>
      <c r="N35" s="255"/>
      <c r="O35" s="255"/>
      <c r="P35" s="256"/>
      <c r="Q35" s="260">
        <f>SUMIFS(Input[F. W. - Inst. (NR AFR) E&amp;G],Input[System],$Z$2)+SUMIFS(Input[F. W. - Inst. (NR AFR) Desg],Input[System],$Z$2)+SUMIFS(Input[F. W. - Inst. (NR AFR) Aux],Input[System],$Z$2)+SUMIFS(Input[F. W. - Inst. (NR AFR) R Exp],Input[System],$Z$2)+SUMIFS(Input[F. W. - Inst. (NR AFR) Loan],Input[System],$Z$2)+SUMIFS(Input[F. W. - Inst. (NR AFR) Annuity],Input[System],$Z$2)+SUMIFS(Input[F. W. - Inst. (NR AFR) Unexp],Input[System],$Z$2)+SUMIFS(Input[F. W. - Inst. (NR AFR) R of Ind],Input[System],$Z$2)+SUMIFS(Input[F. W. - Inst. (NR AFR) Inv in P],Input[System],$Z$2)</f>
        <v>0</v>
      </c>
      <c r="R35" s="260"/>
      <c r="S35" s="260"/>
      <c r="T35" s="260">
        <f>IFERROR(ROUND(Q35/$Z$1,0),0)</f>
        <v>0</v>
      </c>
      <c r="U35" s="260"/>
      <c r="V35" s="308"/>
      <c r="W35" s="59"/>
      <c r="X35" s="390" t="s">
        <v>992</v>
      </c>
      <c r="Y35" s="390"/>
      <c r="Z35" s="390"/>
      <c r="AA35" s="390"/>
      <c r="AB35" s="390"/>
      <c r="AC35" s="390"/>
      <c r="AD35" s="390"/>
      <c r="AE35" s="391">
        <f>SUM(AE33:AG34)</f>
        <v>0</v>
      </c>
      <c r="AF35" s="391"/>
      <c r="AG35" s="391"/>
      <c r="AH35" s="56"/>
      <c r="AI35" s="56"/>
      <c r="AJ35" s="56"/>
      <c r="AK35" s="56"/>
      <c r="AL35" s="63"/>
      <c r="AM35" s="528"/>
      <c r="AN35" s="528"/>
      <c r="AO35" s="528"/>
      <c r="AP35" s="528"/>
      <c r="AQ35" s="528"/>
      <c r="AR35" s="528"/>
      <c r="AS35" s="528"/>
      <c r="AT35" s="528"/>
      <c r="AU35" s="528"/>
      <c r="AV35" s="528"/>
      <c r="AW35" s="56"/>
    </row>
    <row r="36" spans="1:49" s="57" customFormat="1" ht="30" customHeight="1" x14ac:dyDescent="0.3">
      <c r="A36" s="56"/>
      <c r="B36" s="56"/>
      <c r="C36" s="56"/>
      <c r="D36" s="56"/>
      <c r="E36" s="56"/>
      <c r="F36" s="56"/>
      <c r="G36" s="56"/>
      <c r="H36" s="306" t="s">
        <v>894</v>
      </c>
      <c r="I36" s="255"/>
      <c r="J36" s="255"/>
      <c r="K36" s="255"/>
      <c r="L36" s="255"/>
      <c r="M36" s="255"/>
      <c r="N36" s="255"/>
      <c r="O36" s="255"/>
      <c r="P36" s="256"/>
      <c r="Q36" s="260">
        <f>SUMIFS(Input[F. Exp. - Stat (NR AFR) E&amp;G],Input[System],$Z$2)+SUMIFS(Input[F. Exp. - Stat (NR AFR) Desg],Input[System],$Z$2)+SUMIFS(Input[F. Exp. - Stat (NR AFR) Aux],Input[System],$Z$2)+SUMIFS(Input[F. Exp. - Stat (NR AFR) R Exp],Input[System],$Z$2)+SUMIFS(Input[F. Exp. - Stat (NR AFR) Loan],Input[System],$Z$2)+SUMIFS(Input[F. Exp. - Stat (NR AFR) Annuity],Input[System],$Z$2)+SUMIFS(Input[F. Exp. - Stat (NR AFR) Unexp],Input[System],$Z$2)+SUMIFS(Input[F. Exp. - Stat (NR AFR) R of Ind],Input[System],$Z$2)+SUMIFS(Input[F. Exp. - Stat (NR AFR) Inv in P],Input[System],$Z$2)</f>
        <v>0</v>
      </c>
      <c r="R36" s="260"/>
      <c r="S36" s="260"/>
      <c r="T36" s="260">
        <f>IFERROR(ROUND(Q36/$Z$1,0),0)</f>
        <v>0</v>
      </c>
      <c r="U36" s="260"/>
      <c r="V36" s="308"/>
      <c r="W36" s="59"/>
      <c r="X36" s="56"/>
      <c r="Y36" s="56"/>
      <c r="Z36" s="56"/>
      <c r="AA36" s="56"/>
      <c r="AB36" s="56"/>
      <c r="AC36" s="56"/>
      <c r="AD36" s="56"/>
      <c r="AE36" s="56"/>
      <c r="AF36" s="56"/>
      <c r="AG36" s="56"/>
      <c r="AH36" s="56"/>
      <c r="AI36" s="56"/>
      <c r="AJ36" s="56"/>
      <c r="AK36" s="56"/>
      <c r="AL36" s="63"/>
      <c r="AM36" s="528"/>
      <c r="AN36" s="528"/>
      <c r="AO36" s="528"/>
      <c r="AP36" s="528"/>
      <c r="AQ36" s="528"/>
      <c r="AR36" s="528"/>
      <c r="AS36" s="528"/>
      <c r="AT36" s="528"/>
      <c r="AU36" s="528"/>
      <c r="AV36" s="528"/>
      <c r="AW36" s="56"/>
    </row>
    <row r="37" spans="1:49" s="57" customFormat="1" ht="30" customHeight="1" x14ac:dyDescent="0.3">
      <c r="A37" s="56"/>
      <c r="B37" s="56"/>
      <c r="C37" s="56"/>
      <c r="D37" s="56"/>
      <c r="E37" s="56"/>
      <c r="F37" s="56"/>
      <c r="G37" s="56"/>
      <c r="H37" s="306" t="s">
        <v>895</v>
      </c>
      <c r="I37" s="255"/>
      <c r="J37" s="255"/>
      <c r="K37" s="255"/>
      <c r="L37" s="255"/>
      <c r="M37" s="255"/>
      <c r="N37" s="255"/>
      <c r="O37" s="255"/>
      <c r="P37" s="256"/>
      <c r="Q37" s="260">
        <f>SUMIFS(Input[F. Exp. - Inst. (NR AFR) E&amp;G],Input[System],$Z$2)+SUMIFS(Input[F. Exp. - Inst. (NR AFR) Desg],Input[System],$Z$2)+SUMIFS(Input[F. Exp. - Inst. (NR AFR) Aux],Input[System],$Z$2)+SUMIFS(Input[F. Exp. - Inst. (NR AFR) R Exp],Input[System],$Z$2)+SUMIFS(Input[F. Exp. - Inst. (NR AFR) Loan],Input[System],$Z$2)+SUMIFS(Input[F. Exp. - Inst. (NR AFR) Annuity],Input[System],$Z$2)+SUMIFS(Input[F. Exp. - Inst. (NR AFR) Unexp],Input[System],$Z$2)+SUMIFS(Input[F. Exp. - Inst. (NR AFR) R of Ind],Input[System],$Z$2)+SUMIFS(Input[F. Exp. - Inst. (NR AFR) Inv in P],Input[System],$Z$2)</f>
        <v>0</v>
      </c>
      <c r="R37" s="260"/>
      <c r="S37" s="260"/>
      <c r="T37" s="260">
        <f>IFERROR(ROUND(Q37/$Z$1,0),0)</f>
        <v>0</v>
      </c>
      <c r="U37" s="260"/>
      <c r="V37" s="308"/>
      <c r="W37" s="59"/>
      <c r="X37" s="56"/>
      <c r="Y37" s="56"/>
      <c r="Z37" s="56"/>
      <c r="AA37" s="56"/>
      <c r="AB37" s="56"/>
      <c r="AC37" s="56"/>
      <c r="AD37" s="56"/>
      <c r="AE37" s="56"/>
      <c r="AF37" s="56"/>
      <c r="AG37" s="56"/>
      <c r="AH37" s="56"/>
      <c r="AI37" s="56"/>
      <c r="AJ37" s="56"/>
      <c r="AK37" s="56"/>
      <c r="AL37" s="63"/>
      <c r="AM37" s="528"/>
      <c r="AN37" s="528"/>
      <c r="AO37" s="528"/>
      <c r="AP37" s="528"/>
      <c r="AQ37" s="528"/>
      <c r="AR37" s="528"/>
      <c r="AS37" s="528"/>
      <c r="AT37" s="528"/>
      <c r="AU37" s="528"/>
      <c r="AV37" s="528"/>
      <c r="AW37" s="56"/>
    </row>
    <row r="38" spans="1:49" s="57" customFormat="1" ht="30" customHeight="1" x14ac:dyDescent="0.3">
      <c r="A38" s="56"/>
      <c r="B38" s="56"/>
      <c r="C38" s="56"/>
      <c r="D38" s="56"/>
      <c r="E38" s="56"/>
      <c r="F38" s="56"/>
      <c r="G38" s="56"/>
      <c r="H38" s="306" t="s">
        <v>902</v>
      </c>
      <c r="I38" s="255"/>
      <c r="J38" s="255"/>
      <c r="K38" s="255"/>
      <c r="L38" s="255"/>
      <c r="M38" s="255"/>
      <c r="N38" s="255"/>
      <c r="O38" s="255"/>
      <c r="P38" s="256"/>
      <c r="Q38" s="260">
        <f>SUMIFS(Input[Fees - Gross E&amp;G],Input[System],$Z$2)+SUMIFS(Input[Fees - Gross Desg],Input[System],$Z$2)+SUMIFS(Input[Fees - Gross Aux],Input[System],$Z$2)+SUMIFS(Input[Fees - Gross R Exp],Input[System],$Z$2)+SUMIFS(Input[Fees - Gross Loan],Input[System],$Z$2)+SUMIFS(Input[Fees - Gross Annuity],Input[System],$Z$2)+SUMIFS(Input[Fees - Gross Unexp],Input[System],$Z$2)+SUMIFS(Input[Fees - Gross R of Ind],Input[System],$Z$2)+SUMIFS(Input[Fees - Gross Inv in P],Input[System],$Z$2)</f>
        <v>0</v>
      </c>
      <c r="R38" s="260"/>
      <c r="S38" s="260"/>
      <c r="T38" s="260">
        <f>IFERROR(ROUND(Q38/$Z$1,0),0)</f>
        <v>0</v>
      </c>
      <c r="U38" s="260"/>
      <c r="V38" s="308"/>
      <c r="W38" s="59"/>
      <c r="X38" s="56"/>
      <c r="Y38" s="56"/>
      <c r="Z38" s="56"/>
      <c r="AA38" s="56"/>
      <c r="AB38" s="56"/>
      <c r="AC38" s="56"/>
      <c r="AD38" s="56"/>
      <c r="AE38" s="56"/>
      <c r="AF38" s="56"/>
      <c r="AG38" s="56"/>
      <c r="AH38" s="56"/>
      <c r="AI38" s="56"/>
      <c r="AJ38" s="56"/>
      <c r="AK38" s="56"/>
      <c r="AL38" s="63"/>
      <c r="AM38" s="528"/>
      <c r="AN38" s="528"/>
      <c r="AO38" s="528"/>
      <c r="AP38" s="528"/>
      <c r="AQ38" s="528"/>
      <c r="AR38" s="528"/>
      <c r="AS38" s="528"/>
      <c r="AT38" s="528"/>
      <c r="AU38" s="528"/>
      <c r="AV38" s="528"/>
      <c r="AW38" s="56"/>
    </row>
    <row r="39" spans="1:49" s="57" customFormat="1" ht="30" customHeight="1" thickBot="1" x14ac:dyDescent="0.35">
      <c r="A39" s="56"/>
      <c r="B39" s="56"/>
      <c r="C39" s="56"/>
      <c r="D39" s="56"/>
      <c r="E39" s="56"/>
      <c r="F39" s="56"/>
      <c r="G39" s="56"/>
      <c r="H39" s="487" t="s">
        <v>897</v>
      </c>
      <c r="I39" s="274"/>
      <c r="J39" s="274"/>
      <c r="K39" s="274"/>
      <c r="L39" s="274"/>
      <c r="M39" s="274"/>
      <c r="N39" s="274"/>
      <c r="O39" s="274"/>
      <c r="P39" s="274"/>
      <c r="Q39" s="274"/>
      <c r="R39" s="274"/>
      <c r="S39" s="274"/>
      <c r="T39" s="274"/>
      <c r="U39" s="274"/>
      <c r="V39" s="488"/>
      <c r="W39" s="59"/>
      <c r="X39" s="445" t="s">
        <v>993</v>
      </c>
      <c r="Y39" s="446"/>
      <c r="Z39" s="446"/>
      <c r="AA39" s="446"/>
      <c r="AB39" s="446"/>
      <c r="AC39" s="446"/>
      <c r="AD39" s="446"/>
      <c r="AE39" s="446"/>
      <c r="AF39" s="446"/>
      <c r="AG39" s="446"/>
      <c r="AH39" s="446"/>
      <c r="AI39" s="446"/>
      <c r="AJ39" s="447"/>
      <c r="AK39" s="56"/>
      <c r="AL39" s="445" t="s">
        <v>1000</v>
      </c>
      <c r="AM39" s="446"/>
      <c r="AN39" s="446"/>
      <c r="AO39" s="446"/>
      <c r="AP39" s="446"/>
      <c r="AQ39" s="446"/>
      <c r="AR39" s="446"/>
      <c r="AS39" s="445"/>
      <c r="AT39" s="446"/>
      <c r="AU39" s="447"/>
      <c r="AV39" s="64"/>
      <c r="AW39" s="56"/>
    </row>
    <row r="40" spans="1:49" s="57" customFormat="1" ht="30" customHeight="1" thickBot="1" x14ac:dyDescent="0.35">
      <c r="A40" s="56"/>
      <c r="B40" s="56"/>
      <c r="C40" s="56"/>
      <c r="D40" s="56"/>
      <c r="E40" s="56"/>
      <c r="F40" s="56"/>
      <c r="G40" s="56"/>
      <c r="H40" s="483" t="s">
        <v>892</v>
      </c>
      <c r="I40" s="247"/>
      <c r="J40" s="247"/>
      <c r="K40" s="247"/>
      <c r="L40" s="247"/>
      <c r="M40" s="247"/>
      <c r="N40" s="247"/>
      <c r="O40" s="247"/>
      <c r="P40" s="248"/>
      <c r="Q40" s="258">
        <f>SUMIFS(Input[F. W. - Stat (R AFR) E&amp;G],Input[System],$Z$2)+SUMIFS(Input[F. W. - Stat (R AFR) Desg],Input[System],$Z$2)+SUMIFS(Input[F. W. - Stat (R AFR) Aux],Input[System],$Z$2)+SUMIFS(Input[F. W. - Stat (R AFR) R Exp],Input[System],$Z$2)+SUMIFS(Input[F. W. - Stat (R AFR) Loan],Input[System],$Z$2)+SUMIFS(Input[F. W. - Stat (R AFR) Annuity],Input[System],$Z$2)+SUMIFS(Input[F. W. - Stat (R AFR) Unexp],Input[System],$Z$2)+SUMIFS(Input[F. W. - Stat (R AFR) R of Ind],Input[System],$Z$2)+SUMIFS(Input[F. W. - Stat (R AFR) Inv in P],Input[System],$Z$2)</f>
        <v>0</v>
      </c>
      <c r="R40" s="258"/>
      <c r="S40" s="258"/>
      <c r="T40" s="258">
        <f>IFERROR(ROUND(Q40/$Z$1,0),0)</f>
        <v>0</v>
      </c>
      <c r="U40" s="258"/>
      <c r="V40" s="357"/>
      <c r="W40" s="59"/>
      <c r="X40" s="489" t="s">
        <v>984</v>
      </c>
      <c r="Y40" s="490"/>
      <c r="Z40" s="490"/>
      <c r="AA40" s="490"/>
      <c r="AB40" s="490"/>
      <c r="AC40" s="490"/>
      <c r="AD40" s="491"/>
      <c r="AE40" s="492" t="s">
        <v>985</v>
      </c>
      <c r="AF40" s="493"/>
      <c r="AG40" s="494"/>
      <c r="AH40" s="495" t="s">
        <v>986</v>
      </c>
      <c r="AI40" s="493"/>
      <c r="AJ40" s="494"/>
      <c r="AK40" s="56"/>
      <c r="AL40" s="448" t="s">
        <v>1001</v>
      </c>
      <c r="AM40" s="433"/>
      <c r="AN40" s="433"/>
      <c r="AO40" s="433"/>
      <c r="AP40" s="433"/>
      <c r="AQ40" s="433"/>
      <c r="AR40" s="433"/>
      <c r="AS40" s="434" t="s">
        <v>985</v>
      </c>
      <c r="AT40" s="435"/>
      <c r="AU40" s="449"/>
      <c r="AV40" s="64"/>
      <c r="AW40" s="56"/>
    </row>
    <row r="41" spans="1:49" s="57" customFormat="1" ht="30" customHeight="1" x14ac:dyDescent="0.3">
      <c r="A41" s="56"/>
      <c r="B41" s="56"/>
      <c r="C41" s="56"/>
      <c r="D41" s="56"/>
      <c r="E41" s="56"/>
      <c r="F41" s="56"/>
      <c r="G41" s="56"/>
      <c r="H41" s="306" t="s">
        <v>893</v>
      </c>
      <c r="I41" s="255"/>
      <c r="J41" s="255"/>
      <c r="K41" s="255"/>
      <c r="L41" s="255"/>
      <c r="M41" s="255"/>
      <c r="N41" s="255"/>
      <c r="O41" s="255"/>
      <c r="P41" s="256"/>
      <c r="Q41" s="260">
        <f>SUMIFS(Input[F. W. - Inst. (R AFR) E&amp;G],Input[System],$Z$2)+SUMIFS(Input[F. W. - Inst. (R AFR) Desg],Input[System],$Z$2)+SUMIFS(Input[F. W. - Inst. (R AFR) Aux],Input[System],$Z$2)+SUMIFS(Input[F. W. - Inst. (R AFR) R Exp],Input[System],$Z$2)+SUMIFS(Input[F. W. - Inst. (R AFR) Loan],Input[System],$Z$2)+SUMIFS(Input[F. W. - Inst. (R AFR) Annuity],Input[System],$Z$2)+SUMIFS(Input[F. W. - Inst. (R AFR) Unexp],Input[System],$Z$2)+SUMIFS(Input[F. W. - Inst. (R AFR) R of Ind],Input[System],$Z$2)+SUMIFS(Input[F. W. - Inst. (R AFR) Inv in P],Input[System],$Z$2)</f>
        <v>0</v>
      </c>
      <c r="R41" s="260"/>
      <c r="S41" s="260"/>
      <c r="T41" s="260">
        <f>IFERROR(ROUND(Q41/$Z$1,0),0)</f>
        <v>0</v>
      </c>
      <c r="U41" s="260"/>
      <c r="V41" s="308"/>
      <c r="W41" s="59"/>
      <c r="X41" s="409" t="s">
        <v>885</v>
      </c>
      <c r="Y41" s="409"/>
      <c r="Z41" s="409"/>
      <c r="AA41" s="409"/>
      <c r="AB41" s="409"/>
      <c r="AC41" s="409"/>
      <c r="AD41" s="409"/>
      <c r="AE41" s="336">
        <f>Q10</f>
        <v>0</v>
      </c>
      <c r="AF41" s="336"/>
      <c r="AG41" s="336"/>
      <c r="AH41" s="410">
        <f>IFERROR(AE41/$AE$14,0)</f>
        <v>0</v>
      </c>
      <c r="AI41" s="410"/>
      <c r="AJ41" s="410"/>
      <c r="AK41" s="56"/>
      <c r="AL41" s="141" t="str" cm="1">
        <f t="array" ref="AL41">_xlfn.XLOOKUP(IFERROR(LARGE(_xlfn._xlws.FILTER($AE$41:$AE$54, $AE$41:$AE$54&gt;0), 1), ""),$AE$41:$AE$54,$X$41:$X$54,"",0,-1)</f>
        <v/>
      </c>
      <c r="AM41" s="75"/>
      <c r="AN41" s="75"/>
      <c r="AO41" s="75"/>
      <c r="AP41" s="75"/>
      <c r="AQ41" s="75"/>
      <c r="AR41" s="76"/>
      <c r="AS41" s="450">
        <f>_xlfn.XLOOKUP(AL41,$X$41:$X$54,$AE$41:$AE$54,0,0,1)</f>
        <v>0</v>
      </c>
      <c r="AT41" s="450"/>
      <c r="AU41" s="450"/>
      <c r="AV41" s="64"/>
      <c r="AW41" s="56"/>
    </row>
    <row r="42" spans="1:49" s="57" customFormat="1" ht="30" customHeight="1" x14ac:dyDescent="0.3">
      <c r="A42" s="56"/>
      <c r="B42" s="56"/>
      <c r="C42" s="56"/>
      <c r="D42" s="56"/>
      <c r="E42" s="56"/>
      <c r="F42" s="56"/>
      <c r="G42" s="56"/>
      <c r="H42" s="306" t="s">
        <v>894</v>
      </c>
      <c r="I42" s="255"/>
      <c r="J42" s="255"/>
      <c r="K42" s="255"/>
      <c r="L42" s="255"/>
      <c r="M42" s="255"/>
      <c r="N42" s="255"/>
      <c r="O42" s="255"/>
      <c r="P42" s="256"/>
      <c r="Q42" s="260">
        <f>SUMIFS(Input[F. Exp. - Stat (R AFR) E&amp;G],Input[System],$Z$2)+SUMIFS(Input[F. Exp. - Stat (R AFR) Desg],Input[System],$Z$2)+SUMIFS(Input[F. Exp. - Stat (R AFR) Aux],Input[System],$Z$2)+SUMIFS(Input[F. Exp. - Stat (R AFR) R Exp],Input[System],$Z$2)+SUMIFS(Input[F. Exp. - Stat (R AFR) Loan],Input[System],$Z$2)+SUMIFS(Input[F. Exp. - Stat (R AFR) Annuity],Input[System],$Z$2)+SUMIFS(Input[F. Exp. - Stat (R AFR) Unexp],Input[System],$Z$2)+SUMIFS(Input[F. Exp. - Stat (R AFR) R of Ind],Input[System],$Z$2)+SUMIFS(Input[F. Exp. - Stat (R AFR) Inv in P],Input[System],$Z$2)</f>
        <v>0</v>
      </c>
      <c r="R42" s="260"/>
      <c r="S42" s="260"/>
      <c r="T42" s="260">
        <f>IFERROR(ROUND(Q42/$Z$1,0),0)</f>
        <v>0</v>
      </c>
      <c r="U42" s="260"/>
      <c r="V42" s="308"/>
      <c r="W42" s="59"/>
      <c r="X42" s="345" t="s">
        <v>994</v>
      </c>
      <c r="Y42" s="345"/>
      <c r="Z42" s="345"/>
      <c r="AA42" s="345"/>
      <c r="AB42" s="345"/>
      <c r="AC42" s="345"/>
      <c r="AD42" s="345"/>
      <c r="AE42" s="334">
        <f>Q11</f>
        <v>0</v>
      </c>
      <c r="AF42" s="334"/>
      <c r="AG42" s="334"/>
      <c r="AH42" s="346">
        <f t="shared" ref="AH42:AH54" si="0">IFERROR(AE42/$AE$14,0)</f>
        <v>0</v>
      </c>
      <c r="AI42" s="346"/>
      <c r="AJ42" s="346"/>
      <c r="AK42" s="56"/>
      <c r="AL42" s="134" t="str" cm="1">
        <f t="array" ref="AL42">_xlfn.XLOOKUP(IFERROR(LARGE(_xlfn._xlws.FILTER($AE$41:$AE$54, $AE$41:$AE$54&gt;0), 2), ""),$AE$41:$AE$54,$X$41:$X$54,"",0,-1)</f>
        <v/>
      </c>
      <c r="AM42" s="67"/>
      <c r="AN42" s="67"/>
      <c r="AO42" s="67"/>
      <c r="AP42" s="67"/>
      <c r="AQ42" s="67"/>
      <c r="AR42" s="68"/>
      <c r="AS42" s="423">
        <f t="shared" ref="AS42:AS45" si="1">_xlfn.XLOOKUP(AL42,$X$41:$X$54,$AE$41:$AE$54,0,0,1)</f>
        <v>0</v>
      </c>
      <c r="AT42" s="424"/>
      <c r="AU42" s="451"/>
      <c r="AV42" s="64"/>
      <c r="AW42" s="56"/>
    </row>
    <row r="43" spans="1:49" s="57" customFormat="1" ht="30" customHeight="1" x14ac:dyDescent="0.3">
      <c r="A43" s="56"/>
      <c r="B43" s="56"/>
      <c r="C43" s="56"/>
      <c r="D43" s="56"/>
      <c r="E43" s="56"/>
      <c r="F43" s="56"/>
      <c r="G43" s="56"/>
      <c r="H43" s="306" t="s">
        <v>895</v>
      </c>
      <c r="I43" s="255"/>
      <c r="J43" s="255"/>
      <c r="K43" s="255"/>
      <c r="L43" s="255"/>
      <c r="M43" s="255"/>
      <c r="N43" s="255"/>
      <c r="O43" s="255"/>
      <c r="P43" s="256"/>
      <c r="Q43" s="260">
        <f>SUMIFS(Input[F. Exp. - Inst. (R AFR) E&amp;G],Input[System],$Z$2)+SUMIFS(Input[F. Exp. - Inst. (R AFR) Desg],Input[System],$Z$2)+SUMIFS(Input[F. Exp. - Inst. (R AFR) Aux],Input[System],$Z$2)+SUMIFS(Input[F. Exp. - Inst. (R AFR) R Exp],Input[System],$Z$2)+SUMIFS(Input[F. Exp. - Inst. (R AFR) Loan],Input[System],$Z$2)+SUMIFS(Input[F. Exp. - Inst. (R AFR) Annuity],Input[System],$Z$2)+SUMIFS(Input[F. Exp. - Inst. (R AFR) Unexp],Input[System],$Z$2)+SUMIFS(Input[F. Exp. - Inst. (R AFR) R of Ind],Input[System],$Z$2)+SUMIFS(Input[F. Exp. - Inst. (R AFR) Inv in P],Input[System],$Z$2)</f>
        <v>0</v>
      </c>
      <c r="R43" s="260"/>
      <c r="S43" s="260"/>
      <c r="T43" s="260">
        <f>IFERROR(ROUND(Q43/$Z$1,0),0)</f>
        <v>0</v>
      </c>
      <c r="U43" s="260"/>
      <c r="V43" s="308"/>
      <c r="W43" s="59"/>
      <c r="X43" s="345" t="s">
        <v>887</v>
      </c>
      <c r="Y43" s="345"/>
      <c r="Z43" s="345"/>
      <c r="AA43" s="345"/>
      <c r="AB43" s="345"/>
      <c r="AC43" s="345"/>
      <c r="AD43" s="345"/>
      <c r="AE43" s="334">
        <f>Q12</f>
        <v>0</v>
      </c>
      <c r="AF43" s="334"/>
      <c r="AG43" s="334"/>
      <c r="AH43" s="346">
        <f t="shared" si="0"/>
        <v>0</v>
      </c>
      <c r="AI43" s="346"/>
      <c r="AJ43" s="346"/>
      <c r="AK43" s="56"/>
      <c r="AL43" s="134" t="str" cm="1">
        <f t="array" ref="AL43">_xlfn.XLOOKUP(IFERROR(LARGE(_xlfn._xlws.FILTER($AE$41:$AE$54, $AE$41:$AE$54&gt;0), 3), ""),$AE$41:$AE$54,$X$41:$X$54,"",0,-1)</f>
        <v/>
      </c>
      <c r="AM43" s="67"/>
      <c r="AN43" s="67"/>
      <c r="AO43" s="67"/>
      <c r="AP43" s="67"/>
      <c r="AQ43" s="67"/>
      <c r="AR43" s="68"/>
      <c r="AS43" s="423">
        <f t="shared" si="1"/>
        <v>0</v>
      </c>
      <c r="AT43" s="424"/>
      <c r="AU43" s="451"/>
      <c r="AV43" s="64"/>
      <c r="AW43" s="56"/>
    </row>
    <row r="44" spans="1:49" s="57" customFormat="1" ht="30" customHeight="1" x14ac:dyDescent="0.3">
      <c r="A44" s="56"/>
      <c r="B44" s="56"/>
      <c r="C44" s="56"/>
      <c r="D44" s="56"/>
      <c r="E44" s="56"/>
      <c r="F44" s="56"/>
      <c r="G44" s="56"/>
      <c r="H44" s="306" t="s">
        <v>898</v>
      </c>
      <c r="I44" s="255"/>
      <c r="J44" s="255"/>
      <c r="K44" s="255"/>
      <c r="L44" s="255"/>
      <c r="M44" s="255"/>
      <c r="N44" s="255"/>
      <c r="O44" s="255"/>
      <c r="P44" s="256"/>
      <c r="Q44" s="260">
        <f>SUMIFS(Input[Fee Schlr E&amp;G],Input[System],$Z$2)+SUMIFS(Input[Fee Schlr Desg],Input[System],$Z$2)+SUMIFS(Input[Fee Schlr Aux],Input[System],$Z$2)+SUMIFS(Input[Fee Schlr R Exp],Input[System],$Z$2)+SUMIFS(Input[Fee Schlr Loan],Input[System],$Z$2)+SUMIFS(Input[Fee Schlr Annuity],Input[System],$Z$2)+SUMIFS(Input[Fee Schlr Unexp],Input[System],$Z$2)+SUMIFS(Input[Fee Schlr R of Ind],Input[System],$Z$2)+SUMIFS(Input[Fee Schlr Inv in P],Input[System],$Z$2)</f>
        <v>0</v>
      </c>
      <c r="R44" s="260"/>
      <c r="S44" s="260"/>
      <c r="T44" s="260">
        <f>IFERROR(ROUND(Q44/$Z$1,0),0)</f>
        <v>0</v>
      </c>
      <c r="U44" s="260"/>
      <c r="V44" s="308"/>
      <c r="W44" s="59"/>
      <c r="X44" s="345" t="s">
        <v>888</v>
      </c>
      <c r="Y44" s="345"/>
      <c r="Z44" s="345"/>
      <c r="AA44" s="345"/>
      <c r="AB44" s="345"/>
      <c r="AC44" s="345"/>
      <c r="AD44" s="345"/>
      <c r="AE44" s="334">
        <f>Q13</f>
        <v>0</v>
      </c>
      <c r="AF44" s="334"/>
      <c r="AG44" s="334"/>
      <c r="AH44" s="346">
        <f t="shared" si="0"/>
        <v>0</v>
      </c>
      <c r="AI44" s="346"/>
      <c r="AJ44" s="346"/>
      <c r="AK44" s="56"/>
      <c r="AL44" s="134" t="str" cm="1">
        <f t="array" ref="AL44">_xlfn.XLOOKUP(IFERROR(LARGE(_xlfn._xlws.FILTER($AE$41:$AE$54, $AE$41:$AE$54&gt;0), 4), ""),$AE$41:$AE$54,$X$41:$X$54,"",0,-1)</f>
        <v/>
      </c>
      <c r="AM44" s="67"/>
      <c r="AN44" s="67"/>
      <c r="AO44" s="67"/>
      <c r="AP44" s="67"/>
      <c r="AQ44" s="67"/>
      <c r="AR44" s="68"/>
      <c r="AS44" s="423">
        <f t="shared" si="1"/>
        <v>0</v>
      </c>
      <c r="AT44" s="424"/>
      <c r="AU44" s="451"/>
      <c r="AV44" s="64"/>
      <c r="AW44" s="56"/>
    </row>
    <row r="45" spans="1:49" s="57" customFormat="1" ht="30" customHeight="1" x14ac:dyDescent="0.3">
      <c r="A45" s="56"/>
      <c r="B45" s="56"/>
      <c r="C45" s="56"/>
      <c r="D45" s="56"/>
      <c r="E45" s="56"/>
      <c r="F45" s="56"/>
      <c r="G45" s="56"/>
      <c r="H45" s="323" t="s">
        <v>903</v>
      </c>
      <c r="I45" s="324"/>
      <c r="J45" s="324"/>
      <c r="K45" s="324"/>
      <c r="L45" s="324"/>
      <c r="M45" s="324"/>
      <c r="N45" s="324"/>
      <c r="O45" s="324"/>
      <c r="P45" s="324"/>
      <c r="Q45" s="329">
        <f>SUM(Q38,Q40:S44)</f>
        <v>0</v>
      </c>
      <c r="R45" s="329"/>
      <c r="S45" s="329"/>
      <c r="T45" s="329">
        <f>SUM(T38,T40:V44)</f>
        <v>0</v>
      </c>
      <c r="U45" s="329"/>
      <c r="V45" s="330"/>
      <c r="W45" s="59"/>
      <c r="X45" s="345" t="s">
        <v>995</v>
      </c>
      <c r="Y45" s="345"/>
      <c r="Z45" s="345"/>
      <c r="AA45" s="345"/>
      <c r="AB45" s="345"/>
      <c r="AC45" s="345"/>
      <c r="AD45" s="345"/>
      <c r="AE45" s="334">
        <f>Q30+Q45</f>
        <v>0</v>
      </c>
      <c r="AF45" s="334"/>
      <c r="AG45" s="334"/>
      <c r="AH45" s="346">
        <f t="shared" si="0"/>
        <v>0</v>
      </c>
      <c r="AI45" s="346"/>
      <c r="AJ45" s="346"/>
      <c r="AK45" s="56"/>
      <c r="AL45" s="133" t="str" cm="1">
        <f t="array" ref="AL45">_xlfn.XLOOKUP(IFERROR(LARGE(_xlfn._xlws.FILTER($AE$41:$AE$54, $AE$41:$AE$54&gt;0), 5), ""),$AE$41:$AE$54,$X$41:$X$54,"",0,-1)</f>
        <v/>
      </c>
      <c r="AM45" s="81"/>
      <c r="AN45" s="81"/>
      <c r="AO45" s="81"/>
      <c r="AP45" s="81"/>
      <c r="AQ45" s="81"/>
      <c r="AR45" s="82"/>
      <c r="AS45" s="452">
        <f t="shared" si="1"/>
        <v>0</v>
      </c>
      <c r="AT45" s="453"/>
      <c r="AU45" s="454"/>
      <c r="AV45" s="64"/>
      <c r="AW45" s="56"/>
    </row>
    <row r="46" spans="1:49" s="57" customFormat="1" ht="30" customHeight="1" x14ac:dyDescent="0.3">
      <c r="A46" s="56"/>
      <c r="B46" s="56"/>
      <c r="C46" s="56"/>
      <c r="D46" s="56"/>
      <c r="E46" s="56"/>
      <c r="F46" s="56"/>
      <c r="G46" s="56"/>
      <c r="H46" s="59"/>
      <c r="I46" s="59"/>
      <c r="J46" s="59"/>
      <c r="K46" s="59"/>
      <c r="L46" s="59"/>
      <c r="M46" s="59"/>
      <c r="N46" s="59"/>
      <c r="O46" s="59"/>
      <c r="P46" s="59"/>
      <c r="Q46" s="80"/>
      <c r="R46" s="80"/>
      <c r="S46" s="80"/>
      <c r="T46" s="80"/>
      <c r="U46" s="80"/>
      <c r="V46" s="80"/>
      <c r="W46" s="56"/>
      <c r="X46" s="345" t="s">
        <v>996</v>
      </c>
      <c r="Y46" s="345"/>
      <c r="Z46" s="345"/>
      <c r="AA46" s="345"/>
      <c r="AB46" s="345"/>
      <c r="AC46" s="345"/>
      <c r="AD46" s="345"/>
      <c r="AE46" s="334">
        <f>Q50</f>
        <v>0</v>
      </c>
      <c r="AF46" s="334"/>
      <c r="AG46" s="334"/>
      <c r="AH46" s="346">
        <f t="shared" si="0"/>
        <v>0</v>
      </c>
      <c r="AI46" s="346"/>
      <c r="AJ46" s="346"/>
      <c r="AK46" s="56"/>
      <c r="AL46" s="56"/>
      <c r="AM46" s="64"/>
      <c r="AN46" s="64"/>
      <c r="AO46" s="64"/>
      <c r="AP46" s="64"/>
      <c r="AQ46" s="64"/>
      <c r="AR46" s="64"/>
      <c r="AS46" s="64"/>
      <c r="AT46" s="64"/>
      <c r="AU46" s="64"/>
      <c r="AV46" s="64"/>
      <c r="AW46" s="56"/>
    </row>
    <row r="47" spans="1:49" s="57" customFormat="1" ht="30" customHeight="1" x14ac:dyDescent="0.3">
      <c r="A47" s="56"/>
      <c r="B47" s="56"/>
      <c r="C47" s="56"/>
      <c r="D47" s="56"/>
      <c r="E47" s="56"/>
      <c r="F47" s="56"/>
      <c r="G47" s="56"/>
      <c r="H47" s="369" t="s">
        <v>904</v>
      </c>
      <c r="I47" s="370"/>
      <c r="J47" s="370"/>
      <c r="K47" s="370"/>
      <c r="L47" s="370"/>
      <c r="M47" s="370"/>
      <c r="N47" s="370"/>
      <c r="O47" s="370"/>
      <c r="P47" s="370"/>
      <c r="Q47" s="367">
        <f>SUM(Q30,Q45)</f>
        <v>0</v>
      </c>
      <c r="R47" s="367"/>
      <c r="S47" s="367"/>
      <c r="T47" s="367">
        <f>IFERROR(ROUND(Q47/$Z$1,0),0)</f>
        <v>0</v>
      </c>
      <c r="U47" s="367"/>
      <c r="V47" s="368"/>
      <c r="W47" s="56"/>
      <c r="X47" s="345" t="s">
        <v>907</v>
      </c>
      <c r="Y47" s="345"/>
      <c r="Z47" s="345"/>
      <c r="AA47" s="345"/>
      <c r="AB47" s="345"/>
      <c r="AC47" s="345"/>
      <c r="AD47" s="345"/>
      <c r="AE47" s="334">
        <f>Q53</f>
        <v>0</v>
      </c>
      <c r="AF47" s="334"/>
      <c r="AG47" s="334"/>
      <c r="AH47" s="346">
        <f t="shared" si="0"/>
        <v>0</v>
      </c>
      <c r="AI47" s="346"/>
      <c r="AJ47" s="346"/>
      <c r="AK47" s="56"/>
      <c r="AL47" s="56"/>
      <c r="AM47" s="56"/>
      <c r="AN47" s="56"/>
      <c r="AO47" s="56"/>
      <c r="AP47" s="56"/>
      <c r="AQ47" s="56"/>
      <c r="AR47" s="56"/>
      <c r="AS47" s="56"/>
      <c r="AT47" s="56"/>
      <c r="AU47" s="56"/>
      <c r="AV47" s="56"/>
      <c r="AW47" s="56"/>
    </row>
    <row r="48" spans="1:49" s="57" customFormat="1" ht="30" customHeight="1" x14ac:dyDescent="0.3">
      <c r="A48" s="56"/>
      <c r="B48" s="56"/>
      <c r="C48" s="56"/>
      <c r="D48" s="56"/>
      <c r="E48" s="56"/>
      <c r="F48" s="56"/>
      <c r="G48" s="56"/>
      <c r="H48" s="59"/>
      <c r="I48" s="59"/>
      <c r="J48" s="59"/>
      <c r="K48" s="59"/>
      <c r="L48" s="59"/>
      <c r="M48" s="59"/>
      <c r="N48" s="59"/>
      <c r="O48" s="59"/>
      <c r="P48" s="59"/>
      <c r="Q48" s="80"/>
      <c r="R48" s="80"/>
      <c r="S48" s="80"/>
      <c r="T48" s="80"/>
      <c r="U48" s="80"/>
      <c r="V48" s="80"/>
      <c r="W48" s="56"/>
      <c r="X48" s="345" t="s">
        <v>909</v>
      </c>
      <c r="Y48" s="345"/>
      <c r="Z48" s="345"/>
      <c r="AA48" s="345"/>
      <c r="AB48" s="345"/>
      <c r="AC48" s="345"/>
      <c r="AD48" s="345"/>
      <c r="AE48" s="334">
        <f>Q56</f>
        <v>0</v>
      </c>
      <c r="AF48" s="334"/>
      <c r="AG48" s="334"/>
      <c r="AH48" s="346">
        <f t="shared" si="0"/>
        <v>0</v>
      </c>
      <c r="AI48" s="346"/>
      <c r="AJ48" s="346"/>
      <c r="AK48" s="56"/>
      <c r="AL48" s="142"/>
      <c r="AM48" s="142"/>
      <c r="AN48" s="142"/>
      <c r="AO48" s="142"/>
      <c r="AP48" s="142"/>
      <c r="AQ48" s="142"/>
      <c r="AR48" s="142"/>
      <c r="AS48" s="142"/>
      <c r="AT48" s="142"/>
      <c r="AU48" s="142"/>
      <c r="AV48" s="56"/>
      <c r="AW48" s="56"/>
    </row>
    <row r="49" spans="1:49" s="57" customFormat="1" ht="30" customHeight="1" x14ac:dyDescent="0.3">
      <c r="A49" s="56"/>
      <c r="B49" s="56"/>
      <c r="C49" s="56"/>
      <c r="D49" s="56"/>
      <c r="E49" s="56"/>
      <c r="F49" s="56"/>
      <c r="G49" s="56"/>
      <c r="H49" s="374" t="s">
        <v>905</v>
      </c>
      <c r="I49" s="375"/>
      <c r="J49" s="375"/>
      <c r="K49" s="375"/>
      <c r="L49" s="375"/>
      <c r="M49" s="375"/>
      <c r="N49" s="375"/>
      <c r="O49" s="375"/>
      <c r="P49" s="375"/>
      <c r="Q49" s="376" t="s">
        <v>981</v>
      </c>
      <c r="R49" s="376"/>
      <c r="S49" s="376"/>
      <c r="T49" s="376" t="s">
        <v>982</v>
      </c>
      <c r="U49" s="376"/>
      <c r="V49" s="377"/>
      <c r="W49" s="56"/>
      <c r="X49" s="345" t="s">
        <v>997</v>
      </c>
      <c r="Y49" s="345"/>
      <c r="Z49" s="345"/>
      <c r="AA49" s="345"/>
      <c r="AB49" s="345"/>
      <c r="AC49" s="345"/>
      <c r="AD49" s="345"/>
      <c r="AE49" s="334">
        <f t="shared" ref="AE49:AE54" si="2">Q59</f>
        <v>0</v>
      </c>
      <c r="AF49" s="334"/>
      <c r="AG49" s="334"/>
      <c r="AH49" s="346">
        <f t="shared" si="0"/>
        <v>0</v>
      </c>
      <c r="AI49" s="346"/>
      <c r="AJ49" s="346"/>
      <c r="AK49" s="56"/>
      <c r="AL49" s="142"/>
      <c r="AM49" s="142"/>
      <c r="AN49" s="142"/>
      <c r="AO49" s="142"/>
      <c r="AP49" s="142"/>
      <c r="AQ49" s="142"/>
      <c r="AR49" s="142"/>
      <c r="AS49" s="142"/>
      <c r="AT49" s="142"/>
      <c r="AU49" s="142"/>
      <c r="AV49" s="56"/>
      <c r="AW49" s="56"/>
    </row>
    <row r="50" spans="1:49" s="57" customFormat="1" ht="30" customHeight="1" x14ac:dyDescent="0.3">
      <c r="A50" s="56"/>
      <c r="B50" s="56"/>
      <c r="C50" s="56"/>
      <c r="D50" s="56"/>
      <c r="E50" s="56"/>
      <c r="F50" s="56"/>
      <c r="G50" s="56"/>
      <c r="H50" s="484" t="s">
        <v>906</v>
      </c>
      <c r="I50" s="485"/>
      <c r="J50" s="485"/>
      <c r="K50" s="485"/>
      <c r="L50" s="485"/>
      <c r="M50" s="485"/>
      <c r="N50" s="485"/>
      <c r="O50" s="485"/>
      <c r="P50" s="486"/>
      <c r="Q50" s="329">
        <f>SUMIFS(Input[Fed G&amp;C E&amp;G],Input[System],$Z$2)+SUMIFS(Input[Fed G&amp;C Desg],Input[System],$Z$2)+SUMIFS(Input[Fed G&amp;C Aux],Input[System],$Z$2)+SUMIFS(Input[Fed G&amp;C R Exp],Input[System],$Z$2)+SUMIFS(Input[Fed G&amp;C Loan],Input[System],$Z$2)+SUMIFS(Input[Fed G&amp;C Annuity],Input[System],$Z$2)+SUMIFS(Input[Fed G&amp;C Unexp],Input[System],$Z$2)+SUMIFS(Input[Fed G&amp;C R of Ind],Input[System],$Z$2)+SUMIFS(Input[Fed G&amp;C Inv in P],Input[System],$Z$2)</f>
        <v>0</v>
      </c>
      <c r="R50" s="329"/>
      <c r="S50" s="329"/>
      <c r="T50" s="329">
        <f>IFERROR(ROUND(Q50/$Z$1,0),0)</f>
        <v>0</v>
      </c>
      <c r="U50" s="329"/>
      <c r="V50" s="330"/>
      <c r="W50" s="56"/>
      <c r="X50" s="345" t="s">
        <v>912</v>
      </c>
      <c r="Y50" s="345"/>
      <c r="Z50" s="345"/>
      <c r="AA50" s="345"/>
      <c r="AB50" s="345"/>
      <c r="AC50" s="345"/>
      <c r="AD50" s="345"/>
      <c r="AE50" s="334">
        <f t="shared" si="2"/>
        <v>0</v>
      </c>
      <c r="AF50" s="334"/>
      <c r="AG50" s="334"/>
      <c r="AH50" s="346">
        <f t="shared" si="0"/>
        <v>0</v>
      </c>
      <c r="AI50" s="346"/>
      <c r="AJ50" s="346"/>
      <c r="AK50" s="56"/>
      <c r="AL50" s="142"/>
      <c r="AM50" s="142"/>
      <c r="AN50" s="142"/>
      <c r="AO50" s="142"/>
      <c r="AP50" s="142"/>
      <c r="AQ50" s="142"/>
      <c r="AR50" s="142"/>
      <c r="AS50" s="142"/>
      <c r="AT50" s="142"/>
      <c r="AU50" s="142"/>
      <c r="AV50" s="56"/>
      <c r="AW50" s="56"/>
    </row>
    <row r="51" spans="1:49" s="57" customFormat="1" ht="30" customHeight="1" x14ac:dyDescent="0.3">
      <c r="A51" s="56"/>
      <c r="B51" s="56"/>
      <c r="C51" s="56"/>
      <c r="D51" s="56"/>
      <c r="E51" s="56"/>
      <c r="F51" s="56"/>
      <c r="G51" s="56"/>
      <c r="H51" s="59"/>
      <c r="I51" s="59"/>
      <c r="J51" s="59"/>
      <c r="K51" s="59"/>
      <c r="L51" s="59"/>
      <c r="M51" s="59"/>
      <c r="N51" s="59"/>
      <c r="O51" s="59"/>
      <c r="P51" s="59"/>
      <c r="Q51" s="80"/>
      <c r="R51" s="80"/>
      <c r="S51" s="80"/>
      <c r="T51" s="80"/>
      <c r="U51" s="80"/>
      <c r="V51" s="80"/>
      <c r="W51" s="56"/>
      <c r="X51" s="345" t="s">
        <v>998</v>
      </c>
      <c r="Y51" s="345"/>
      <c r="Z51" s="345"/>
      <c r="AA51" s="345"/>
      <c r="AB51" s="345"/>
      <c r="AC51" s="345"/>
      <c r="AD51" s="345"/>
      <c r="AE51" s="334">
        <f t="shared" si="2"/>
        <v>0</v>
      </c>
      <c r="AF51" s="334"/>
      <c r="AG51" s="334"/>
      <c r="AH51" s="346">
        <f t="shared" si="0"/>
        <v>0</v>
      </c>
      <c r="AI51" s="346"/>
      <c r="AJ51" s="346"/>
      <c r="AK51" s="56"/>
      <c r="AL51" s="142"/>
      <c r="AM51" s="142"/>
      <c r="AN51" s="142"/>
      <c r="AO51" s="142"/>
      <c r="AP51" s="142"/>
      <c r="AQ51" s="142"/>
      <c r="AR51" s="142"/>
      <c r="AS51" s="142"/>
      <c r="AT51" s="142"/>
      <c r="AU51" s="142"/>
      <c r="AV51" s="56"/>
      <c r="AW51" s="56"/>
    </row>
    <row r="52" spans="1:49" s="57" customFormat="1" ht="30" customHeight="1" x14ac:dyDescent="0.3">
      <c r="A52" s="56"/>
      <c r="B52" s="56"/>
      <c r="C52" s="56"/>
      <c r="D52" s="56"/>
      <c r="E52" s="56"/>
      <c r="F52" s="56"/>
      <c r="G52" s="56"/>
      <c r="H52" s="374" t="s">
        <v>907</v>
      </c>
      <c r="I52" s="375"/>
      <c r="J52" s="375"/>
      <c r="K52" s="375"/>
      <c r="L52" s="375"/>
      <c r="M52" s="375"/>
      <c r="N52" s="375"/>
      <c r="O52" s="375"/>
      <c r="P52" s="375"/>
      <c r="Q52" s="376" t="s">
        <v>981</v>
      </c>
      <c r="R52" s="376"/>
      <c r="S52" s="376"/>
      <c r="T52" s="376" t="s">
        <v>982</v>
      </c>
      <c r="U52" s="376"/>
      <c r="V52" s="377"/>
      <c r="W52" s="56"/>
      <c r="X52" s="345" t="s">
        <v>999</v>
      </c>
      <c r="Y52" s="345"/>
      <c r="Z52" s="345"/>
      <c r="AA52" s="345"/>
      <c r="AB52" s="345"/>
      <c r="AC52" s="345"/>
      <c r="AD52" s="345"/>
      <c r="AE52" s="334">
        <f t="shared" si="2"/>
        <v>0</v>
      </c>
      <c r="AF52" s="334"/>
      <c r="AG52" s="334"/>
      <c r="AH52" s="346">
        <f t="shared" si="0"/>
        <v>0</v>
      </c>
      <c r="AI52" s="346"/>
      <c r="AJ52" s="346"/>
      <c r="AK52" s="56"/>
      <c r="AL52" s="142"/>
      <c r="AM52" s="142"/>
      <c r="AN52" s="142"/>
      <c r="AO52" s="142"/>
      <c r="AP52" s="142"/>
      <c r="AQ52" s="142"/>
      <c r="AR52" s="142"/>
      <c r="AS52" s="142"/>
      <c r="AT52" s="142"/>
      <c r="AU52" s="142"/>
      <c r="AV52" s="56"/>
      <c r="AW52" s="56"/>
    </row>
    <row r="53" spans="1:49" s="57" customFormat="1" ht="30" customHeight="1" x14ac:dyDescent="0.3">
      <c r="A53" s="56"/>
      <c r="B53" s="56"/>
      <c r="C53" s="56"/>
      <c r="D53" s="56"/>
      <c r="E53" s="56"/>
      <c r="F53" s="56"/>
      <c r="G53" s="56"/>
      <c r="H53" s="484" t="s">
        <v>908</v>
      </c>
      <c r="I53" s="485"/>
      <c r="J53" s="485"/>
      <c r="K53" s="485"/>
      <c r="L53" s="485"/>
      <c r="M53" s="485"/>
      <c r="N53" s="485"/>
      <c r="O53" s="485"/>
      <c r="P53" s="486"/>
      <c r="Q53" s="329">
        <f>SUMIFS(Input[Prof Fees E&amp;G],Input[System],$Z$2)+SUMIFS(Input[Prof Fees Desg],Input[System],$Z$2)+SUMIFS(Input[Prof Fees Aux],Input[System],$Z$2)+SUMIFS(Input[Prof Fees R Exp],Input[System],$Z$2)+SUMIFS(Input[Prof Fees Loan],Input[System],$Z$2)+SUMIFS(Input[Prof Fees Annuity],Input[System],$Z$2)+SUMIFS(Input[Prof Fees Unexp],Input[System],$Z$2)+SUMIFS(Input[Prof Fees R of Ind],Input[System],$Z$2)+SUMIFS(Input[Prof Fees Inv in P],Input[System],$Z$2)</f>
        <v>0</v>
      </c>
      <c r="R53" s="329"/>
      <c r="S53" s="329"/>
      <c r="T53" s="329">
        <f>IFERROR(ROUND(Q53/$Z$1,0),0)</f>
        <v>0</v>
      </c>
      <c r="U53" s="329"/>
      <c r="V53" s="330"/>
      <c r="W53" s="56"/>
      <c r="X53" s="345" t="s">
        <v>915</v>
      </c>
      <c r="Y53" s="345"/>
      <c r="Z53" s="345"/>
      <c r="AA53" s="345"/>
      <c r="AB53" s="345"/>
      <c r="AC53" s="345"/>
      <c r="AD53" s="345"/>
      <c r="AE53" s="334">
        <f t="shared" si="2"/>
        <v>0</v>
      </c>
      <c r="AF53" s="334"/>
      <c r="AG53" s="334"/>
      <c r="AH53" s="346">
        <f t="shared" si="0"/>
        <v>0</v>
      </c>
      <c r="AI53" s="346"/>
      <c r="AJ53" s="346"/>
      <c r="AK53" s="56"/>
      <c r="AL53" s="142"/>
      <c r="AM53" s="142"/>
      <c r="AN53" s="142"/>
      <c r="AO53" s="142"/>
      <c r="AP53" s="142"/>
      <c r="AQ53" s="142"/>
      <c r="AR53" s="142"/>
      <c r="AS53" s="142"/>
      <c r="AT53" s="142"/>
      <c r="AU53" s="142"/>
      <c r="AV53" s="56"/>
      <c r="AW53" s="56"/>
    </row>
    <row r="54" spans="1:49" s="57" customFormat="1" ht="30" customHeight="1" x14ac:dyDescent="0.3">
      <c r="A54" s="56"/>
      <c r="B54" s="56"/>
      <c r="C54" s="56"/>
      <c r="D54" s="56"/>
      <c r="E54" s="56"/>
      <c r="F54" s="56"/>
      <c r="G54" s="56"/>
      <c r="H54" s="59"/>
      <c r="I54" s="59"/>
      <c r="J54" s="59"/>
      <c r="K54" s="59"/>
      <c r="L54" s="59"/>
      <c r="M54" s="59"/>
      <c r="N54" s="59"/>
      <c r="O54" s="59"/>
      <c r="P54" s="59"/>
      <c r="Q54" s="80"/>
      <c r="R54" s="80"/>
      <c r="S54" s="80"/>
      <c r="T54" s="80"/>
      <c r="U54" s="80"/>
      <c r="V54" s="80"/>
      <c r="W54" s="56"/>
      <c r="X54" s="437" t="s">
        <v>916</v>
      </c>
      <c r="Y54" s="437"/>
      <c r="Z54" s="437"/>
      <c r="AA54" s="437"/>
      <c r="AB54" s="437"/>
      <c r="AC54" s="437"/>
      <c r="AD54" s="437"/>
      <c r="AE54" s="340">
        <f t="shared" si="2"/>
        <v>0</v>
      </c>
      <c r="AF54" s="340"/>
      <c r="AG54" s="340"/>
      <c r="AH54" s="438">
        <f t="shared" si="0"/>
        <v>0</v>
      </c>
      <c r="AI54" s="438"/>
      <c r="AJ54" s="438"/>
      <c r="AK54" s="56"/>
      <c r="AL54" s="142"/>
      <c r="AM54" s="142"/>
      <c r="AN54" s="142"/>
      <c r="AO54" s="142"/>
      <c r="AP54" s="142"/>
      <c r="AQ54" s="142"/>
      <c r="AR54" s="142"/>
      <c r="AS54" s="142"/>
      <c r="AT54" s="142"/>
      <c r="AU54" s="142"/>
      <c r="AV54" s="56"/>
      <c r="AW54" s="56"/>
    </row>
    <row r="55" spans="1:49" s="57" customFormat="1" ht="30" customHeight="1" x14ac:dyDescent="0.3">
      <c r="A55" s="56"/>
      <c r="B55" s="56"/>
      <c r="C55" s="56"/>
      <c r="D55" s="56"/>
      <c r="E55" s="56"/>
      <c r="F55" s="56"/>
      <c r="G55" s="56"/>
      <c r="H55" s="374" t="s">
        <v>909</v>
      </c>
      <c r="I55" s="375"/>
      <c r="J55" s="375"/>
      <c r="K55" s="375"/>
      <c r="L55" s="375"/>
      <c r="M55" s="375"/>
      <c r="N55" s="375"/>
      <c r="O55" s="375"/>
      <c r="P55" s="375"/>
      <c r="Q55" s="376" t="s">
        <v>981</v>
      </c>
      <c r="R55" s="376"/>
      <c r="S55" s="376"/>
      <c r="T55" s="376" t="s">
        <v>982</v>
      </c>
      <c r="U55" s="376"/>
      <c r="V55" s="377"/>
      <c r="W55" s="56"/>
      <c r="X55" s="59"/>
      <c r="Y55" s="59"/>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row>
    <row r="56" spans="1:49" s="57" customFormat="1" ht="30" customHeight="1" x14ac:dyDescent="0.3">
      <c r="A56" s="56"/>
      <c r="B56" s="56"/>
      <c r="C56" s="56"/>
      <c r="D56" s="56"/>
      <c r="E56" s="56"/>
      <c r="F56" s="56"/>
      <c r="G56" s="56"/>
      <c r="H56" s="484" t="s">
        <v>908</v>
      </c>
      <c r="I56" s="485"/>
      <c r="J56" s="485"/>
      <c r="K56" s="485"/>
      <c r="L56" s="485"/>
      <c r="M56" s="485"/>
      <c r="N56" s="485"/>
      <c r="O56" s="485"/>
      <c r="P56" s="486"/>
      <c r="Q56" s="329">
        <f>SUMIFS(Input[H&amp;C E&amp;G],Input[System],$Z$2)+SUMIFS(Input[H&amp;C Desg],Input[System],$Z$2)+SUMIFS(Input[H&amp;C Aux],Input[System],$Z$2)+SUMIFS(Input[H&amp;C R Exp],Input[System],$Z$2)+SUMIFS(Input[H&amp;C Loan],Input[System],$Z$2)+SUMIFS(Input[H&amp;C Annuity],Input[System],$Z$2)+SUMIFS(Input[H&amp;C Unexp],Input[System],$Z$2)+SUMIFS(Input[H&amp;C R of Ind],Input[System],$Z$2)+SUMIFS(Input[H&amp;C Inv in P],Input[System],$Z$2)</f>
        <v>0</v>
      </c>
      <c r="R56" s="329"/>
      <c r="S56" s="329"/>
      <c r="T56" s="329">
        <f>IFERROR(ROUND(Q56/$Z$1,0),0)</f>
        <v>0</v>
      </c>
      <c r="U56" s="329"/>
      <c r="V56" s="330"/>
      <c r="W56" s="56"/>
      <c r="X56" s="59"/>
      <c r="Y56" s="59"/>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row>
    <row r="57" spans="1:49" s="57" customFormat="1" ht="30" customHeight="1" x14ac:dyDescent="0.3">
      <c r="A57" s="56"/>
      <c r="B57" s="56"/>
      <c r="C57" s="56"/>
      <c r="D57" s="56"/>
      <c r="E57" s="56"/>
      <c r="F57" s="56"/>
      <c r="G57" s="56"/>
      <c r="H57" s="59"/>
      <c r="I57" s="59"/>
      <c r="J57" s="59"/>
      <c r="K57" s="59"/>
      <c r="L57" s="59"/>
      <c r="M57" s="59"/>
      <c r="N57" s="59"/>
      <c r="O57" s="59"/>
      <c r="P57" s="59"/>
      <c r="Q57" s="80"/>
      <c r="R57" s="80"/>
      <c r="S57" s="80"/>
      <c r="T57" s="80"/>
      <c r="U57" s="80"/>
      <c r="V57" s="80"/>
      <c r="W57" s="56"/>
      <c r="X57" s="59"/>
      <c r="Y57" s="59"/>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row>
    <row r="58" spans="1:49" s="57" customFormat="1" ht="30" customHeight="1" x14ac:dyDescent="0.3">
      <c r="A58" s="56"/>
      <c r="B58" s="56"/>
      <c r="C58" s="56"/>
      <c r="D58" s="56"/>
      <c r="E58" s="56"/>
      <c r="F58" s="56"/>
      <c r="G58" s="56"/>
      <c r="H58" s="374" t="s">
        <v>910</v>
      </c>
      <c r="I58" s="375"/>
      <c r="J58" s="375"/>
      <c r="K58" s="375"/>
      <c r="L58" s="375"/>
      <c r="M58" s="375"/>
      <c r="N58" s="375"/>
      <c r="O58" s="375"/>
      <c r="P58" s="375"/>
      <c r="Q58" s="376" t="s">
        <v>981</v>
      </c>
      <c r="R58" s="376"/>
      <c r="S58" s="376"/>
      <c r="T58" s="376" t="s">
        <v>982</v>
      </c>
      <c r="U58" s="376"/>
      <c r="V58" s="377"/>
      <c r="W58" s="56"/>
      <c r="X58" s="59"/>
      <c r="Y58" s="59"/>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row>
    <row r="59" spans="1:49" s="57" customFormat="1" ht="30" customHeight="1" x14ac:dyDescent="0.3">
      <c r="A59" s="56"/>
      <c r="B59" s="56"/>
      <c r="C59" s="56"/>
      <c r="D59" s="56"/>
      <c r="E59" s="56"/>
      <c r="F59" s="56"/>
      <c r="G59" s="56"/>
      <c r="H59" s="483" t="s">
        <v>911</v>
      </c>
      <c r="I59" s="247"/>
      <c r="J59" s="247"/>
      <c r="K59" s="247"/>
      <c r="L59" s="247"/>
      <c r="M59" s="247"/>
      <c r="N59" s="247"/>
      <c r="O59" s="247"/>
      <c r="P59" s="248"/>
      <c r="Q59" s="258">
        <f>SUMIFS(Input[End &amp; Int Inc E&amp;G],Input[System],$Z$2)+SUMIFS(Input[End &amp; Int Inc Desg],Input[System],$Z$2)+SUMIFS(Input[End &amp; Int Inc Aux],Input[System],$Z$2)+SUMIFS(Input[End &amp; Int Inc R Exp],Input[System],$Z$2)+SUMIFS(Input[End &amp; Int Inc Loan],Input[System],$Z$2)+SUMIFS(Input[End &amp; Int Inc Annuity],Input[System],$Z$2)+SUMIFS(Input[End &amp; Int Inc Unexp],Input[System],$Z$2)+SUMIFS(Input[End &amp; Int Inc R of Ind],Input[System],$Z$2)+SUMIFS(Input[End &amp; Int Inc Inv in P],Input[System],$Z$2)</f>
        <v>0</v>
      </c>
      <c r="R59" s="258"/>
      <c r="S59" s="258"/>
      <c r="T59" s="258">
        <f t="shared" ref="T59:T64" si="3">IFERROR(ROUND(Q59/$Z$1,0),0)</f>
        <v>0</v>
      </c>
      <c r="U59" s="258"/>
      <c r="V59" s="357"/>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row>
    <row r="60" spans="1:49" s="57" customFormat="1" ht="30" customHeight="1" x14ac:dyDescent="0.3">
      <c r="A60" s="56"/>
      <c r="B60" s="56"/>
      <c r="C60" s="56"/>
      <c r="D60" s="56"/>
      <c r="E60" s="56"/>
      <c r="F60" s="56"/>
      <c r="G60" s="56"/>
      <c r="H60" s="306" t="s">
        <v>912</v>
      </c>
      <c r="I60" s="255"/>
      <c r="J60" s="255"/>
      <c r="K60" s="255"/>
      <c r="L60" s="255"/>
      <c r="M60" s="255"/>
      <c r="N60" s="255"/>
      <c r="O60" s="255"/>
      <c r="P60" s="256"/>
      <c r="Q60" s="260">
        <f>SUMIFS(Input[Loc Gov G E&amp;G],Input[System],$Z$2)+SUMIFS(Input[Loc Gov G Desg],Input[System],$Z$2)+SUMIFS(Input[Loc Gov G Aux],Input[System],$Z$2)+SUMIFS(Input[Loc Gov G R Exp],Input[System],$Z$2)+SUMIFS(Input[Loc Gov G Loan],Input[System],$Z$2)+SUMIFS(Input[Loc Gov G Annuity],Input[System],$Z$2)+SUMIFS(Input[Loc Gov G Unexp],Input[System],$Z$2)+SUMIFS(Input[Loc Gov G R of Ind],Input[System],$Z$2)+SUMIFS(Input[Loc Gov G Inv in P],Input[System],$Z$2)</f>
        <v>0</v>
      </c>
      <c r="R60" s="260"/>
      <c r="S60" s="260"/>
      <c r="T60" s="455">
        <f t="shared" si="3"/>
        <v>0</v>
      </c>
      <c r="U60" s="456"/>
      <c r="V60" s="457"/>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row>
    <row r="61" spans="1:49" s="57" customFormat="1" ht="30" customHeight="1" x14ac:dyDescent="0.3">
      <c r="A61" s="56"/>
      <c r="B61" s="56"/>
      <c r="C61" s="56"/>
      <c r="D61" s="56"/>
      <c r="E61" s="56"/>
      <c r="F61" s="56"/>
      <c r="G61" s="56"/>
      <c r="H61" s="306" t="s">
        <v>913</v>
      </c>
      <c r="I61" s="255"/>
      <c r="J61" s="255"/>
      <c r="K61" s="255"/>
      <c r="L61" s="255"/>
      <c r="M61" s="255"/>
      <c r="N61" s="255"/>
      <c r="O61" s="255"/>
      <c r="P61" s="256"/>
      <c r="Q61" s="260">
        <f>SUMIFS(Input[Pvt G&amp;G E&amp;G],Input[System],$Z$2)+SUMIFS(Input[Pvt G&amp;G Desg],Input[System],$Z$2)+SUMIFS(Input[Pvt G&amp;G Aux],Input[System],$Z$2)+SUMIFS(Input[Pvt G&amp;G R Exp],Input[System],$Z$2)+SUMIFS(Input[Pvt G&amp;G Loan],Input[System],$Z$2)+SUMIFS(Input[Pvt G&amp;G Annuity],Input[System],$Z$2)+SUMIFS(Input[Pvt G&amp;G Unexp],Input[System],$Z$2)+SUMIFS(Input[Pvt G&amp;G R of Ind],Input[System],$Z$2)+SUMIFS(Input[Pvt G&amp;G Inv in P],Input[System],$Z$2)</f>
        <v>0</v>
      </c>
      <c r="R61" s="260"/>
      <c r="S61" s="260"/>
      <c r="T61" s="455">
        <f t="shared" si="3"/>
        <v>0</v>
      </c>
      <c r="U61" s="456"/>
      <c r="V61" s="457"/>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row>
    <row r="62" spans="1:49" s="57" customFormat="1" ht="30" customHeight="1" x14ac:dyDescent="0.3">
      <c r="A62" s="56"/>
      <c r="B62" s="56"/>
      <c r="C62" s="56"/>
      <c r="D62" s="56"/>
      <c r="E62" s="56"/>
      <c r="F62" s="56"/>
      <c r="G62" s="56"/>
      <c r="H62" s="306" t="s">
        <v>914</v>
      </c>
      <c r="I62" s="255"/>
      <c r="J62" s="255"/>
      <c r="K62" s="255"/>
      <c r="L62" s="255"/>
      <c r="M62" s="255"/>
      <c r="N62" s="255"/>
      <c r="O62" s="255"/>
      <c r="P62" s="256"/>
      <c r="Q62" s="260">
        <f>SUMIFS(Input[S&amp;S E&amp;G],Input[System],$Z$2)+SUMIFS(Input[S&amp;S Desg],Input[System],$Z$2)+SUMIFS(Input[S&amp;S Aux],Input[System],$Z$2)+SUMIFS(Input[S&amp;S R Exp],Input[System],$Z$2)+SUMIFS(Input[S&amp;S Loan],Input[System],$Z$2)+SUMIFS(Input[S&amp;S Annuity],Input[System],$Z$2)+SUMIFS(Input[S&amp;S Unexp],Input[System],$Z$2)+SUMIFS(Input[S&amp;S R of Ind],Input[System],$Z$2)+SUMIFS(Input[S&amp;S Inv in P],Input[System],$Z$2)</f>
        <v>0</v>
      </c>
      <c r="R62" s="260"/>
      <c r="S62" s="260"/>
      <c r="T62" s="455">
        <f t="shared" si="3"/>
        <v>0</v>
      </c>
      <c r="U62" s="456"/>
      <c r="V62" s="457"/>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row>
    <row r="63" spans="1:49" s="57" customFormat="1" ht="30" customHeight="1" x14ac:dyDescent="0.3">
      <c r="A63" s="56"/>
      <c r="B63" s="56"/>
      <c r="C63" s="56"/>
      <c r="D63" s="56"/>
      <c r="E63" s="56"/>
      <c r="F63" s="56"/>
      <c r="G63" s="56"/>
      <c r="H63" s="306" t="s">
        <v>915</v>
      </c>
      <c r="I63" s="255"/>
      <c r="J63" s="255"/>
      <c r="K63" s="255"/>
      <c r="L63" s="255"/>
      <c r="M63" s="255"/>
      <c r="N63" s="255"/>
      <c r="O63" s="255"/>
      <c r="P63" s="256"/>
      <c r="Q63" s="260">
        <f>SUMIFS(Input[Net Aux Ent E&amp;G],Input[System],$Z$2)+SUMIFS(Input[Net Aux Ent Desg],Input[System],$Z$2)+SUMIFS(Input[Net Aux Ent Aux],Input[System],$Z$2)+SUMIFS(Input[Net Aux Ent R Exp],Input[System],$Z$2)+SUMIFS(Input[Net Aux Ent Loan],Input[System],$Z$2)+SUMIFS(Input[Net Aux Ent Annuity],Input[System],$Z$2)+SUMIFS(Input[Net Aux Ent Unexp],Input[System],$Z$2)+SUMIFS(Input[Net Aux Ent R of Ind],Input[System],$Z$2)+SUMIFS(Input[Net Aux Ent Inv in P],Input[System],$Z$2)</f>
        <v>0</v>
      </c>
      <c r="R63" s="260"/>
      <c r="S63" s="260"/>
      <c r="T63" s="455">
        <f t="shared" si="3"/>
        <v>0</v>
      </c>
      <c r="U63" s="456"/>
      <c r="V63" s="457"/>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row>
    <row r="64" spans="1:49" s="57" customFormat="1" ht="30" customHeight="1" x14ac:dyDescent="0.3">
      <c r="A64" s="56"/>
      <c r="B64" s="56"/>
      <c r="C64" s="56"/>
      <c r="D64" s="56"/>
      <c r="E64" s="56"/>
      <c r="F64" s="56"/>
      <c r="G64" s="56"/>
      <c r="H64" s="306" t="s">
        <v>916</v>
      </c>
      <c r="I64" s="255"/>
      <c r="J64" s="255"/>
      <c r="K64" s="255"/>
      <c r="L64" s="255"/>
      <c r="M64" s="255"/>
      <c r="N64" s="255"/>
      <c r="O64" s="255"/>
      <c r="P64" s="256"/>
      <c r="Q64" s="260">
        <f>SUMIFS(Input[Oth Inc E&amp;G],Input[System],$Z$2)+SUMIFS(Input[Oth Inc Desg],Input[System],$Z$2)+SUMIFS(Input[Oth Inc Aux],Input[System],$Z$2)+SUMIFS(Input[Oth Inc R Exp],Input[System],$Z$2)+SUMIFS(Input[Oth Inc Loan],Input[System],$Z$2)+SUMIFS(Input[Oth Inc Annuity],Input[System],$Z$2)+SUMIFS(Input[Oth Inc Unexp],Input[System],$Z$2)+SUMIFS(Input[Oth Inc R of Ind],Input[System],$Z$2)+SUMIFS(Input[Oth Inc Inv in P],Input[System],$Z$2)</f>
        <v>0</v>
      </c>
      <c r="R64" s="260"/>
      <c r="S64" s="260"/>
      <c r="T64" s="458">
        <f t="shared" si="3"/>
        <v>0</v>
      </c>
      <c r="U64" s="459"/>
      <c r="V64" s="460"/>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row>
    <row r="65" spans="1:49" s="57" customFormat="1" ht="30" customHeight="1" x14ac:dyDescent="0.3">
      <c r="A65" s="56"/>
      <c r="B65" s="56"/>
      <c r="C65" s="56"/>
      <c r="D65" s="56"/>
      <c r="E65" s="56"/>
      <c r="F65" s="56"/>
      <c r="G65" s="56"/>
      <c r="H65" s="323" t="s">
        <v>917</v>
      </c>
      <c r="I65" s="324"/>
      <c r="J65" s="324"/>
      <c r="K65" s="324"/>
      <c r="L65" s="324"/>
      <c r="M65" s="324"/>
      <c r="N65" s="324"/>
      <c r="O65" s="324"/>
      <c r="P65" s="324"/>
      <c r="Q65" s="329">
        <f>SUM(Q59:S64)</f>
        <v>0</v>
      </c>
      <c r="R65" s="329"/>
      <c r="S65" s="329"/>
      <c r="T65" s="329">
        <f>SUM(T59:V64)</f>
        <v>0</v>
      </c>
      <c r="U65" s="329"/>
      <c r="V65" s="330"/>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row>
    <row r="66" spans="1:49" s="57" customFormat="1" ht="30" customHeight="1" x14ac:dyDescent="0.3">
      <c r="A66" s="56"/>
      <c r="B66" s="56"/>
      <c r="C66" s="56"/>
      <c r="D66" s="56"/>
      <c r="E66" s="56"/>
      <c r="F66" s="56"/>
      <c r="G66" s="56"/>
      <c r="H66" s="59"/>
      <c r="I66" s="59"/>
      <c r="J66" s="59"/>
      <c r="K66" s="59"/>
      <c r="L66" s="59"/>
      <c r="M66" s="59"/>
      <c r="N66" s="59"/>
      <c r="O66" s="59"/>
      <c r="P66" s="59"/>
      <c r="Q66" s="80"/>
      <c r="R66" s="80"/>
      <c r="S66" s="80"/>
      <c r="T66" s="80"/>
      <c r="U66" s="80"/>
      <c r="V66" s="80"/>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row>
    <row r="67" spans="1:49" s="57" customFormat="1" ht="30" customHeight="1" x14ac:dyDescent="0.3">
      <c r="A67" s="56"/>
      <c r="B67" s="56"/>
      <c r="C67" s="56"/>
      <c r="D67" s="56"/>
      <c r="E67" s="56"/>
      <c r="F67" s="56"/>
      <c r="G67" s="56"/>
      <c r="H67" s="369" t="s">
        <v>918</v>
      </c>
      <c r="I67" s="370"/>
      <c r="J67" s="370"/>
      <c r="K67" s="370"/>
      <c r="L67" s="370"/>
      <c r="M67" s="370"/>
      <c r="N67" s="370"/>
      <c r="O67" s="370"/>
      <c r="P67" s="370"/>
      <c r="Q67" s="367">
        <f>SUM(Q14,Q30,Q45,Q50,Q53,Q56,Q65)</f>
        <v>0</v>
      </c>
      <c r="R67" s="367"/>
      <c r="S67" s="367"/>
      <c r="T67" s="367">
        <f>SUM(T14,T30,T45,T50,T53,T56,T65)</f>
        <v>0</v>
      </c>
      <c r="U67" s="367"/>
      <c r="V67" s="368"/>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row>
    <row r="68" spans="1:49" s="57" customFormat="1" ht="30" customHeight="1" x14ac:dyDescent="0.3">
      <c r="A68" s="56"/>
      <c r="B68" s="56"/>
      <c r="C68" s="56"/>
      <c r="D68" s="56"/>
      <c r="E68" s="56"/>
      <c r="F68" s="56"/>
      <c r="G68" s="56"/>
      <c r="H68" s="59"/>
      <c r="I68" s="59"/>
      <c r="J68" s="59"/>
      <c r="K68" s="59"/>
      <c r="L68" s="59"/>
      <c r="M68" s="59"/>
      <c r="N68" s="59"/>
      <c r="O68" s="59"/>
      <c r="P68" s="59"/>
      <c r="Q68" s="80"/>
      <c r="R68" s="80"/>
      <c r="S68" s="80"/>
      <c r="T68" s="80"/>
      <c r="U68" s="80"/>
      <c r="V68" s="80"/>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row>
    <row r="69" spans="1:49" s="57" customFormat="1" ht="30" customHeight="1" thickBot="1" x14ac:dyDescent="0.35">
      <c r="A69" s="56"/>
      <c r="B69" s="56"/>
      <c r="C69" s="56"/>
      <c r="D69" s="56"/>
      <c r="E69" s="56"/>
      <c r="F69" s="56"/>
      <c r="G69" s="56"/>
      <c r="H69" s="480" t="s">
        <v>919</v>
      </c>
      <c r="I69" s="481"/>
      <c r="J69" s="481"/>
      <c r="K69" s="481"/>
      <c r="L69" s="481"/>
      <c r="M69" s="481"/>
      <c r="N69" s="481"/>
      <c r="O69" s="481"/>
      <c r="P69" s="481"/>
      <c r="Q69" s="481"/>
      <c r="R69" s="481"/>
      <c r="S69" s="481"/>
      <c r="T69" s="481"/>
      <c r="U69" s="481"/>
      <c r="V69" s="482"/>
      <c r="W69" s="56"/>
      <c r="X69" s="445" t="s">
        <v>1002</v>
      </c>
      <c r="Y69" s="446"/>
      <c r="Z69" s="446"/>
      <c r="AA69" s="446"/>
      <c r="AB69" s="446"/>
      <c r="AC69" s="446"/>
      <c r="AD69" s="446"/>
      <c r="AE69" s="446"/>
      <c r="AF69" s="446"/>
      <c r="AG69" s="446"/>
      <c r="AH69" s="446"/>
      <c r="AI69" s="446"/>
      <c r="AJ69" s="447"/>
      <c r="AK69" s="71"/>
      <c r="AL69" s="445" t="s">
        <v>1003</v>
      </c>
      <c r="AM69" s="446"/>
      <c r="AN69" s="446"/>
      <c r="AO69" s="446"/>
      <c r="AP69" s="446"/>
      <c r="AQ69" s="446"/>
      <c r="AR69" s="446"/>
      <c r="AS69" s="446"/>
      <c r="AT69" s="446"/>
      <c r="AU69" s="447"/>
      <c r="AV69" s="56"/>
      <c r="AW69" s="56"/>
    </row>
    <row r="70" spans="1:49" s="57" customFormat="1" ht="30" customHeight="1" thickBot="1" x14ac:dyDescent="0.35">
      <c r="A70" s="56"/>
      <c r="B70" s="56"/>
      <c r="C70" s="56"/>
      <c r="D70" s="56"/>
      <c r="E70" s="56"/>
      <c r="F70" s="56"/>
      <c r="G70" s="56"/>
      <c r="H70" s="477" t="s">
        <v>920</v>
      </c>
      <c r="I70" s="236"/>
      <c r="J70" s="236"/>
      <c r="K70" s="236"/>
      <c r="L70" s="236"/>
      <c r="M70" s="236"/>
      <c r="N70" s="236"/>
      <c r="O70" s="236"/>
      <c r="P70" s="236"/>
      <c r="Q70" s="478" t="s">
        <v>981</v>
      </c>
      <c r="R70" s="478"/>
      <c r="S70" s="478"/>
      <c r="T70" s="478" t="s">
        <v>982</v>
      </c>
      <c r="U70" s="478"/>
      <c r="V70" s="479"/>
      <c r="W70" s="56"/>
      <c r="X70" s="448" t="s">
        <v>920</v>
      </c>
      <c r="Y70" s="433"/>
      <c r="Z70" s="433"/>
      <c r="AA70" s="433"/>
      <c r="AB70" s="433"/>
      <c r="AC70" s="433"/>
      <c r="AD70" s="433"/>
      <c r="AE70" s="434" t="s">
        <v>1004</v>
      </c>
      <c r="AF70" s="435"/>
      <c r="AG70" s="435"/>
      <c r="AH70" s="434" t="s">
        <v>1005</v>
      </c>
      <c r="AI70" s="435"/>
      <c r="AJ70" s="449"/>
      <c r="AK70" s="71"/>
      <c r="AL70" s="448" t="s">
        <v>920</v>
      </c>
      <c r="AM70" s="433"/>
      <c r="AN70" s="433"/>
      <c r="AO70" s="433"/>
      <c r="AP70" s="433"/>
      <c r="AQ70" s="433"/>
      <c r="AR70" s="433"/>
      <c r="AS70" s="434" t="s">
        <v>985</v>
      </c>
      <c r="AT70" s="435"/>
      <c r="AU70" s="449"/>
      <c r="AV70" s="56"/>
      <c r="AW70" s="56"/>
    </row>
    <row r="71" spans="1:49" s="57" customFormat="1" ht="30" customHeight="1" x14ac:dyDescent="0.3">
      <c r="A71" s="56"/>
      <c r="B71" s="56"/>
      <c r="C71" s="56"/>
      <c r="D71" s="56"/>
      <c r="E71" s="56"/>
      <c r="F71" s="56"/>
      <c r="G71" s="56"/>
      <c r="H71" s="306" t="s">
        <v>921</v>
      </c>
      <c r="I71" s="255"/>
      <c r="J71" s="255"/>
      <c r="K71" s="255"/>
      <c r="L71" s="255"/>
      <c r="M71" s="255"/>
      <c r="N71" s="255"/>
      <c r="O71" s="255"/>
      <c r="P71" s="256"/>
      <c r="Q71" s="258">
        <f>SUMIFS(Input[Instr E&amp;G],Input[System],$Z$2)+SUMIFS(Input[Instr Desg],Input[System],$Z$2)+SUMIFS(Input[Instr Aux],Input[System],$Z$2)+SUMIFS(Input[Instr R Exp],Input[System],$Z$2)+SUMIFS(Input[Instr Loan],Input[System],$Z$2)+SUMIFS(Input[Instr Annuity],Input[System],$Z$2)+SUMIFS(Input[Instr Unexp],Input[System],$Z$2)+SUMIFS(Input[Instr R of Ind],Input[System],$Z$2)+SUMIFS(Input[Instr Inv in P],Input[System],$Z$2)</f>
        <v>0</v>
      </c>
      <c r="R71" s="258"/>
      <c r="S71" s="258"/>
      <c r="T71" s="258">
        <f>IFERROR(ROUND(Q71/$Z$1,0),0)</f>
        <v>0</v>
      </c>
      <c r="U71" s="258"/>
      <c r="V71" s="357"/>
      <c r="W71" s="56"/>
      <c r="X71" s="470" t="s">
        <v>921</v>
      </c>
      <c r="Y71" s="471"/>
      <c r="Z71" s="471"/>
      <c r="AA71" s="471"/>
      <c r="AB71" s="471"/>
      <c r="AC71" s="471"/>
      <c r="AD71" s="472"/>
      <c r="AE71" s="473">
        <f>SUMIFS(Input[SRECNA Inst.],Input[System],$Z$2)</f>
        <v>0</v>
      </c>
      <c r="AF71" s="474"/>
      <c r="AG71" s="475"/>
      <c r="AH71" s="476">
        <f t="shared" ref="AH71:AH80" si="4">SUM(AD71,-P71)</f>
        <v>0</v>
      </c>
      <c r="AI71" s="476"/>
      <c r="AJ71" s="476"/>
      <c r="AK71" s="71"/>
      <c r="AL71" s="141" t="str" cm="1">
        <f t="array" ref="AL71">_xlfn.XLOOKUP(IFERROR(LARGE(_xlfn._xlws.FILTER($AE$71:$AE$80, $AE$71:$AE$80&gt;0), 1), ""),$AE$71:$AE$80,$X$71:$X$80,"",0,-1)</f>
        <v/>
      </c>
      <c r="AM71" s="75"/>
      <c r="AN71" s="75"/>
      <c r="AO71" s="75"/>
      <c r="AP71" s="75"/>
      <c r="AQ71" s="75"/>
      <c r="AR71" s="76"/>
      <c r="AS71" s="450">
        <f>_xlfn.XLOOKUP(AL71,$X$71:$X$80,$AE$71:$AE$80,0,0,1)</f>
        <v>0</v>
      </c>
      <c r="AT71" s="450"/>
      <c r="AU71" s="450"/>
      <c r="AV71" s="56"/>
      <c r="AW71" s="56"/>
    </row>
    <row r="72" spans="1:49" s="57" customFormat="1" ht="30" customHeight="1" x14ac:dyDescent="0.25">
      <c r="A72" s="56"/>
      <c r="B72" s="56"/>
      <c r="C72" s="56"/>
      <c r="D72" s="56"/>
      <c r="E72" s="56"/>
      <c r="F72" s="56"/>
      <c r="G72" s="56"/>
      <c r="H72" s="306" t="s">
        <v>922</v>
      </c>
      <c r="I72" s="255"/>
      <c r="J72" s="255"/>
      <c r="K72" s="255"/>
      <c r="L72" s="255"/>
      <c r="M72" s="255"/>
      <c r="N72" s="255"/>
      <c r="O72" s="255"/>
      <c r="P72" s="256"/>
      <c r="Q72" s="260">
        <f>SUMIFS(Input[Res E&amp;G],Input[System],$Z$2)+SUMIFS(Input[Res Desg],Input[System],$Z$2)+SUMIFS(Input[Res Aux],Input[System],$Z$2)+SUMIFS(Input[Res R Exp],Input[System],$Z$2)+SUMIFS(Input[Res Loan],Input[System],$Z$2)+SUMIFS(Input[Res Annuity],Input[System],$Z$2)+SUMIFS(Input[Res Unexp],Input[System],$Z$2)+SUMIFS(Input[Res R of Ind],Input[System],$Z$2)+SUMIFS(Input[Res Inv in P],Input[System],$Z$2)</f>
        <v>0</v>
      </c>
      <c r="R72" s="260"/>
      <c r="S72" s="260"/>
      <c r="T72" s="455">
        <f t="shared" ref="T72:T82" si="5">IFERROR(ROUND(Q72/$Z$1,0),0)</f>
        <v>0</v>
      </c>
      <c r="U72" s="456"/>
      <c r="V72" s="457"/>
      <c r="W72" s="56"/>
      <c r="X72" s="464" t="s">
        <v>922</v>
      </c>
      <c r="Y72" s="465"/>
      <c r="Z72" s="465"/>
      <c r="AA72" s="465"/>
      <c r="AB72" s="465"/>
      <c r="AC72" s="465"/>
      <c r="AD72" s="466"/>
      <c r="AE72" s="467">
        <f>SUMIFS(Input[SRECNA Resh],Input[System],$Z$2)</f>
        <v>0</v>
      </c>
      <c r="AF72" s="468"/>
      <c r="AG72" s="469"/>
      <c r="AH72" s="428">
        <f t="shared" si="4"/>
        <v>0</v>
      </c>
      <c r="AI72" s="428"/>
      <c r="AJ72" s="428"/>
      <c r="AK72" s="72"/>
      <c r="AL72" s="134" t="str" cm="1">
        <f t="array" ref="AL72">_xlfn.XLOOKUP(IFERROR(LARGE(_xlfn._xlws.FILTER($AE$71:$AE$80, $AE$71:$AE$80&gt;0), 2), ""),$AE$71:$AE$80,$X$71:$X$80,"",0,-1)</f>
        <v/>
      </c>
      <c r="AM72" s="67"/>
      <c r="AN72" s="67"/>
      <c r="AO72" s="67"/>
      <c r="AP72" s="67"/>
      <c r="AQ72" s="67"/>
      <c r="AR72" s="68"/>
      <c r="AS72" s="423">
        <f>_xlfn.XLOOKUP(AL72,$X$71:$X$80,$AE$71:$AE$80,0,0,1)</f>
        <v>0</v>
      </c>
      <c r="AT72" s="424"/>
      <c r="AU72" s="451"/>
      <c r="AV72" s="56"/>
      <c r="AW72" s="56"/>
    </row>
    <row r="73" spans="1:49" s="57" customFormat="1" ht="30" customHeight="1" x14ac:dyDescent="0.25">
      <c r="A73" s="56"/>
      <c r="B73" s="56"/>
      <c r="C73" s="56"/>
      <c r="D73" s="56"/>
      <c r="E73" s="56"/>
      <c r="F73" s="56"/>
      <c r="G73" s="56"/>
      <c r="H73" s="306" t="s">
        <v>923</v>
      </c>
      <c r="I73" s="255"/>
      <c r="J73" s="255"/>
      <c r="K73" s="255"/>
      <c r="L73" s="255"/>
      <c r="M73" s="255"/>
      <c r="N73" s="255"/>
      <c r="O73" s="255"/>
      <c r="P73" s="256"/>
      <c r="Q73" s="260">
        <f>SUMIFS(Input[Pub Srv E&amp;G],Input[System],$Z$2)+SUMIFS(Input[Pub Srv Desg],Input[System],$Z$2)+SUMIFS(Input[Pub Srv Aux],Input[System],$Z$2)+SUMIFS(Input[Pub Srv R Exp],Input[System],$Z$2)+SUMIFS(Input[Pub Srv Loan],Input[System],$Z$2)+SUMIFS(Input[Pub Srv Annuity],Input[System],$Z$2)+SUMIFS(Input[Pub Srv Unexp],Input[System],$Z$2)+SUMIFS(Input[Pub Srv R of Ind],Input[System],$Z$2)+SUMIFS(Input[Pub Srv Inv in P],Input[System],$Z$2)</f>
        <v>0</v>
      </c>
      <c r="R73" s="260"/>
      <c r="S73" s="260"/>
      <c r="T73" s="455">
        <f t="shared" si="5"/>
        <v>0</v>
      </c>
      <c r="U73" s="456"/>
      <c r="V73" s="457"/>
      <c r="W73" s="56"/>
      <c r="X73" s="464" t="s">
        <v>923</v>
      </c>
      <c r="Y73" s="465"/>
      <c r="Z73" s="465"/>
      <c r="AA73" s="465"/>
      <c r="AB73" s="465"/>
      <c r="AC73" s="465"/>
      <c r="AD73" s="466"/>
      <c r="AE73" s="467">
        <f>SUMIFS(Input[SRECNA Pub Svc],Input[System],$Z$2)</f>
        <v>0</v>
      </c>
      <c r="AF73" s="468"/>
      <c r="AG73" s="469"/>
      <c r="AH73" s="428">
        <f t="shared" si="4"/>
        <v>0</v>
      </c>
      <c r="AI73" s="428"/>
      <c r="AJ73" s="428"/>
      <c r="AK73" s="73"/>
      <c r="AL73" s="134" t="str" cm="1">
        <f t="array" ref="AL73">_xlfn.XLOOKUP(IFERROR(LARGE(_xlfn._xlws.FILTER($AE$71:$AE$80, $AE$71:$AE$80&gt;0), 3), ""),$AE$71:$AE$80,$X$71:$X$80,"",0,-1)</f>
        <v/>
      </c>
      <c r="AM73" s="67"/>
      <c r="AN73" s="67"/>
      <c r="AO73" s="67"/>
      <c r="AP73" s="67"/>
      <c r="AQ73" s="67"/>
      <c r="AR73" s="68"/>
      <c r="AS73" s="423">
        <f>_xlfn.XLOOKUP(AL73,$X$71:$X$80,$AE$71:$AE$80,0,0,1)</f>
        <v>0</v>
      </c>
      <c r="AT73" s="424"/>
      <c r="AU73" s="451"/>
      <c r="AV73" s="56"/>
      <c r="AW73" s="56"/>
    </row>
    <row r="74" spans="1:49" s="57" customFormat="1" ht="30" customHeight="1" x14ac:dyDescent="0.25">
      <c r="A74" s="56"/>
      <c r="B74" s="56"/>
      <c r="C74" s="56"/>
      <c r="D74" s="56"/>
      <c r="E74" s="56"/>
      <c r="F74" s="56"/>
      <c r="G74" s="56"/>
      <c r="H74" s="306" t="s">
        <v>909</v>
      </c>
      <c r="I74" s="255"/>
      <c r="J74" s="255"/>
      <c r="K74" s="255"/>
      <c r="L74" s="255"/>
      <c r="M74" s="255"/>
      <c r="N74" s="255"/>
      <c r="O74" s="255"/>
      <c r="P74" s="256"/>
      <c r="Q74" s="260">
        <f>SUMIFS(Input[H&amp;C (OU) E&amp;G],Input[System],$Z$2)+SUMIFS(Input[H&amp;C (OU) Desg],Input[System],$Z$2)+SUMIFS(Input[H&amp;C (OU) Aux],Input[System],$Z$2)+SUMIFS(Input[H&amp;C (OU) R Exp],Input[System],$Z$2)+SUMIFS(Input[H&amp;C (OU) Loan],Input[System],$Z$2)+SUMIFS(Input[H&amp;C (OU) Annuity],Input[System],$Z$2)+SUMIFS(Input[H&amp;C (OU) Unexp],Input[System],$Z$2)+SUMIFS(Input[H&amp;C (OU) R of Ind],Input[System],$Z$2)+SUMIFS(Input[H&amp;C (OU) Inv in P],Input[System],$Z$2)</f>
        <v>0</v>
      </c>
      <c r="R74" s="260"/>
      <c r="S74" s="260"/>
      <c r="T74" s="455">
        <f t="shared" si="5"/>
        <v>0</v>
      </c>
      <c r="U74" s="456"/>
      <c r="V74" s="457"/>
      <c r="W74" s="56"/>
      <c r="X74" s="464" t="s">
        <v>909</v>
      </c>
      <c r="Y74" s="465"/>
      <c r="Z74" s="465"/>
      <c r="AA74" s="465"/>
      <c r="AB74" s="465"/>
      <c r="AC74" s="465"/>
      <c r="AD74" s="466"/>
      <c r="AE74" s="467">
        <f>SUMIFS(Input[SRECNA H&amp;C],Input[System],$Z$2)</f>
        <v>0</v>
      </c>
      <c r="AF74" s="468"/>
      <c r="AG74" s="469"/>
      <c r="AH74" s="428">
        <f t="shared" si="4"/>
        <v>0</v>
      </c>
      <c r="AI74" s="428"/>
      <c r="AJ74" s="428"/>
      <c r="AK74" s="73"/>
      <c r="AL74" s="134" t="str" cm="1">
        <f t="array" ref="AL74">_xlfn.XLOOKUP(IFERROR(LARGE(_xlfn._xlws.FILTER($AE$71:$AE$80, $AE$71:$AE$80&gt;0), 4), ""),$AE$71:$AE$80,$X$71:$X$80,"",0,-1)</f>
        <v/>
      </c>
      <c r="AM74" s="67"/>
      <c r="AN74" s="67"/>
      <c r="AO74" s="67"/>
      <c r="AP74" s="67"/>
      <c r="AQ74" s="67"/>
      <c r="AR74" s="68"/>
      <c r="AS74" s="423">
        <f>_xlfn.XLOOKUP(AL74,$X$71:$X$80,$AE$71:$AE$80,0,0,1)</f>
        <v>0</v>
      </c>
      <c r="AT74" s="424"/>
      <c r="AU74" s="451"/>
      <c r="AV74" s="56"/>
      <c r="AW74" s="56"/>
    </row>
    <row r="75" spans="1:49" s="57" customFormat="1" ht="30" customHeight="1" x14ac:dyDescent="0.25">
      <c r="A75" s="56"/>
      <c r="B75" s="56"/>
      <c r="C75" s="56"/>
      <c r="D75" s="56"/>
      <c r="E75" s="56"/>
      <c r="F75" s="56"/>
      <c r="G75" s="56"/>
      <c r="H75" s="306" t="s">
        <v>924</v>
      </c>
      <c r="I75" s="255"/>
      <c r="J75" s="255"/>
      <c r="K75" s="255"/>
      <c r="L75" s="255"/>
      <c r="M75" s="255"/>
      <c r="N75" s="255"/>
      <c r="O75" s="255"/>
      <c r="P75" s="256"/>
      <c r="Q75" s="260">
        <f>SUMIFS(Input[Acad Sup E&amp;G],Input[System],$Z$2)+SUMIFS(Input[Acad Sup Desg],Input[System],$Z$2)+SUMIFS(Input[Acad Sup Aux],Input[System],$Z$2)+SUMIFS(Input[Acad Sup R Exp],Input[System],$Z$2)+SUMIFS(Input[Acad Sup Loan],Input[System],$Z$2)+SUMIFS(Input[Acad Sup Annuity],Input[System],$Z$2)+SUMIFS(Input[Acad Sup Unexp],Input[System],$Z$2)+SUMIFS(Input[Acad Sup R of Ind],Input[System],$Z$2)+SUMIFS(Input[Acad Sup Inv in P],Input[System],$Z$2)</f>
        <v>0</v>
      </c>
      <c r="R75" s="260"/>
      <c r="S75" s="260"/>
      <c r="T75" s="455">
        <f t="shared" si="5"/>
        <v>0</v>
      </c>
      <c r="U75" s="456"/>
      <c r="V75" s="457"/>
      <c r="W75" s="56"/>
      <c r="X75" s="464" t="s">
        <v>924</v>
      </c>
      <c r="Y75" s="465"/>
      <c r="Z75" s="465"/>
      <c r="AA75" s="465"/>
      <c r="AB75" s="465"/>
      <c r="AC75" s="465"/>
      <c r="AD75" s="466"/>
      <c r="AE75" s="467">
        <f>SUMIFS(Input[SRECNA Aca Sppt],Input[System],$Z$2)</f>
        <v>0</v>
      </c>
      <c r="AF75" s="468"/>
      <c r="AG75" s="469"/>
      <c r="AH75" s="428">
        <f t="shared" si="4"/>
        <v>0</v>
      </c>
      <c r="AI75" s="428"/>
      <c r="AJ75" s="428"/>
      <c r="AK75" s="73"/>
      <c r="AL75" s="133" t="str" cm="1">
        <f t="array" ref="AL75">_xlfn.XLOOKUP(IFERROR(LARGE(_xlfn._xlws.FILTER($AE$71:$AE$80, $AE$71:$AE$80&gt;0), 5), ""),$AE$71:$AE$80,$X$71:$X$80,"",0,-1)</f>
        <v/>
      </c>
      <c r="AM75" s="81"/>
      <c r="AN75" s="81"/>
      <c r="AO75" s="81"/>
      <c r="AP75" s="81"/>
      <c r="AQ75" s="81"/>
      <c r="AR75" s="82"/>
      <c r="AS75" s="452">
        <f>_xlfn.XLOOKUP(AL75,$X$71:$X$80,$AE$71:$AE$80,0,0,1)</f>
        <v>0</v>
      </c>
      <c r="AT75" s="453"/>
      <c r="AU75" s="454"/>
      <c r="AV75" s="56"/>
      <c r="AW75" s="56"/>
    </row>
    <row r="76" spans="1:49" s="57" customFormat="1" ht="30" customHeight="1" x14ac:dyDescent="0.3">
      <c r="A76" s="56"/>
      <c r="B76" s="56"/>
      <c r="C76" s="56"/>
      <c r="D76" s="56"/>
      <c r="E76" s="56"/>
      <c r="F76" s="56"/>
      <c r="G76" s="56"/>
      <c r="H76" s="306" t="s">
        <v>925</v>
      </c>
      <c r="I76" s="255"/>
      <c r="J76" s="255"/>
      <c r="K76" s="255"/>
      <c r="L76" s="255"/>
      <c r="M76" s="255"/>
      <c r="N76" s="255"/>
      <c r="O76" s="255"/>
      <c r="P76" s="256"/>
      <c r="Q76" s="260">
        <f>SUMIFS(Input[Stu Svc E&amp;G],Input[System],$Z$2)+SUMIFS(Input[Stu Svc Desg],Input[System],$Z$2)+SUMIFS(Input[Stu Svc Aux],Input[System],$Z$2)+SUMIFS(Input[Stu Svc R Exp],Input[System],$Z$2)+SUMIFS(Input[Stu Svc Loan],Input[System],$Z$2)+SUMIFS(Input[Stu Svc Annuity],Input[System],$Z$2)+SUMIFS(Input[Stu Svc Unexp],Input[System],$Z$2)+SUMIFS(Input[Stu Svc R of Ind],Input[System],$Z$2)+SUMIFS(Input[Stu Svc Inv in P],Input[System],$Z$2)</f>
        <v>0</v>
      </c>
      <c r="R76" s="260"/>
      <c r="S76" s="260"/>
      <c r="T76" s="455">
        <f t="shared" si="5"/>
        <v>0</v>
      </c>
      <c r="U76" s="456"/>
      <c r="V76" s="457"/>
      <c r="W76" s="56"/>
      <c r="X76" s="464" t="s">
        <v>925</v>
      </c>
      <c r="Y76" s="465"/>
      <c r="Z76" s="465"/>
      <c r="AA76" s="465"/>
      <c r="AB76" s="465"/>
      <c r="AC76" s="465"/>
      <c r="AD76" s="466"/>
      <c r="AE76" s="467">
        <f>SUMIFS(Input[SRECNA Stu Svcs],Input[System],$Z$2)</f>
        <v>0</v>
      </c>
      <c r="AF76" s="468"/>
      <c r="AG76" s="469"/>
      <c r="AH76" s="428">
        <f t="shared" si="4"/>
        <v>0</v>
      </c>
      <c r="AI76" s="428"/>
      <c r="AJ76" s="428"/>
      <c r="AK76" s="74"/>
      <c r="AL76" s="77"/>
      <c r="AM76" s="77"/>
      <c r="AN76" s="77"/>
      <c r="AO76" s="77"/>
      <c r="AP76" s="77"/>
      <c r="AQ76" s="77"/>
      <c r="AR76" s="77"/>
      <c r="AS76" s="77"/>
      <c r="AT76" s="77"/>
      <c r="AU76" s="77"/>
      <c r="AV76" s="56"/>
      <c r="AW76" s="56"/>
    </row>
    <row r="77" spans="1:49" s="57" customFormat="1" ht="30" customHeight="1" x14ac:dyDescent="0.25">
      <c r="A77" s="56"/>
      <c r="B77" s="56"/>
      <c r="C77" s="56"/>
      <c r="D77" s="56"/>
      <c r="E77" s="56"/>
      <c r="F77" s="56"/>
      <c r="G77" s="56"/>
      <c r="H77" s="306" t="s">
        <v>926</v>
      </c>
      <c r="I77" s="255"/>
      <c r="J77" s="255"/>
      <c r="K77" s="255"/>
      <c r="L77" s="255"/>
      <c r="M77" s="255"/>
      <c r="N77" s="255"/>
      <c r="O77" s="255"/>
      <c r="P77" s="256"/>
      <c r="Q77" s="260">
        <f>SUMIFS(Input[Inst. Spt E&amp;G],Input[System],$Z$2)+SUMIFS(Input[Inst. Spt Desg],Input[System],$Z$2)+SUMIFS(Input[Inst. Spt Aux],Input[System],$Z$2)+SUMIFS(Input[Inst. Spt R Exp],Input[System],$Z$2)+SUMIFS(Input[Inst. Spt Loan],Input[System],$Z$2)+SUMIFS(Input[Inst. Spt Annuity],Input[System],$Z$2)+SUMIFS(Input[Inst. Spt Unexp],Input[System],$Z$2)+SUMIFS(Input[Inst. Spt R of Ind],Input[System],$Z$2)+SUMIFS(Input[Inst. Spt Inv in P],Input[System],$Z$2)</f>
        <v>0</v>
      </c>
      <c r="R77" s="260"/>
      <c r="S77" s="260"/>
      <c r="T77" s="455">
        <f t="shared" si="5"/>
        <v>0</v>
      </c>
      <c r="U77" s="456"/>
      <c r="V77" s="457"/>
      <c r="W77" s="56"/>
      <c r="X77" s="464" t="s">
        <v>926</v>
      </c>
      <c r="Y77" s="465"/>
      <c r="Z77" s="465"/>
      <c r="AA77" s="465"/>
      <c r="AB77" s="465"/>
      <c r="AC77" s="465"/>
      <c r="AD77" s="466"/>
      <c r="AE77" s="467">
        <f>SUMIFS(Input[SRECNA Inst. Sppt],Input[System],$Z$2)</f>
        <v>0</v>
      </c>
      <c r="AF77" s="468"/>
      <c r="AG77" s="469"/>
      <c r="AH77" s="428">
        <f t="shared" si="4"/>
        <v>0</v>
      </c>
      <c r="AI77" s="428"/>
      <c r="AJ77" s="428"/>
      <c r="AK77" s="73"/>
      <c r="AL77" s="77"/>
      <c r="AM77" s="77"/>
      <c r="AN77" s="77"/>
      <c r="AO77" s="77"/>
      <c r="AP77" s="77"/>
      <c r="AQ77" s="77"/>
      <c r="AR77" s="77"/>
      <c r="AS77" s="77"/>
      <c r="AT77" s="77"/>
      <c r="AU77" s="77"/>
      <c r="AV77" s="56"/>
      <c r="AW77" s="56"/>
    </row>
    <row r="78" spans="1:49" s="57" customFormat="1" ht="30" customHeight="1" x14ac:dyDescent="0.25">
      <c r="A78" s="56"/>
      <c r="B78" s="56"/>
      <c r="C78" s="56"/>
      <c r="D78" s="56"/>
      <c r="E78" s="56"/>
      <c r="F78" s="56"/>
      <c r="G78" s="56"/>
      <c r="H78" s="306" t="s">
        <v>927</v>
      </c>
      <c r="I78" s="255"/>
      <c r="J78" s="255"/>
      <c r="K78" s="255"/>
      <c r="L78" s="255"/>
      <c r="M78" s="255"/>
      <c r="N78" s="255"/>
      <c r="O78" s="255"/>
      <c r="P78" s="256"/>
      <c r="Q78" s="260">
        <f>SUMIFS(Input[M&amp;O Plnt E&amp;G],Input[System],$Z$2)+SUMIFS(Input[M&amp;O Plnt Desg],Input[System],$Z$2)+SUMIFS(Input[M&amp;O Plnt Aux],Input[System],$Z$2)+SUMIFS(Input[M&amp;O Plnt R Exp],Input[System],$Z$2)+SUMIFS(Input[M&amp;O Plnt Loan],Input[System],$Z$2)+SUMIFS(Input[M&amp;O Plnt Annuity],Input[System],$Z$2)+SUMIFS(Input[M&amp;O Plnt Unexp],Input[System],$Z$2)+SUMIFS(Input[M&amp;O Plnt R of Ind],Input[System],$Z$2)+SUMIFS(Input[M&amp;O Plnt Inv in P],Input[System],$Z$2)</f>
        <v>0</v>
      </c>
      <c r="R78" s="260"/>
      <c r="S78" s="260"/>
      <c r="T78" s="455">
        <f t="shared" si="5"/>
        <v>0</v>
      </c>
      <c r="U78" s="456"/>
      <c r="V78" s="457"/>
      <c r="W78" s="56"/>
      <c r="X78" s="464" t="s">
        <v>927</v>
      </c>
      <c r="Y78" s="465"/>
      <c r="Z78" s="465"/>
      <c r="AA78" s="465"/>
      <c r="AB78" s="465"/>
      <c r="AC78" s="465"/>
      <c r="AD78" s="466"/>
      <c r="AE78" s="467">
        <f>SUMIFS(Input[SRECNA Op &amp; Maint],Input[System],$Z$2)</f>
        <v>0</v>
      </c>
      <c r="AF78" s="468"/>
      <c r="AG78" s="469"/>
      <c r="AH78" s="428">
        <f t="shared" si="4"/>
        <v>0</v>
      </c>
      <c r="AI78" s="428"/>
      <c r="AJ78" s="428"/>
      <c r="AK78" s="73"/>
      <c r="AL78" s="77"/>
      <c r="AM78" s="77"/>
      <c r="AN78" s="77"/>
      <c r="AO78" s="77"/>
      <c r="AP78" s="77"/>
      <c r="AQ78" s="77"/>
      <c r="AR78" s="77"/>
      <c r="AS78" s="77"/>
      <c r="AT78" s="77"/>
      <c r="AU78" s="77"/>
      <c r="AV78" s="56"/>
      <c r="AW78" s="56"/>
    </row>
    <row r="79" spans="1:49" s="57" customFormat="1" ht="30" customHeight="1" x14ac:dyDescent="0.25">
      <c r="A79" s="56"/>
      <c r="B79" s="56"/>
      <c r="C79" s="56"/>
      <c r="D79" s="56"/>
      <c r="E79" s="56"/>
      <c r="F79" s="56"/>
      <c r="G79" s="56"/>
      <c r="H79" s="306" t="s">
        <v>928</v>
      </c>
      <c r="I79" s="255"/>
      <c r="J79" s="255"/>
      <c r="K79" s="255"/>
      <c r="L79" s="255"/>
      <c r="M79" s="255"/>
      <c r="N79" s="255"/>
      <c r="O79" s="255"/>
      <c r="P79" s="256"/>
      <c r="Q79" s="260">
        <f>SUMIFS(Input[Schl &amp; Fell E&amp;G],Input[System],$Z$2)+SUMIFS(Input[Schl &amp; Fell Desg],Input[System],$Z$2)+SUMIFS(Input[Schl &amp; Fell Aux],Input[System],$Z$2)+SUMIFS(Input[Schl &amp; Fell R Exp],Input[System],$Z$2)+SUMIFS(Input[Schl &amp; Fell Loan],Input[System],$Z$2)+SUMIFS(Input[Schl &amp; Fell Annuity],Input[System],$Z$2)+SUMIFS(Input[Schl &amp; Fell Unexp],Input[System],$Z$2)+SUMIFS(Input[Schl &amp; Fell R of Ind],Input[System],$Z$2)+SUMIFS(Input[Schl &amp; Fell Inv in P],Input[System],$Z$2)</f>
        <v>0</v>
      </c>
      <c r="R79" s="260"/>
      <c r="S79" s="260"/>
      <c r="T79" s="455">
        <f t="shared" si="5"/>
        <v>0</v>
      </c>
      <c r="U79" s="456"/>
      <c r="V79" s="457"/>
      <c r="W79" s="56"/>
      <c r="X79" s="464" t="s">
        <v>928</v>
      </c>
      <c r="Y79" s="465"/>
      <c r="Z79" s="465"/>
      <c r="AA79" s="465"/>
      <c r="AB79" s="465"/>
      <c r="AC79" s="465"/>
      <c r="AD79" s="466"/>
      <c r="AE79" s="467">
        <f>SUMIFS(Input[SRECNA Schl &amp; Fell],Input[System],$Z$2)</f>
        <v>0</v>
      </c>
      <c r="AF79" s="468"/>
      <c r="AG79" s="469"/>
      <c r="AH79" s="428">
        <f t="shared" si="4"/>
        <v>0</v>
      </c>
      <c r="AI79" s="428"/>
      <c r="AJ79" s="428"/>
      <c r="AK79" s="73"/>
      <c r="AL79" s="77"/>
      <c r="AM79" s="77"/>
      <c r="AN79" s="77"/>
      <c r="AO79" s="77"/>
      <c r="AP79" s="77"/>
      <c r="AQ79" s="77"/>
      <c r="AR79" s="77"/>
      <c r="AS79" s="77"/>
      <c r="AT79" s="77"/>
      <c r="AU79" s="77"/>
      <c r="AV79" s="56"/>
      <c r="AW79" s="56"/>
    </row>
    <row r="80" spans="1:49" s="57" customFormat="1" ht="30" customHeight="1" x14ac:dyDescent="0.25">
      <c r="A80" s="56"/>
      <c r="B80" s="56"/>
      <c r="C80" s="56"/>
      <c r="D80" s="56"/>
      <c r="E80" s="56"/>
      <c r="F80" s="56"/>
      <c r="G80" s="56"/>
      <c r="H80" s="306" t="s">
        <v>929</v>
      </c>
      <c r="I80" s="255"/>
      <c r="J80" s="255"/>
      <c r="K80" s="255"/>
      <c r="L80" s="255"/>
      <c r="M80" s="255"/>
      <c r="N80" s="255"/>
      <c r="O80" s="255"/>
      <c r="P80" s="256"/>
      <c r="Q80" s="260">
        <f>SUMIFS(Input[Aux Ent E&amp;G],Input[System],$Z$2)+SUMIFS(Input[Aux Ent Desg],Input[System],$Z$2)+SUMIFS(Input[Aux Ent Aux],Input[System],$Z$2)+SUMIFS(Input[Aux Ent R Exp],Input[System],$Z$2)+SUMIFS(Input[Aux Ent Loan],Input[System],$Z$2)+SUMIFS(Input[Aux Ent Annuity],Input[System],$Z$2)+SUMIFS(Input[Aux Ent Unexp],Input[System],$Z$2)+SUMIFS(Input[Aux Ent R of Ind],Input[System],$Z$2)+SUMIFS(Input[Aux Ent Inv in P],Input[System],$Z$2)</f>
        <v>0</v>
      </c>
      <c r="R80" s="260"/>
      <c r="S80" s="260"/>
      <c r="T80" s="455">
        <f t="shared" si="5"/>
        <v>0</v>
      </c>
      <c r="U80" s="456"/>
      <c r="V80" s="457"/>
      <c r="W80" s="56"/>
      <c r="X80" s="464" t="s">
        <v>929</v>
      </c>
      <c r="Y80" s="465"/>
      <c r="Z80" s="465"/>
      <c r="AA80" s="465"/>
      <c r="AB80" s="465"/>
      <c r="AC80" s="465"/>
      <c r="AD80" s="466"/>
      <c r="AE80" s="467">
        <f>SUMIFS(Input[SRECNA Aux],Input[System],$Z$2)</f>
        <v>0</v>
      </c>
      <c r="AF80" s="468"/>
      <c r="AG80" s="469"/>
      <c r="AH80" s="428">
        <f t="shared" si="4"/>
        <v>0</v>
      </c>
      <c r="AI80" s="428"/>
      <c r="AJ80" s="428"/>
      <c r="AK80" s="73"/>
      <c r="AL80" s="77"/>
      <c r="AM80" s="77"/>
      <c r="AN80" s="77"/>
      <c r="AO80" s="77"/>
      <c r="AP80" s="77"/>
      <c r="AQ80" s="77"/>
      <c r="AR80" s="77"/>
      <c r="AS80" s="77"/>
      <c r="AT80" s="77"/>
      <c r="AU80" s="77"/>
      <c r="AV80" s="56"/>
      <c r="AW80" s="56"/>
    </row>
    <row r="81" spans="1:49" s="57" customFormat="1" ht="30" customHeight="1" x14ac:dyDescent="0.25">
      <c r="A81" s="56"/>
      <c r="B81" s="56"/>
      <c r="C81" s="56"/>
      <c r="D81" s="56"/>
      <c r="E81" s="56"/>
      <c r="F81" s="56"/>
      <c r="G81" s="56"/>
      <c r="H81" s="306" t="s">
        <v>930</v>
      </c>
      <c r="I81" s="255"/>
      <c r="J81" s="255"/>
      <c r="K81" s="255"/>
      <c r="L81" s="255"/>
      <c r="M81" s="255"/>
      <c r="N81" s="255"/>
      <c r="O81" s="255"/>
      <c r="P81" s="256"/>
      <c r="Q81" s="260">
        <f>SUMIFS(Input[Cap Out fund E&amp;G],Input[System],$Z$2)+SUMIFS(Input[Cap Out fund Desg],Input[System],$Z$2)+SUMIFS(Input[Cap Out fund Aux],Input[System],$Z$2)+SUMIFS(Input[Cap Out fund R Exp],Input[System],$Z$2)+SUMIFS(Input[Cap Out fund Loan],Input[System],$Z$2)+SUMIFS(Input[Cap Out fund Annuity],Input[System],$Z$2)+SUMIFS(Input[Cap Out fund Unexp],Input[System],$Z$2)+SUMIFS(Input[Cap Out fund R of Ind],Input[System],$Z$2)+SUMIFS(Input[Cap Out fund Inv in P],Input[System],$Z$2)</f>
        <v>0</v>
      </c>
      <c r="R81" s="260"/>
      <c r="S81" s="260"/>
      <c r="T81" s="455">
        <f t="shared" si="5"/>
        <v>0</v>
      </c>
      <c r="U81" s="456"/>
      <c r="V81" s="457"/>
      <c r="W81" s="56"/>
      <c r="X81" s="461" t="s">
        <v>1006</v>
      </c>
      <c r="Y81" s="462"/>
      <c r="Z81" s="462"/>
      <c r="AA81" s="462"/>
      <c r="AB81" s="462"/>
      <c r="AC81" s="462"/>
      <c r="AD81" s="463"/>
      <c r="AE81" s="442">
        <f>Q101*-1</f>
        <v>0</v>
      </c>
      <c r="AF81" s="442"/>
      <c r="AG81" s="442"/>
      <c r="AH81" s="443">
        <f>SUM(AD81,P101)</f>
        <v>0</v>
      </c>
      <c r="AI81" s="443"/>
      <c r="AJ81" s="443"/>
      <c r="AK81" s="73"/>
      <c r="AL81" s="77"/>
      <c r="AM81" s="56"/>
      <c r="AN81" s="56"/>
      <c r="AO81" s="56"/>
      <c r="AP81" s="56"/>
      <c r="AQ81" s="56"/>
      <c r="AR81" s="77"/>
      <c r="AS81" s="77"/>
      <c r="AT81" s="77"/>
      <c r="AU81" s="77"/>
      <c r="AV81" s="56"/>
      <c r="AW81" s="56"/>
    </row>
    <row r="82" spans="1:49" s="57" customFormat="1" ht="30" customHeight="1" x14ac:dyDescent="0.3">
      <c r="A82" s="56"/>
      <c r="B82" s="56"/>
      <c r="C82" s="56"/>
      <c r="D82" s="56"/>
      <c r="E82" s="56"/>
      <c r="F82" s="56"/>
      <c r="G82" s="56"/>
      <c r="H82" s="306" t="s">
        <v>931</v>
      </c>
      <c r="I82" s="255"/>
      <c r="J82" s="255"/>
      <c r="K82" s="255"/>
      <c r="L82" s="255"/>
      <c r="M82" s="255"/>
      <c r="N82" s="255"/>
      <c r="O82" s="255"/>
      <c r="P82" s="256"/>
      <c r="Q82" s="260">
        <f>SUMIFS(Input[Oth Exp E&amp;G],Input[System],$Z$2)+SUMIFS(Input[Oth Exp Desg],Input[System],$Z$2)+SUMIFS(Input[Oth Exp Aux],Input[System],$Z$2)+SUMIFS(Input[Oth Exp R Exp],Input[System],$Z$2)+SUMIFS(Input[Oth Exp Loan],Input[System],$Z$2)+SUMIFS(Input[Oth Exp Annuity],Input[System],$Z$2)+SUMIFS(Input[Oth Exp Unexp],Input[System],$Z$2)+SUMIFS(Input[Oth Exp R of Ind],Input[System],$Z$2)+SUMIFS(Input[Oth Exp Inv in P],Input[System],$Z$2)</f>
        <v>0</v>
      </c>
      <c r="R82" s="260"/>
      <c r="S82" s="260"/>
      <c r="T82" s="458">
        <f t="shared" si="5"/>
        <v>0</v>
      </c>
      <c r="U82" s="459"/>
      <c r="V82" s="460"/>
      <c r="W82" s="56"/>
      <c r="X82" s="56"/>
      <c r="Y82" s="56"/>
      <c r="Z82" s="56"/>
      <c r="AA82" s="56"/>
      <c r="AB82" s="56"/>
      <c r="AC82" s="56"/>
      <c r="AD82" s="56"/>
      <c r="AE82" s="56"/>
      <c r="AF82" s="56"/>
      <c r="AG82" s="56"/>
      <c r="AH82" s="56"/>
      <c r="AI82" s="56"/>
      <c r="AJ82" s="56"/>
      <c r="AK82" s="56"/>
      <c r="AL82" s="56"/>
      <c r="AM82" s="56"/>
      <c r="AN82" s="56"/>
      <c r="AO82" s="56"/>
      <c r="AP82" s="56"/>
      <c r="AQ82" s="56"/>
      <c r="AR82" s="56"/>
      <c r="AS82" s="77"/>
      <c r="AT82" s="77"/>
      <c r="AU82" s="77"/>
      <c r="AV82" s="56"/>
      <c r="AW82" s="56"/>
    </row>
    <row r="83" spans="1:49" s="57" customFormat="1" ht="30" customHeight="1" x14ac:dyDescent="0.3">
      <c r="A83" s="56"/>
      <c r="B83" s="56"/>
      <c r="C83" s="56"/>
      <c r="D83" s="56"/>
      <c r="E83" s="56"/>
      <c r="F83" s="56"/>
      <c r="G83" s="56"/>
      <c r="H83" s="323" t="s">
        <v>917</v>
      </c>
      <c r="I83" s="324"/>
      <c r="J83" s="324"/>
      <c r="K83" s="324"/>
      <c r="L83" s="324"/>
      <c r="M83" s="324"/>
      <c r="N83" s="324"/>
      <c r="O83" s="324"/>
      <c r="P83" s="324"/>
      <c r="Q83" s="329">
        <f>SUM(Q71:S82)</f>
        <v>0</v>
      </c>
      <c r="R83" s="329"/>
      <c r="S83" s="329"/>
      <c r="T83" s="329">
        <f>SUM(T71:V82)</f>
        <v>0</v>
      </c>
      <c r="U83" s="329"/>
      <c r="V83" s="330"/>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row>
    <row r="84" spans="1:49" s="57" customFormat="1" ht="30" customHeight="1" x14ac:dyDescent="0.3">
      <c r="A84" s="56"/>
      <c r="B84" s="56"/>
      <c r="C84" s="56"/>
      <c r="D84" s="56"/>
      <c r="E84" s="56"/>
      <c r="F84" s="56"/>
      <c r="G84" s="56"/>
      <c r="H84" s="59"/>
      <c r="I84" s="59"/>
      <c r="J84" s="59"/>
      <c r="K84" s="59"/>
      <c r="L84" s="59"/>
      <c r="M84" s="59"/>
      <c r="N84" s="59"/>
      <c r="O84" s="59"/>
      <c r="P84" s="59"/>
      <c r="Q84" s="80"/>
      <c r="R84" s="80"/>
      <c r="S84" s="80"/>
      <c r="T84" s="80"/>
      <c r="U84" s="80"/>
      <c r="V84" s="80"/>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row>
    <row r="85" spans="1:49" s="57" customFormat="1" ht="30" customHeight="1" x14ac:dyDescent="0.3">
      <c r="A85" s="56"/>
      <c r="B85" s="56"/>
      <c r="C85" s="56"/>
      <c r="D85" s="56"/>
      <c r="E85" s="56"/>
      <c r="F85" s="56"/>
      <c r="G85" s="56"/>
      <c r="H85" s="374" t="s">
        <v>932</v>
      </c>
      <c r="I85" s="375"/>
      <c r="J85" s="375"/>
      <c r="K85" s="375"/>
      <c r="L85" s="375"/>
      <c r="M85" s="375"/>
      <c r="N85" s="375"/>
      <c r="O85" s="375"/>
      <c r="P85" s="375"/>
      <c r="Q85" s="376" t="s">
        <v>981</v>
      </c>
      <c r="R85" s="376"/>
      <c r="S85" s="376"/>
      <c r="T85" s="376" t="s">
        <v>982</v>
      </c>
      <c r="U85" s="376"/>
      <c r="V85" s="377"/>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row>
    <row r="86" spans="1:49" s="57" customFormat="1" ht="30" customHeight="1" x14ac:dyDescent="0.3">
      <c r="A86" s="56"/>
      <c r="B86" s="56"/>
      <c r="C86" s="56"/>
      <c r="D86" s="56"/>
      <c r="E86" s="56"/>
      <c r="F86" s="56"/>
      <c r="G86" s="56"/>
      <c r="H86" s="306" t="s">
        <v>933</v>
      </c>
      <c r="I86" s="255"/>
      <c r="J86" s="255"/>
      <c r="K86" s="255"/>
      <c r="L86" s="255"/>
      <c r="M86" s="255"/>
      <c r="N86" s="255"/>
      <c r="O86" s="255"/>
      <c r="P86" s="256"/>
      <c r="Q86" s="258">
        <f>SUMIFS(Input[Cap Out n-Fund E&amp;G],Input[System],$Z$2)+SUMIFS(Input[Cap Out n-Fund Desg],Input[System],$Z$2)+SUMIFS(Input[Cap Out n-Fund Aux],Input[System],$Z$2)+SUMIFS(Input[Cap Out n-Fund R Exp],Input[System],$Z$2)+SUMIFS(Input[Cap Out n-Fund Loan],Input[System],$Z$2)+SUMIFS(Input[Cap Out n-Fund Annuity],Input[System],$Z$2)+SUMIFS(Input[Cap Out n-Fund Unexp],Input[System],$Z$2)+SUMIFS(Input[Cap Out n-Fund R of Ind],Input[System],$Z$2)+SUMIFS(Input[Cap Out n-Fund Inv in P],Input[System],$Z$2)</f>
        <v>0</v>
      </c>
      <c r="R86" s="258"/>
      <c r="S86" s="258"/>
      <c r="T86" s="258">
        <f>IFERROR(ROUND(Q86/$Z$1,0),0)</f>
        <v>0</v>
      </c>
      <c r="U86" s="258"/>
      <c r="V86" s="357"/>
      <c r="W86" s="59"/>
      <c r="X86" s="59"/>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row>
    <row r="87" spans="1:49" s="57" customFormat="1" ht="30" customHeight="1" x14ac:dyDescent="0.3">
      <c r="A87" s="56"/>
      <c r="B87" s="56"/>
      <c r="C87" s="56"/>
      <c r="D87" s="56"/>
      <c r="E87" s="56"/>
      <c r="F87" s="56"/>
      <c r="G87" s="56"/>
      <c r="H87" s="306" t="s">
        <v>934</v>
      </c>
      <c r="I87" s="255"/>
      <c r="J87" s="255"/>
      <c r="K87" s="255"/>
      <c r="L87" s="255"/>
      <c r="M87" s="255"/>
      <c r="N87" s="255"/>
      <c r="O87" s="255"/>
      <c r="P87" s="256"/>
      <c r="Q87" s="260">
        <f>SUMIFS(Input[M&amp;Nm Xfrs E&amp;G],Input[System],$Z$2)+SUMIFS(Input[M&amp;Nm Xfrs Desg],Input[System],$Z$2)+SUMIFS(Input[M&amp;Nm Xfrs Aux],Input[System],$Z$2)+SUMIFS(Input[M&amp;Nm Xfrs R Exp],Input[System],$Z$2)+SUMIFS(Input[M&amp;Nm Xfrs Loan],Input[System],$Z$2)+SUMIFS(Input[M&amp;Nm Xfrs Annuity],Input[System],$Z$2)+SUMIFS(Input[M&amp;Nm Xfrs Unexp],Input[System],$Z$2)+SUMIFS(Input[M&amp;Nm Xfrs R of Ind],Input[System],$Z$2)+SUMIFS(Input[M&amp;Nm Xfrs Inv in P],Input[System],$Z$2)</f>
        <v>0</v>
      </c>
      <c r="R87" s="260"/>
      <c r="S87" s="260"/>
      <c r="T87" s="260">
        <f>IFERROR(ROUND(Q87/$Z$1,0),0)</f>
        <v>0</v>
      </c>
      <c r="U87" s="260"/>
      <c r="V87" s="308"/>
      <c r="W87" s="59"/>
      <c r="X87" s="59"/>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row>
    <row r="88" spans="1:49" s="57" customFormat="1" ht="30" customHeight="1" x14ac:dyDescent="0.3">
      <c r="A88" s="56"/>
      <c r="B88" s="56"/>
      <c r="C88" s="56"/>
      <c r="D88" s="56"/>
      <c r="E88" s="56"/>
      <c r="F88" s="56"/>
      <c r="G88" s="56"/>
      <c r="H88" s="306" t="s">
        <v>935</v>
      </c>
      <c r="I88" s="255"/>
      <c r="J88" s="255"/>
      <c r="K88" s="255"/>
      <c r="L88" s="255"/>
      <c r="M88" s="255"/>
      <c r="N88" s="255"/>
      <c r="O88" s="255"/>
      <c r="P88" s="256"/>
      <c r="Q88" s="260">
        <f>SUMIFS(Input[Bond Xfrs In E&amp;G],Input[System],$Z$2)+SUMIFS(Input[Bond Xfrs In Desg],Input[System],$Z$2)+SUMIFS(Input[Bond Xfrs In Aux],Input[System],$Z$2)+SUMIFS(Input[Bond Xfrs In R Exp],Input[System],$Z$2)+SUMIFS(Input[Bond Xfrs In Loan],Input[System],$Z$2)+SUMIFS(Input[Bond Xfrs In Annuity],Input[System],$Z$2)+SUMIFS(Input[Bond Xfrs In Unexp],Input[System],$Z$2)+SUMIFS(Input[Bond Xfrs In R of Ind],Input[System],$Z$2)+SUMIFS(Input[Bond Xfrs In Inv in P],Input[System],$Z$2)</f>
        <v>0</v>
      </c>
      <c r="R88" s="260"/>
      <c r="S88" s="260"/>
      <c r="T88" s="260">
        <f>IFERROR(ROUND(Q88/$Z$1,0),0)</f>
        <v>0</v>
      </c>
      <c r="U88" s="260"/>
      <c r="V88" s="308"/>
      <c r="W88" s="59"/>
      <c r="X88" s="59"/>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row>
    <row r="89" spans="1:49" s="57" customFormat="1" ht="30" customHeight="1" x14ac:dyDescent="0.3">
      <c r="A89" s="56"/>
      <c r="B89" s="56"/>
      <c r="C89" s="56"/>
      <c r="D89" s="56"/>
      <c r="E89" s="56"/>
      <c r="F89" s="56"/>
      <c r="G89" s="56"/>
      <c r="H89" s="306" t="s">
        <v>936</v>
      </c>
      <c r="I89" s="255"/>
      <c r="J89" s="255"/>
      <c r="K89" s="255"/>
      <c r="L89" s="255"/>
      <c r="M89" s="255"/>
      <c r="N89" s="255"/>
      <c r="O89" s="255"/>
      <c r="P89" s="256"/>
      <c r="Q89" s="260">
        <f>SUMIFS(Input[Debt Srv Pay E&amp;G],Input[System],$Z$2)+SUMIFS(Input[Debt Srv Pay Desg],Input[System],$Z$2)+SUMIFS(Input[Debt Srv Pay Aux],Input[System],$Z$2)+SUMIFS(Input[Debt Srv Pay R Exp],Input[System],$Z$2)+SUMIFS(Input[Debt Srv Pay Loan],Input[System],$Z$2)+SUMIFS(Input[Debt Srv Pay Annuity],Input[System],$Z$2)+SUMIFS(Input[Debt Srv Pay Unexp],Input[System],$Z$2)+SUMIFS(Input[Debt Srv Pay R of Ind],Input[System],$Z$2)+SUMIFS(Input[Debt Srv Pay Inv in P],Input[System],$Z$2)</f>
        <v>0</v>
      </c>
      <c r="R89" s="260"/>
      <c r="S89" s="260"/>
      <c r="T89" s="260">
        <f>IFERROR(ROUND(Q89/$Z$1,0),0)</f>
        <v>0</v>
      </c>
      <c r="U89" s="260"/>
      <c r="V89" s="308"/>
      <c r="W89" s="59"/>
      <c r="X89" s="59"/>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row>
    <row r="90" spans="1:49" s="57" customFormat="1" ht="30" customHeight="1" x14ac:dyDescent="0.3">
      <c r="A90" s="56"/>
      <c r="B90" s="56"/>
      <c r="C90" s="56"/>
      <c r="D90" s="56"/>
      <c r="E90" s="56"/>
      <c r="F90" s="56"/>
      <c r="G90" s="56"/>
      <c r="H90" s="323" t="s">
        <v>917</v>
      </c>
      <c r="I90" s="324"/>
      <c r="J90" s="324"/>
      <c r="K90" s="324"/>
      <c r="L90" s="324"/>
      <c r="M90" s="324"/>
      <c r="N90" s="324"/>
      <c r="O90" s="324"/>
      <c r="P90" s="324"/>
      <c r="Q90" s="329">
        <f>SUM(Q86:S89)</f>
        <v>0</v>
      </c>
      <c r="R90" s="329"/>
      <c r="S90" s="329"/>
      <c r="T90" s="329">
        <f>SUM(T86:V89)</f>
        <v>0</v>
      </c>
      <c r="U90" s="329"/>
      <c r="V90" s="330"/>
      <c r="W90" s="59"/>
      <c r="X90" s="59"/>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row>
    <row r="91" spans="1:49" s="57" customFormat="1" ht="30" customHeight="1" x14ac:dyDescent="0.3">
      <c r="A91" s="56"/>
      <c r="B91" s="56"/>
      <c r="C91" s="56"/>
      <c r="D91" s="56"/>
      <c r="E91" s="56"/>
      <c r="F91" s="56"/>
      <c r="G91" s="56"/>
      <c r="H91" s="59"/>
      <c r="I91" s="59"/>
      <c r="J91" s="59"/>
      <c r="K91" s="59"/>
      <c r="L91" s="59"/>
      <c r="M91" s="59"/>
      <c r="N91" s="59"/>
      <c r="O91" s="59"/>
      <c r="P91" s="59"/>
      <c r="Q91" s="80"/>
      <c r="R91" s="80"/>
      <c r="S91" s="80"/>
      <c r="T91" s="80"/>
      <c r="U91" s="80"/>
      <c r="V91" s="80"/>
      <c r="W91" s="59"/>
      <c r="X91" s="59"/>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row>
    <row r="92" spans="1:49" s="57" customFormat="1" ht="30" customHeight="1" x14ac:dyDescent="0.3">
      <c r="A92" s="56"/>
      <c r="B92" s="56"/>
      <c r="C92" s="56"/>
      <c r="D92" s="56"/>
      <c r="E92" s="56"/>
      <c r="F92" s="56"/>
      <c r="G92" s="56"/>
      <c r="H92" s="374" t="s">
        <v>937</v>
      </c>
      <c r="I92" s="375"/>
      <c r="J92" s="375"/>
      <c r="K92" s="375"/>
      <c r="L92" s="375"/>
      <c r="M92" s="375"/>
      <c r="N92" s="375"/>
      <c r="O92" s="375"/>
      <c r="P92" s="375"/>
      <c r="Q92" s="376" t="s">
        <v>981</v>
      </c>
      <c r="R92" s="376"/>
      <c r="S92" s="376"/>
      <c r="T92" s="376" t="s">
        <v>982</v>
      </c>
      <c r="U92" s="376"/>
      <c r="V92" s="377"/>
      <c r="W92" s="59"/>
      <c r="X92" s="59"/>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row>
    <row r="93" spans="1:49" s="57" customFormat="1" ht="30" customHeight="1" x14ac:dyDescent="0.3">
      <c r="A93" s="56"/>
      <c r="B93" s="56"/>
      <c r="C93" s="56"/>
      <c r="D93" s="56"/>
      <c r="E93" s="56"/>
      <c r="F93" s="56"/>
      <c r="G93" s="56"/>
      <c r="H93" s="306" t="s">
        <v>938</v>
      </c>
      <c r="I93" s="255"/>
      <c r="J93" s="255"/>
      <c r="K93" s="255"/>
      <c r="L93" s="255"/>
      <c r="M93" s="255"/>
      <c r="N93" s="255"/>
      <c r="O93" s="255"/>
      <c r="P93" s="256"/>
      <c r="Q93" s="258">
        <f>SUMIFS(Input[Unreal G/L E&amp;G],Input[System],$Z$2)+SUMIFS(Input[Unreal G/L Desg],Input[System],$Z$2)+SUMIFS(Input[Unreal G/L Aux],Input[System],$Z$2)+SUMIFS(Input[Unreal G/L R Exp],Input[System],$Z$2)+SUMIFS(Input[Unreal G/L Loan],Input[System],$Z$2)+SUMIFS(Input[Unreal G/L Annuity],Input[System],$Z$2)+SUMIFS(Input[Unreal G/L Unexp],Input[System],$Z$2)+SUMIFS(Input[Unreal G/L R of Ind],Input[System],$Z$2)+SUMIFS(Input[Unreal G/L Inv in P],Input[System],$Z$2)</f>
        <v>0</v>
      </c>
      <c r="R93" s="258"/>
      <c r="S93" s="258"/>
      <c r="T93" s="258">
        <f>IFERROR(ROUND(Q93/$Z$1,0),0)</f>
        <v>0</v>
      </c>
      <c r="U93" s="258"/>
      <c r="V93" s="357"/>
      <c r="W93" s="59"/>
      <c r="X93" s="59"/>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row>
    <row r="94" spans="1:49" s="57" customFormat="1" ht="30" customHeight="1" x14ac:dyDescent="0.3">
      <c r="A94" s="56"/>
      <c r="B94" s="56"/>
      <c r="C94" s="56"/>
      <c r="D94" s="56"/>
      <c r="E94" s="56"/>
      <c r="F94" s="56"/>
      <c r="G94" s="56"/>
      <c r="H94" s="306" t="s">
        <v>939</v>
      </c>
      <c r="I94" s="255"/>
      <c r="J94" s="255"/>
      <c r="K94" s="255"/>
      <c r="L94" s="255"/>
      <c r="M94" s="255"/>
      <c r="N94" s="255"/>
      <c r="O94" s="255"/>
      <c r="P94" s="256"/>
      <c r="Q94" s="260">
        <f>SUMIFS(Input[Add End E&amp;G],Input[System],$Z$2)+SUMIFS(Input[Add End Desg],Input[System],$Z$2)+SUMIFS(Input[Add End Aux],Input[System],$Z$2)+SUMIFS(Input[Add End R Exp],Input[System],$Z$2)+SUMIFS(Input[Add End Loan],Input[System],$Z$2)+SUMIFS(Input[Add End Annuity],Input[System],$Z$2)+SUMIFS(Input[Add End Unexp],Input[System],$Z$2)+SUMIFS(Input[Add End R of Ind],Input[System],$Z$2)+SUMIFS(Input[Add End Inv in P],Input[System],$Z$2)</f>
        <v>0</v>
      </c>
      <c r="R94" s="260"/>
      <c r="S94" s="260"/>
      <c r="T94" s="458">
        <f>IFERROR(ROUND(Q94/$Z$1,0),0)</f>
        <v>0</v>
      </c>
      <c r="U94" s="459"/>
      <c r="V94" s="460"/>
      <c r="W94" s="59"/>
      <c r="X94" s="59"/>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row>
    <row r="95" spans="1:49" s="57" customFormat="1" ht="30" customHeight="1" x14ac:dyDescent="0.3">
      <c r="A95" s="56"/>
      <c r="B95" s="56"/>
      <c r="C95" s="56"/>
      <c r="D95" s="56"/>
      <c r="E95" s="56"/>
      <c r="F95" s="56"/>
      <c r="G95" s="56"/>
      <c r="H95" s="323" t="s">
        <v>917</v>
      </c>
      <c r="I95" s="324"/>
      <c r="J95" s="324"/>
      <c r="K95" s="324"/>
      <c r="L95" s="324"/>
      <c r="M95" s="324"/>
      <c r="N95" s="324"/>
      <c r="O95" s="324"/>
      <c r="P95" s="324"/>
      <c r="Q95" s="329">
        <f>SUM(Q93:S94)</f>
        <v>0</v>
      </c>
      <c r="R95" s="329"/>
      <c r="S95" s="329"/>
      <c r="T95" s="329">
        <f>SUM(T93:V94)</f>
        <v>0</v>
      </c>
      <c r="U95" s="329"/>
      <c r="V95" s="330"/>
      <c r="W95" s="59"/>
      <c r="X95" s="59"/>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row>
    <row r="96" spans="1:49" s="57" customFormat="1" ht="30" customHeight="1" x14ac:dyDescent="0.3">
      <c r="A96" s="56"/>
      <c r="B96" s="56"/>
      <c r="C96" s="56"/>
      <c r="D96" s="56"/>
      <c r="E96" s="56"/>
      <c r="F96" s="56"/>
      <c r="G96" s="56"/>
      <c r="H96" s="59"/>
      <c r="I96" s="59"/>
      <c r="J96" s="59"/>
      <c r="K96" s="59"/>
      <c r="L96" s="59"/>
      <c r="M96" s="59"/>
      <c r="N96" s="59"/>
      <c r="O96" s="59"/>
      <c r="P96" s="59"/>
      <c r="Q96" s="80"/>
      <c r="R96" s="80"/>
      <c r="S96" s="80"/>
      <c r="T96" s="80"/>
      <c r="U96" s="80"/>
      <c r="V96" s="80"/>
      <c r="W96" s="59"/>
      <c r="X96" s="59"/>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row>
    <row r="97" spans="1:50" s="57" customFormat="1" ht="30" customHeight="1" x14ac:dyDescent="0.3">
      <c r="A97" s="56"/>
      <c r="B97" s="56"/>
      <c r="C97" s="56"/>
      <c r="D97" s="56"/>
      <c r="E97" s="56"/>
      <c r="F97" s="56"/>
      <c r="G97" s="56"/>
      <c r="H97" s="369" t="s">
        <v>940</v>
      </c>
      <c r="I97" s="370"/>
      <c r="J97" s="370"/>
      <c r="K97" s="370"/>
      <c r="L97" s="370"/>
      <c r="M97" s="370"/>
      <c r="N97" s="370"/>
      <c r="O97" s="370"/>
      <c r="P97" s="370"/>
      <c r="Q97" s="367">
        <f>Q67-Q83+Q90+Q95</f>
        <v>0</v>
      </c>
      <c r="R97" s="367"/>
      <c r="S97" s="367"/>
      <c r="T97" s="367">
        <f>T67-T83+T90+T95</f>
        <v>0</v>
      </c>
      <c r="U97" s="367"/>
      <c r="V97" s="368"/>
      <c r="W97" s="59"/>
      <c r="X97" s="59"/>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row>
    <row r="98" spans="1:50" s="57" customFormat="1" ht="30" customHeight="1" x14ac:dyDescent="0.3">
      <c r="A98" s="56"/>
      <c r="B98" s="56"/>
      <c r="C98" s="56"/>
      <c r="D98" s="56"/>
      <c r="E98" s="56"/>
      <c r="F98" s="56"/>
      <c r="G98" s="56"/>
      <c r="H98" s="59"/>
      <c r="I98" s="59"/>
      <c r="J98" s="59"/>
      <c r="K98" s="59"/>
      <c r="L98" s="59"/>
      <c r="M98" s="59"/>
      <c r="N98" s="59"/>
      <c r="O98" s="59"/>
      <c r="P98" s="59"/>
      <c r="Q98" s="80"/>
      <c r="R98" s="80"/>
      <c r="S98" s="80"/>
      <c r="T98" s="80"/>
      <c r="U98" s="80"/>
      <c r="V98" s="80"/>
      <c r="W98" s="59"/>
      <c r="X98" s="59"/>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row>
    <row r="99" spans="1:50" s="57" customFormat="1" ht="30" customHeight="1" x14ac:dyDescent="0.3">
      <c r="A99" s="56"/>
      <c r="B99" s="56"/>
      <c r="C99" s="56"/>
      <c r="D99" s="56"/>
      <c r="E99" s="56"/>
      <c r="F99" s="56"/>
      <c r="G99" s="56"/>
      <c r="H99" s="374"/>
      <c r="I99" s="375"/>
      <c r="J99" s="375"/>
      <c r="K99" s="375"/>
      <c r="L99" s="375"/>
      <c r="M99" s="375"/>
      <c r="N99" s="375"/>
      <c r="O99" s="375"/>
      <c r="P99" s="375"/>
      <c r="Q99" s="376" t="s">
        <v>981</v>
      </c>
      <c r="R99" s="376"/>
      <c r="S99" s="376"/>
      <c r="T99" s="376" t="s">
        <v>982</v>
      </c>
      <c r="U99" s="376"/>
      <c r="V99" s="377"/>
      <c r="W99" s="59"/>
      <c r="X99" s="59"/>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row>
    <row r="100" spans="1:50" s="57" customFormat="1" ht="30" customHeight="1" x14ac:dyDescent="0.3">
      <c r="A100" s="56"/>
      <c r="B100" s="56"/>
      <c r="C100" s="56"/>
      <c r="D100" s="56"/>
      <c r="E100" s="56"/>
      <c r="F100" s="56"/>
      <c r="G100" s="56"/>
      <c r="H100" s="306" t="s">
        <v>941</v>
      </c>
      <c r="I100" s="255"/>
      <c r="J100" s="255"/>
      <c r="K100" s="255"/>
      <c r="L100" s="255"/>
      <c r="M100" s="255"/>
      <c r="N100" s="255"/>
      <c r="O100" s="255"/>
      <c r="P100" s="256"/>
      <c r="Q100" s="258">
        <f>SUMIFS(Input[Bond Proceeds E&amp;G],Input[System],$Z$2)+SUMIFS(Input[Bond Proceeds Desg],Input[System],$Z$2)+SUMIFS(Input[Bond Proceeds Aux],Input[System],$Z$2)+SUMIFS(Input[Bond Proceeds R Exp],Input[System],$Z$2)+SUMIFS(Input[Bond Proceeds Loan],Input[System],$Z$2)+SUMIFS(Input[Bond Proceeds Annuity],Input[System],$Z$2)+SUMIFS(Input[Bond Proceeds Unexp],Input[System],$Z$2)+SUMIFS(Input[Bond Proceeds R of Ind],Input[System],$Z$2)+SUMIFS(Input[Bond Proceeds Inv in P],Input[System],$Z$2)</f>
        <v>0</v>
      </c>
      <c r="R100" s="258"/>
      <c r="S100" s="258"/>
      <c r="T100" s="258">
        <f t="shared" ref="T100:T105" si="6">IFERROR(ROUND(Q100/$Z$1,0),0)</f>
        <v>0</v>
      </c>
      <c r="U100" s="258"/>
      <c r="V100" s="357"/>
      <c r="W100" s="59"/>
      <c r="X100" s="59"/>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row>
    <row r="101" spans="1:50" s="57" customFormat="1" ht="30" customHeight="1" x14ac:dyDescent="0.3">
      <c r="A101" s="56"/>
      <c r="B101" s="56"/>
      <c r="C101" s="56"/>
      <c r="D101" s="56"/>
      <c r="E101" s="56"/>
      <c r="F101" s="56"/>
      <c r="G101" s="56"/>
      <c r="H101" s="306" t="s">
        <v>942</v>
      </c>
      <c r="I101" s="255"/>
      <c r="J101" s="255"/>
      <c r="K101" s="255"/>
      <c r="L101" s="255"/>
      <c r="M101" s="255"/>
      <c r="N101" s="255"/>
      <c r="O101" s="255"/>
      <c r="P101" s="256"/>
      <c r="Q101" s="260">
        <f>SUMIFS(Input[Dep Exp E&amp;G],Input[System],$Z$2)+SUMIFS(Input[Dep Exp Desg],Input[System],$Z$2)+SUMIFS(Input[Dep Exp Aux],Input[System],$Z$2)+SUMIFS(Input[Dep Exp R Exp],Input[System],$Z$2)+SUMIFS(Input[Dep Exp Loan],Input[System],$Z$2)+SUMIFS(Input[Dep Exp Annuity],Input[System],$Z$2)+SUMIFS(Input[Dep Exp Unexp],Input[System],$Z$2)+SUMIFS(Input[Dep Exp R of Ind],Input[System],$Z$2)+SUMIFS(Input[Dep Exp Inv in P],Input[System],$Z$2)</f>
        <v>0</v>
      </c>
      <c r="R101" s="260"/>
      <c r="S101" s="260"/>
      <c r="T101" s="260">
        <f t="shared" si="6"/>
        <v>0</v>
      </c>
      <c r="U101" s="260"/>
      <c r="V101" s="308"/>
      <c r="W101" s="59"/>
      <c r="X101" s="59"/>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row>
    <row r="102" spans="1:50" s="57" customFormat="1" ht="30" customHeight="1" x14ac:dyDescent="0.3">
      <c r="A102" s="56"/>
      <c r="B102" s="56"/>
      <c r="C102" s="56"/>
      <c r="D102" s="56"/>
      <c r="E102" s="56"/>
      <c r="F102" s="56"/>
      <c r="G102" s="56"/>
      <c r="H102" s="306" t="s">
        <v>943</v>
      </c>
      <c r="I102" s="255"/>
      <c r="J102" s="255"/>
      <c r="K102" s="255"/>
      <c r="L102" s="255"/>
      <c r="M102" s="255"/>
      <c r="N102" s="255"/>
      <c r="O102" s="255"/>
      <c r="P102" s="256"/>
      <c r="Q102" s="260">
        <f>SUMIFS(Input[Xfr Cap Sys E&amp;G],Input[System],$Z$2)+SUMIFS(Input[Xfr Cap Sys Desg],Input[System],$Z$2)+SUMIFS(Input[Xfr Cap Sys Aux],Input[System],$Z$2)+SUMIFS(Input[Xfr Cap Sys R Exp],Input[System],$Z$2)+SUMIFS(Input[Xfr Cap Sys Loan],Input[System],$Z$2)+SUMIFS(Input[Xfr Cap Sys Annuity],Input[System],$Z$2)+SUMIFS(Input[Xfr Cap Sys Unexp],Input[System],$Z$2)+SUMIFS(Input[Xfr Cap Sys R of Ind],Input[System],$Z$2)+SUMIFS(Input[Xfr Cap Sys Inv in P],Input[System],$Z$2)</f>
        <v>0</v>
      </c>
      <c r="R102" s="260"/>
      <c r="S102" s="260"/>
      <c r="T102" s="260">
        <f t="shared" si="6"/>
        <v>0</v>
      </c>
      <c r="U102" s="260"/>
      <c r="V102" s="308"/>
      <c r="W102" s="59"/>
      <c r="X102" s="59"/>
      <c r="Y102" s="56"/>
      <c r="Z102" s="56"/>
      <c r="AA102" s="56"/>
      <c r="AB102" s="56"/>
      <c r="AC102" s="56"/>
      <c r="AD102" s="56"/>
      <c r="AE102" s="56"/>
      <c r="AF102" s="56"/>
      <c r="AG102" s="56"/>
      <c r="AH102" s="56"/>
      <c r="AI102" s="56"/>
      <c r="AJ102" s="56"/>
      <c r="AK102" s="56"/>
      <c r="AL102" s="27"/>
      <c r="AM102" s="27"/>
      <c r="AN102" s="27"/>
      <c r="AO102" s="27"/>
      <c r="AP102" s="27"/>
      <c r="AQ102" s="27"/>
      <c r="AR102" s="27"/>
      <c r="AS102" s="27"/>
      <c r="AT102" s="27"/>
      <c r="AU102" s="27"/>
      <c r="AV102" s="56"/>
      <c r="AW102" s="56"/>
    </row>
    <row r="103" spans="1:50" s="57" customFormat="1" ht="30" customHeight="1" x14ac:dyDescent="0.3">
      <c r="A103" s="56"/>
      <c r="B103" s="56"/>
      <c r="C103" s="56"/>
      <c r="D103" s="56"/>
      <c r="E103" s="56"/>
      <c r="F103" s="56"/>
      <c r="G103" s="56"/>
      <c r="H103" s="306" t="s">
        <v>944</v>
      </c>
      <c r="I103" s="255"/>
      <c r="J103" s="255"/>
      <c r="K103" s="255"/>
      <c r="L103" s="255"/>
      <c r="M103" s="255"/>
      <c r="N103" s="255"/>
      <c r="O103" s="255"/>
      <c r="P103" s="256"/>
      <c r="Q103" s="260">
        <f>SUMIFS(Input[OPEB Exp E&amp;G],Input[System],$Z$2)+SUMIFS(Input[OPEB Exp Desg],Input[System],$Z$2)+SUMIFS(Input[OPEB Exp Aux],Input[System],$Z$2)+SUMIFS(Input[OPEB Exp R Exp],Input[System],$Z$2)+SUMIFS(Input[OPEB Exp Loan],Input[System],$Z$2)+SUMIFS(Input[OPEB Exp Annuity],Input[System],$Z$2)+SUMIFS(Input[OPEB Exp Unexp],Input[System],$Z$2)+SUMIFS(Input[OPEB Exp R of Ind],Input[System],$Z$2)+SUMIFS(Input[OPEB Exp Inv in P],Input[System],$Z$2)</f>
        <v>0</v>
      </c>
      <c r="R103" s="260"/>
      <c r="S103" s="260"/>
      <c r="T103" s="455">
        <f t="shared" si="6"/>
        <v>0</v>
      </c>
      <c r="U103" s="456"/>
      <c r="V103" s="457"/>
      <c r="W103" s="59"/>
      <c r="X103" s="59"/>
      <c r="Y103" s="56"/>
      <c r="Z103" s="56"/>
      <c r="AA103" s="56"/>
      <c r="AB103" s="56"/>
      <c r="AC103" s="56"/>
      <c r="AD103" s="56"/>
      <c r="AE103" s="56"/>
      <c r="AF103" s="56"/>
      <c r="AG103" s="56"/>
      <c r="AH103" s="56"/>
      <c r="AI103" s="56"/>
      <c r="AJ103" s="56"/>
      <c r="AK103" s="56"/>
      <c r="AL103" s="27"/>
      <c r="AM103" s="27"/>
      <c r="AN103" s="27"/>
      <c r="AO103" s="27"/>
      <c r="AP103" s="27"/>
      <c r="AQ103" s="27"/>
      <c r="AR103" s="27"/>
      <c r="AS103" s="27"/>
      <c r="AT103" s="27"/>
      <c r="AU103" s="27"/>
      <c r="AV103" s="56"/>
      <c r="AW103" s="56"/>
    </row>
    <row r="104" spans="1:50" s="57" customFormat="1" ht="30" customHeight="1" x14ac:dyDescent="0.3">
      <c r="A104" s="56"/>
      <c r="B104" s="56"/>
      <c r="C104" s="56"/>
      <c r="D104" s="56"/>
      <c r="E104" s="56"/>
      <c r="F104" s="56"/>
      <c r="G104" s="56"/>
      <c r="H104" s="306" t="s">
        <v>945</v>
      </c>
      <c r="I104" s="255"/>
      <c r="J104" s="255"/>
      <c r="K104" s="255"/>
      <c r="L104" s="255"/>
      <c r="M104" s="255"/>
      <c r="N104" s="255"/>
      <c r="O104" s="255"/>
      <c r="P104" s="256"/>
      <c r="Q104" s="260">
        <f>SUMIFS(Input[Non-Cash Cap E&amp;G],Input[System],$Z$2)+SUMIFS(Input[Non-Cash Cap Desg],Input[System],$Z$2)+SUMIFS(Input[Non-Cash Cap Aux],Input[System],$Z$2)+SUMIFS(Input[Non-Cash Cap R Exp],Input[System],$Z$2)+SUMIFS(Input[Non-Cash Cap Loan],Input[System],$Z$2)+SUMIFS(Input[Non-Cash Cap Annuity],Input[System],$Z$2)+SUMIFS(Input[Non-Cash Cap Unexp],Input[System],$Z$2)+SUMIFS(Input[Non-Cash Cap R of Ind],Input[System],$Z$2)+SUMIFS(Input[Non-Cash Cap Inv in P],Input[System],$Z$2)</f>
        <v>0</v>
      </c>
      <c r="R104" s="260"/>
      <c r="S104" s="260"/>
      <c r="T104" s="455">
        <f t="shared" si="6"/>
        <v>0</v>
      </c>
      <c r="U104" s="456"/>
      <c r="V104" s="457"/>
      <c r="W104" s="59"/>
      <c r="X104" s="59"/>
      <c r="Y104" s="56"/>
      <c r="Z104" s="56"/>
      <c r="AA104" s="56"/>
      <c r="AB104" s="56"/>
      <c r="AC104" s="56"/>
      <c r="AD104" s="56"/>
      <c r="AE104" s="56"/>
      <c r="AF104" s="56"/>
      <c r="AG104" s="56"/>
      <c r="AH104" s="56"/>
      <c r="AI104" s="56"/>
      <c r="AJ104" s="56"/>
      <c r="AK104" s="56"/>
      <c r="AL104" s="27"/>
      <c r="AM104" s="27"/>
      <c r="AN104" s="27"/>
      <c r="AO104" s="27"/>
      <c r="AP104" s="27"/>
      <c r="AQ104" s="27"/>
      <c r="AR104" s="27"/>
      <c r="AS104" s="27"/>
      <c r="AT104" s="27"/>
      <c r="AU104" s="27"/>
      <c r="AV104" s="56"/>
      <c r="AW104" s="56"/>
    </row>
    <row r="105" spans="1:50" s="57" customFormat="1" ht="30" customHeight="1" x14ac:dyDescent="0.3">
      <c r="A105" s="56"/>
      <c r="B105" s="56"/>
      <c r="C105" s="56"/>
      <c r="D105" s="56"/>
      <c r="E105" s="56"/>
      <c r="F105" s="56"/>
      <c r="G105" s="56"/>
      <c r="H105" s="306" t="s">
        <v>946</v>
      </c>
      <c r="I105" s="255"/>
      <c r="J105" s="255"/>
      <c r="K105" s="255"/>
      <c r="L105" s="255"/>
      <c r="M105" s="255"/>
      <c r="N105" s="255"/>
      <c r="O105" s="255"/>
      <c r="P105" s="256"/>
      <c r="Q105" s="260">
        <f>SUMIFS(Input[Cap Out E&amp;G],Input[System],$Z$2)+SUMIFS(Input[Cap Out Desg],Input[System],$Z$2)+SUMIFS(Input[Cap Out Aux],Input[System],$Z$2)+SUMIFS(Input[Cap Out R Exp],Input[System],$Z$2)+SUMIFS(Input[Cap Out Loan],Input[System],$Z$2)+SUMIFS(Input[Cap Out Annuity],Input[System],$Z$2)+SUMIFS(Input[Cap Out Unexp],Input[System],$Z$2)+SUMIFS(Input[Cap Out R of Ind],Input[System],$Z$2)+SUMIFS(Input[Cap Out Inv in P],Input[System],$Z$2)</f>
        <v>0</v>
      </c>
      <c r="R105" s="260"/>
      <c r="S105" s="260"/>
      <c r="T105" s="458">
        <f t="shared" si="6"/>
        <v>0</v>
      </c>
      <c r="U105" s="459"/>
      <c r="V105" s="460"/>
      <c r="W105" s="59"/>
      <c r="X105" s="59"/>
      <c r="Y105" s="56"/>
      <c r="Z105" s="56"/>
      <c r="AA105" s="56"/>
      <c r="AB105" s="56"/>
      <c r="AC105" s="56"/>
      <c r="AD105" s="56"/>
      <c r="AE105" s="56"/>
      <c r="AF105" s="56"/>
      <c r="AG105" s="56"/>
      <c r="AH105" s="56"/>
      <c r="AI105" s="56"/>
      <c r="AJ105" s="56"/>
      <c r="AK105" s="56"/>
      <c r="AL105" s="27"/>
      <c r="AM105" s="27"/>
      <c r="AN105" s="27"/>
      <c r="AO105" s="27"/>
      <c r="AP105" s="27"/>
      <c r="AQ105" s="27"/>
      <c r="AR105" s="27"/>
      <c r="AS105" s="27"/>
      <c r="AT105" s="27"/>
      <c r="AU105" s="27"/>
      <c r="AV105" s="56"/>
      <c r="AW105" s="56"/>
    </row>
    <row r="106" spans="1:50" s="57" customFormat="1" ht="30" customHeight="1" x14ac:dyDescent="0.3">
      <c r="A106" s="56"/>
      <c r="B106" s="56"/>
      <c r="C106" s="56"/>
      <c r="D106" s="56"/>
      <c r="E106" s="56"/>
      <c r="F106" s="56"/>
      <c r="G106" s="56"/>
      <c r="H106" s="323"/>
      <c r="I106" s="324"/>
      <c r="J106" s="324"/>
      <c r="K106" s="324"/>
      <c r="L106" s="324"/>
      <c r="M106" s="324"/>
      <c r="N106" s="324"/>
      <c r="O106" s="324"/>
      <c r="P106" s="324"/>
      <c r="Q106" s="329">
        <f>SUM(Q97,Q100:S105)</f>
        <v>0</v>
      </c>
      <c r="R106" s="329"/>
      <c r="S106" s="329"/>
      <c r="T106" s="329">
        <f>SUM(T97,T100:V105)</f>
        <v>0</v>
      </c>
      <c r="U106" s="329"/>
      <c r="V106" s="330"/>
      <c r="W106" s="59"/>
      <c r="X106" s="59"/>
      <c r="Y106" s="56"/>
      <c r="Z106" s="56"/>
      <c r="AA106" s="56"/>
      <c r="AB106" s="56"/>
      <c r="AC106" s="56"/>
      <c r="AD106" s="56"/>
      <c r="AE106" s="56"/>
      <c r="AF106" s="56"/>
      <c r="AG106" s="56"/>
      <c r="AH106" s="56"/>
      <c r="AI106" s="56"/>
      <c r="AJ106" s="56"/>
      <c r="AK106" s="56"/>
      <c r="AL106" s="27"/>
      <c r="AM106" s="27"/>
      <c r="AN106" s="27"/>
      <c r="AO106" s="27"/>
      <c r="AP106" s="27"/>
      <c r="AQ106" s="27"/>
      <c r="AR106" s="27"/>
      <c r="AS106" s="27"/>
      <c r="AT106" s="27"/>
      <c r="AU106" s="27"/>
      <c r="AV106" s="56"/>
      <c r="AW106" s="56"/>
    </row>
    <row r="107" spans="1:50" s="57" customFormat="1" ht="30" customHeight="1" x14ac:dyDescent="0.3">
      <c r="A107" s="56"/>
      <c r="B107" s="56"/>
      <c r="C107" s="56"/>
      <c r="D107" s="56"/>
      <c r="E107" s="56"/>
      <c r="F107" s="56"/>
      <c r="G107" s="56"/>
      <c r="H107" s="59"/>
      <c r="I107" s="59"/>
      <c r="J107" s="59"/>
      <c r="K107" s="59"/>
      <c r="L107" s="59"/>
      <c r="M107" s="59"/>
      <c r="N107" s="59"/>
      <c r="O107" s="59"/>
      <c r="P107" s="59"/>
      <c r="Q107" s="80"/>
      <c r="R107" s="80"/>
      <c r="S107" s="80"/>
      <c r="T107" s="80"/>
      <c r="U107" s="80"/>
      <c r="V107" s="80"/>
      <c r="W107" s="59"/>
      <c r="X107" s="59"/>
      <c r="Y107" s="56"/>
      <c r="Z107" s="56"/>
      <c r="AA107" s="56"/>
      <c r="AB107" s="56"/>
      <c r="AC107" s="56"/>
      <c r="AD107" s="56"/>
      <c r="AE107" s="56"/>
      <c r="AF107" s="56"/>
      <c r="AG107" s="56"/>
      <c r="AH107" s="56"/>
      <c r="AI107" s="56"/>
      <c r="AJ107" s="56"/>
      <c r="AK107" s="56"/>
      <c r="AL107" s="27"/>
      <c r="AM107" s="27"/>
      <c r="AN107" s="27"/>
      <c r="AO107" s="27"/>
      <c r="AP107" s="27"/>
      <c r="AQ107" s="27"/>
      <c r="AR107" s="27"/>
      <c r="AS107" s="27"/>
      <c r="AT107" s="27"/>
      <c r="AU107" s="27"/>
      <c r="AV107" s="56"/>
      <c r="AW107" s="56"/>
    </row>
    <row r="108" spans="1:50" ht="30" customHeight="1"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row>
  </sheetData>
  <sheetProtection algorithmName="SHA-512" hashValue="AD8aaK5bIU0a14A+tRH19pbx1NLJx5nC0uV5sqJ6ad6FD3jic6jxQ6GLICLoDgDwUMdQiQpE0+ObiMuc/h+0xw==" saltValue="qbAwRdGCrvBVndBmYYVdQA==" spinCount="100000" sheet="1" objects="1" scenarios="1" formatCells="0" formatColumns="0" formatRows="0"/>
  <mergeCells count="382">
    <mergeCell ref="H1:V1"/>
    <mergeCell ref="Z1:AB1"/>
    <mergeCell ref="AC1:AE1"/>
    <mergeCell ref="H2:V2"/>
    <mergeCell ref="Z2:AB2"/>
    <mergeCell ref="H3:V3"/>
    <mergeCell ref="H5:V7"/>
    <mergeCell ref="H8:V8"/>
    <mergeCell ref="X8:AJ8"/>
    <mergeCell ref="AM8:AV9"/>
    <mergeCell ref="H9:P9"/>
    <mergeCell ref="Q9:S9"/>
    <mergeCell ref="T9:V9"/>
    <mergeCell ref="X9:AD9"/>
    <mergeCell ref="AE9:AG9"/>
    <mergeCell ref="AH9:AJ9"/>
    <mergeCell ref="AM10:AV38"/>
    <mergeCell ref="H11:P11"/>
    <mergeCell ref="Q11:S11"/>
    <mergeCell ref="T11:V11"/>
    <mergeCell ref="X11:AD11"/>
    <mergeCell ref="AE11:AG11"/>
    <mergeCell ref="AH11:AJ11"/>
    <mergeCell ref="H12:P12"/>
    <mergeCell ref="Q12:S12"/>
    <mergeCell ref="T12:V12"/>
    <mergeCell ref="H10:P10"/>
    <mergeCell ref="Q10:S10"/>
    <mergeCell ref="T10:V10"/>
    <mergeCell ref="X10:AD10"/>
    <mergeCell ref="AE10:AG10"/>
    <mergeCell ref="AH10:AJ10"/>
    <mergeCell ref="X14:AD14"/>
    <mergeCell ref="AE14:AG14"/>
    <mergeCell ref="AH14:AJ14"/>
    <mergeCell ref="X12:AD12"/>
    <mergeCell ref="AE12:AG12"/>
    <mergeCell ref="AH12:AJ12"/>
    <mergeCell ref="H13:P13"/>
    <mergeCell ref="Q13:S13"/>
    <mergeCell ref="T13:V13"/>
    <mergeCell ref="X13:AD13"/>
    <mergeCell ref="AE13:AG13"/>
    <mergeCell ref="AH13:AJ13"/>
    <mergeCell ref="H16:P16"/>
    <mergeCell ref="Q16:S16"/>
    <mergeCell ref="T16:V16"/>
    <mergeCell ref="H17:P17"/>
    <mergeCell ref="Q17:S17"/>
    <mergeCell ref="T17:V17"/>
    <mergeCell ref="H14:P14"/>
    <mergeCell ref="Q14:S14"/>
    <mergeCell ref="T14:V14"/>
    <mergeCell ref="H21:P21"/>
    <mergeCell ref="Q21:S21"/>
    <mergeCell ref="T21:V21"/>
    <mergeCell ref="H22:P22"/>
    <mergeCell ref="Q22:S22"/>
    <mergeCell ref="T22:V22"/>
    <mergeCell ref="H18:V18"/>
    <mergeCell ref="H19:P19"/>
    <mergeCell ref="Q19:S19"/>
    <mergeCell ref="T19:V19"/>
    <mergeCell ref="H20:P20"/>
    <mergeCell ref="Q20:S20"/>
    <mergeCell ref="T20:V20"/>
    <mergeCell ref="H26:P26"/>
    <mergeCell ref="Q26:S26"/>
    <mergeCell ref="T26:V26"/>
    <mergeCell ref="H27:P27"/>
    <mergeCell ref="Q27:S27"/>
    <mergeCell ref="T27:V27"/>
    <mergeCell ref="H23:P23"/>
    <mergeCell ref="Q23:S23"/>
    <mergeCell ref="T23:V23"/>
    <mergeCell ref="H24:V24"/>
    <mergeCell ref="H25:P25"/>
    <mergeCell ref="Q25:S25"/>
    <mergeCell ref="T25:V25"/>
    <mergeCell ref="X29:AI29"/>
    <mergeCell ref="H30:P30"/>
    <mergeCell ref="Q30:S30"/>
    <mergeCell ref="T30:V30"/>
    <mergeCell ref="H32:P32"/>
    <mergeCell ref="Q32:S32"/>
    <mergeCell ref="T32:V32"/>
    <mergeCell ref="X32:AG32"/>
    <mergeCell ref="H28:P28"/>
    <mergeCell ref="Q28:S28"/>
    <mergeCell ref="T28:V28"/>
    <mergeCell ref="H29:P29"/>
    <mergeCell ref="Q29:S29"/>
    <mergeCell ref="T29:V29"/>
    <mergeCell ref="X35:AD35"/>
    <mergeCell ref="AE35:AG35"/>
    <mergeCell ref="H36:P36"/>
    <mergeCell ref="Q36:S36"/>
    <mergeCell ref="T36:V36"/>
    <mergeCell ref="H33:V33"/>
    <mergeCell ref="X33:AD33"/>
    <mergeCell ref="AE33:AG33"/>
    <mergeCell ref="H34:P34"/>
    <mergeCell ref="Q34:S34"/>
    <mergeCell ref="T34:V34"/>
    <mergeCell ref="X34:AD34"/>
    <mergeCell ref="AE34:AG34"/>
    <mergeCell ref="H37:P37"/>
    <mergeCell ref="Q37:S37"/>
    <mergeCell ref="T37:V37"/>
    <mergeCell ref="H38:P38"/>
    <mergeCell ref="Q38:S38"/>
    <mergeCell ref="T38:V38"/>
    <mergeCell ref="H35:P35"/>
    <mergeCell ref="Q35:S35"/>
    <mergeCell ref="T35:V35"/>
    <mergeCell ref="H41:P41"/>
    <mergeCell ref="Q41:S41"/>
    <mergeCell ref="T41:V41"/>
    <mergeCell ref="X41:AD41"/>
    <mergeCell ref="AE41:AG41"/>
    <mergeCell ref="AH41:AJ41"/>
    <mergeCell ref="H39:V39"/>
    <mergeCell ref="X39:AJ39"/>
    <mergeCell ref="H40:P40"/>
    <mergeCell ref="Q40:S40"/>
    <mergeCell ref="T40:V40"/>
    <mergeCell ref="X40:AD40"/>
    <mergeCell ref="AE40:AG40"/>
    <mergeCell ref="AH40:AJ40"/>
    <mergeCell ref="H43:P43"/>
    <mergeCell ref="Q43:S43"/>
    <mergeCell ref="T43:V43"/>
    <mergeCell ref="X43:AD43"/>
    <mergeCell ref="AE43:AG43"/>
    <mergeCell ref="AH43:AJ43"/>
    <mergeCell ref="H42:P42"/>
    <mergeCell ref="Q42:S42"/>
    <mergeCell ref="T42:V42"/>
    <mergeCell ref="X42:AD42"/>
    <mergeCell ref="AE42:AG42"/>
    <mergeCell ref="AH42:AJ42"/>
    <mergeCell ref="H45:P45"/>
    <mergeCell ref="Q45:S45"/>
    <mergeCell ref="T45:V45"/>
    <mergeCell ref="X45:AD45"/>
    <mergeCell ref="AE45:AG45"/>
    <mergeCell ref="AH45:AJ45"/>
    <mergeCell ref="H44:P44"/>
    <mergeCell ref="Q44:S44"/>
    <mergeCell ref="T44:V44"/>
    <mergeCell ref="X44:AD44"/>
    <mergeCell ref="AE44:AG44"/>
    <mergeCell ref="AH44:AJ44"/>
    <mergeCell ref="X46:AD46"/>
    <mergeCell ref="AE46:AG46"/>
    <mergeCell ref="AH46:AJ46"/>
    <mergeCell ref="H47:P47"/>
    <mergeCell ref="Q47:S47"/>
    <mergeCell ref="T47:V47"/>
    <mergeCell ref="X47:AD47"/>
    <mergeCell ref="AE47:AG47"/>
    <mergeCell ref="AH47:AJ47"/>
    <mergeCell ref="X48:AD48"/>
    <mergeCell ref="AE48:AG48"/>
    <mergeCell ref="AH48:AJ48"/>
    <mergeCell ref="H49:P49"/>
    <mergeCell ref="Q49:S49"/>
    <mergeCell ref="T49:V49"/>
    <mergeCell ref="X49:AD49"/>
    <mergeCell ref="AE49:AG49"/>
    <mergeCell ref="AH49:AJ49"/>
    <mergeCell ref="X54:AD54"/>
    <mergeCell ref="AE54:AG54"/>
    <mergeCell ref="AH54:AJ54"/>
    <mergeCell ref="H50:P50"/>
    <mergeCell ref="Q50:S50"/>
    <mergeCell ref="T50:V50"/>
    <mergeCell ref="X50:AD50"/>
    <mergeCell ref="AE50:AG50"/>
    <mergeCell ref="AH50:AJ50"/>
    <mergeCell ref="X51:AD51"/>
    <mergeCell ref="AE51:AG51"/>
    <mergeCell ref="AH51:AJ51"/>
    <mergeCell ref="H53:P53"/>
    <mergeCell ref="Q53:S53"/>
    <mergeCell ref="T53:V53"/>
    <mergeCell ref="X53:AD53"/>
    <mergeCell ref="AE53:AG53"/>
    <mergeCell ref="AH53:AJ53"/>
    <mergeCell ref="H52:P52"/>
    <mergeCell ref="Q52:S52"/>
    <mergeCell ref="T52:V52"/>
    <mergeCell ref="X52:AD52"/>
    <mergeCell ref="AE52:AG52"/>
    <mergeCell ref="AH52:AJ52"/>
    <mergeCell ref="H56:P56"/>
    <mergeCell ref="Q56:S56"/>
    <mergeCell ref="T56:V56"/>
    <mergeCell ref="H58:P58"/>
    <mergeCell ref="Q58:S58"/>
    <mergeCell ref="T58:V58"/>
    <mergeCell ref="H55:P55"/>
    <mergeCell ref="Q55:S55"/>
    <mergeCell ref="T55:V55"/>
    <mergeCell ref="H61:P61"/>
    <mergeCell ref="Q61:S61"/>
    <mergeCell ref="T61:V61"/>
    <mergeCell ref="H62:P62"/>
    <mergeCell ref="Q62:S62"/>
    <mergeCell ref="T62:V62"/>
    <mergeCell ref="H59:P59"/>
    <mergeCell ref="Q59:S59"/>
    <mergeCell ref="T59:V59"/>
    <mergeCell ref="H60:P60"/>
    <mergeCell ref="Q60:S60"/>
    <mergeCell ref="T60:V60"/>
    <mergeCell ref="H65:P65"/>
    <mergeCell ref="Q65:S65"/>
    <mergeCell ref="T65:V65"/>
    <mergeCell ref="H67:P67"/>
    <mergeCell ref="Q67:S67"/>
    <mergeCell ref="T67:V67"/>
    <mergeCell ref="H69:V69"/>
    <mergeCell ref="X69:AJ69"/>
    <mergeCell ref="H63:P63"/>
    <mergeCell ref="Q63:S63"/>
    <mergeCell ref="T63:V63"/>
    <mergeCell ref="H64:P64"/>
    <mergeCell ref="Q64:S64"/>
    <mergeCell ref="T64:V64"/>
    <mergeCell ref="Q71:S71"/>
    <mergeCell ref="T71:V71"/>
    <mergeCell ref="X71:AD71"/>
    <mergeCell ref="AE71:AG71"/>
    <mergeCell ref="AH71:AJ71"/>
    <mergeCell ref="H70:P70"/>
    <mergeCell ref="Q70:S70"/>
    <mergeCell ref="T70:V70"/>
    <mergeCell ref="X70:AD70"/>
    <mergeCell ref="AE70:AG70"/>
    <mergeCell ref="AH70:AJ70"/>
    <mergeCell ref="AL69:AU69"/>
    <mergeCell ref="H76:P76"/>
    <mergeCell ref="Q76:S76"/>
    <mergeCell ref="T76:V76"/>
    <mergeCell ref="X76:AD76"/>
    <mergeCell ref="AE76:AG76"/>
    <mergeCell ref="AH76:AJ76"/>
    <mergeCell ref="AL70:AR70"/>
    <mergeCell ref="AS70:AU70"/>
    <mergeCell ref="H75:P75"/>
    <mergeCell ref="Q75:S75"/>
    <mergeCell ref="T75:V75"/>
    <mergeCell ref="X75:AD75"/>
    <mergeCell ref="AE75:AG75"/>
    <mergeCell ref="AH75:AJ75"/>
    <mergeCell ref="H74:P74"/>
    <mergeCell ref="Q74:S74"/>
    <mergeCell ref="T74:V74"/>
    <mergeCell ref="X74:AD74"/>
    <mergeCell ref="AE74:AG74"/>
    <mergeCell ref="AH74:AJ74"/>
    <mergeCell ref="H73:P73"/>
    <mergeCell ref="Q73:S73"/>
    <mergeCell ref="T73:V73"/>
    <mergeCell ref="AS71:AU71"/>
    <mergeCell ref="H78:P78"/>
    <mergeCell ref="Q78:S78"/>
    <mergeCell ref="T78:V78"/>
    <mergeCell ref="X78:AD78"/>
    <mergeCell ref="AE78:AG78"/>
    <mergeCell ref="AH78:AJ78"/>
    <mergeCell ref="AS72:AU72"/>
    <mergeCell ref="H77:P77"/>
    <mergeCell ref="Q77:S77"/>
    <mergeCell ref="T77:V77"/>
    <mergeCell ref="X77:AD77"/>
    <mergeCell ref="AE77:AG77"/>
    <mergeCell ref="AH77:AJ77"/>
    <mergeCell ref="X73:AD73"/>
    <mergeCell ref="AE73:AG73"/>
    <mergeCell ref="AH73:AJ73"/>
    <mergeCell ref="H72:P72"/>
    <mergeCell ref="Q72:S72"/>
    <mergeCell ref="T72:V72"/>
    <mergeCell ref="X72:AD72"/>
    <mergeCell ref="AE72:AG72"/>
    <mergeCell ref="AH72:AJ72"/>
    <mergeCell ref="H71:P71"/>
    <mergeCell ref="AS73:AU73"/>
    <mergeCell ref="H80:P80"/>
    <mergeCell ref="Q80:S80"/>
    <mergeCell ref="T80:V80"/>
    <mergeCell ref="X80:AD80"/>
    <mergeCell ref="AE80:AG80"/>
    <mergeCell ref="AH80:AJ80"/>
    <mergeCell ref="AS74:AU74"/>
    <mergeCell ref="H79:P79"/>
    <mergeCell ref="Q79:S79"/>
    <mergeCell ref="T79:V79"/>
    <mergeCell ref="X79:AD79"/>
    <mergeCell ref="AE79:AG79"/>
    <mergeCell ref="AH79:AJ79"/>
    <mergeCell ref="AS75:AU75"/>
    <mergeCell ref="X81:AD81"/>
    <mergeCell ref="AE81:AG81"/>
    <mergeCell ref="AH81:AJ81"/>
    <mergeCell ref="H87:P87"/>
    <mergeCell ref="Q87:S87"/>
    <mergeCell ref="T87:V87"/>
    <mergeCell ref="H88:P88"/>
    <mergeCell ref="Q88:S88"/>
    <mergeCell ref="T88:V88"/>
    <mergeCell ref="H85:P85"/>
    <mergeCell ref="Q85:S85"/>
    <mergeCell ref="T85:V85"/>
    <mergeCell ref="H86:P86"/>
    <mergeCell ref="Q86:S86"/>
    <mergeCell ref="T86:V86"/>
    <mergeCell ref="H82:P82"/>
    <mergeCell ref="Q82:S82"/>
    <mergeCell ref="T82:V82"/>
    <mergeCell ref="H83:P83"/>
    <mergeCell ref="Q83:S83"/>
    <mergeCell ref="T83:V83"/>
    <mergeCell ref="H81:P81"/>
    <mergeCell ref="Q81:S81"/>
    <mergeCell ref="T81:V81"/>
    <mergeCell ref="H92:P92"/>
    <mergeCell ref="Q92:S92"/>
    <mergeCell ref="T92:V92"/>
    <mergeCell ref="H93:P93"/>
    <mergeCell ref="Q93:S93"/>
    <mergeCell ref="T93:V93"/>
    <mergeCell ref="H89:P89"/>
    <mergeCell ref="Q89:S89"/>
    <mergeCell ref="T89:V89"/>
    <mergeCell ref="H90:P90"/>
    <mergeCell ref="Q90:S90"/>
    <mergeCell ref="T90:V90"/>
    <mergeCell ref="H97:P97"/>
    <mergeCell ref="Q97:S97"/>
    <mergeCell ref="T97:V97"/>
    <mergeCell ref="H99:P99"/>
    <mergeCell ref="Q99:S99"/>
    <mergeCell ref="T99:V99"/>
    <mergeCell ref="H94:P94"/>
    <mergeCell ref="Q94:S94"/>
    <mergeCell ref="T94:V94"/>
    <mergeCell ref="H95:P95"/>
    <mergeCell ref="Q95:S95"/>
    <mergeCell ref="T95:V95"/>
    <mergeCell ref="H102:P102"/>
    <mergeCell ref="Q102:S102"/>
    <mergeCell ref="T102:V102"/>
    <mergeCell ref="H103:P103"/>
    <mergeCell ref="Q103:S103"/>
    <mergeCell ref="T103:V103"/>
    <mergeCell ref="H100:P100"/>
    <mergeCell ref="Q100:S100"/>
    <mergeCell ref="T100:V100"/>
    <mergeCell ref="H101:P101"/>
    <mergeCell ref="Q101:S101"/>
    <mergeCell ref="T101:V101"/>
    <mergeCell ref="H106:P106"/>
    <mergeCell ref="Q106:S106"/>
    <mergeCell ref="T106:V106"/>
    <mergeCell ref="H104:P104"/>
    <mergeCell ref="Q104:S104"/>
    <mergeCell ref="T104:V104"/>
    <mergeCell ref="H105:P105"/>
    <mergeCell ref="Q105:S105"/>
    <mergeCell ref="T105:V105"/>
    <mergeCell ref="AL39:AR39"/>
    <mergeCell ref="AS39:AU39"/>
    <mergeCell ref="AL40:AR40"/>
    <mergeCell ref="AS40:AU40"/>
    <mergeCell ref="AS41:AU41"/>
    <mergeCell ref="AS42:AU42"/>
    <mergeCell ref="AS43:AU43"/>
    <mergeCell ref="AS44:AU44"/>
    <mergeCell ref="AS45:AU45"/>
  </mergeCells>
  <conditionalFormatting sqref="H2:V2">
    <cfRule type="containsText" dxfId="8" priority="1" operator="containsText" text="▲">
      <formula>NOT(ISERROR(SEARCH("▲",H2)))</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D49DAC09-C31D-46E6-9D6F-8191680AC796}">
            <xm:f>NOT(ISERROR(SEARCH("Select",H1)))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H1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CC938B9-CC86-4550-AC68-595BC753CD21}">
          <x14:formula1>
            <xm:f>Hidden!$G$16:$G$23</xm:f>
          </x14:formula1>
          <xm:sqref>H1:V1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9062-FFD0-4891-AA1E-731F54DED5C5}">
  <sheetPr codeName="Sheet9">
    <tabColor theme="6"/>
  </sheetPr>
  <dimension ref="A1:AX108"/>
  <sheetViews>
    <sheetView zoomScale="80" zoomScaleNormal="80" workbookViewId="0"/>
  </sheetViews>
  <sheetFormatPr defaultColWidth="8.1640625" defaultRowHeight="13.8" x14ac:dyDescent="0.3"/>
  <cols>
    <col min="1" max="49" width="6.6640625" style="28" customWidth="1"/>
    <col min="50" max="51" width="7.58203125" style="28" customWidth="1"/>
    <col min="52" max="61" width="7" style="28" customWidth="1"/>
    <col min="62" max="16384" width="8.1640625" style="28"/>
  </cols>
  <sheetData>
    <row r="1" spans="1:49" s="57" customFormat="1" ht="30" customHeight="1" x14ac:dyDescent="0.3">
      <c r="A1" s="56"/>
      <c r="B1" s="56"/>
      <c r="C1" s="56"/>
      <c r="D1" s="56"/>
      <c r="E1" s="56"/>
      <c r="F1" s="56"/>
      <c r="G1" s="56"/>
      <c r="H1" s="238"/>
      <c r="I1" s="239"/>
      <c r="J1" s="239"/>
      <c r="K1" s="239"/>
      <c r="L1" s="239"/>
      <c r="M1" s="239"/>
      <c r="N1" s="239"/>
      <c r="O1" s="239"/>
      <c r="P1" s="239"/>
      <c r="Q1" s="239"/>
      <c r="R1" s="239"/>
      <c r="S1" s="239"/>
      <c r="T1" s="239"/>
      <c r="U1" s="239"/>
      <c r="V1" s="240"/>
      <c r="W1" s="56"/>
      <c r="X1" s="56"/>
      <c r="Y1" s="56"/>
      <c r="Z1" s="549">
        <f>SUMIFS(Input[FTSE], Input[Type],$Z$2)</f>
        <v>0</v>
      </c>
      <c r="AA1" s="549"/>
      <c r="AB1" s="549"/>
      <c r="AC1" s="550" t="s">
        <v>737</v>
      </c>
      <c r="AD1" s="550"/>
      <c r="AE1" s="550"/>
      <c r="AF1" s="56"/>
      <c r="AG1" s="56"/>
      <c r="AH1" s="56"/>
      <c r="AI1" s="56"/>
      <c r="AJ1" s="56"/>
      <c r="AK1" s="56"/>
      <c r="AL1" s="56"/>
      <c r="AM1" s="56"/>
      <c r="AN1" s="56"/>
      <c r="AO1" s="56"/>
      <c r="AP1" s="56"/>
      <c r="AQ1" s="56"/>
      <c r="AR1" s="56"/>
      <c r="AS1" s="56"/>
      <c r="AT1" s="56"/>
      <c r="AU1" s="56"/>
      <c r="AV1" s="56"/>
      <c r="AW1" s="56"/>
    </row>
    <row r="2" spans="1:49" s="57" customFormat="1" ht="30" customHeight="1" x14ac:dyDescent="0.3">
      <c r="A2" s="56"/>
      <c r="B2" s="56"/>
      <c r="C2" s="56"/>
      <c r="D2" s="56"/>
      <c r="E2" s="56"/>
      <c r="F2" s="56"/>
      <c r="G2" s="56"/>
      <c r="H2" s="551" t="str">
        <f>IF(ISBLANK($H$1),"▲ Select institution name from dropdown ▲",VLOOKUP($H$1,Hidden!$G$26:$I$30,2,FALSE))</f>
        <v>▲ Select institution name from dropdown ▲</v>
      </c>
      <c r="I2" s="552"/>
      <c r="J2" s="552"/>
      <c r="K2" s="552"/>
      <c r="L2" s="552"/>
      <c r="M2" s="552"/>
      <c r="N2" s="552"/>
      <c r="O2" s="552"/>
      <c r="P2" s="552"/>
      <c r="Q2" s="552"/>
      <c r="R2" s="552"/>
      <c r="S2" s="552"/>
      <c r="T2" s="552"/>
      <c r="U2" s="552"/>
      <c r="V2" s="553"/>
      <c r="W2" s="56"/>
      <c r="X2" s="56"/>
      <c r="Y2" s="56"/>
      <c r="Z2" s="537" t="e">
        <f>VLOOKUP($H$1,Hidden!$G$26:$I$30,3,FALSE)</f>
        <v>#N/A</v>
      </c>
      <c r="AA2" s="538"/>
      <c r="AB2" s="539"/>
      <c r="AC2" s="56"/>
      <c r="AD2" s="56"/>
      <c r="AE2" s="56"/>
      <c r="AF2" s="56"/>
      <c r="AG2" s="56"/>
      <c r="AH2" s="56"/>
      <c r="AI2" s="56"/>
      <c r="AJ2" s="56"/>
      <c r="AK2" s="56"/>
      <c r="AL2" s="56"/>
      <c r="AM2" s="56"/>
      <c r="AN2" s="56"/>
      <c r="AO2" s="56"/>
      <c r="AP2" s="56"/>
      <c r="AQ2" s="56"/>
      <c r="AR2" s="56"/>
      <c r="AS2" s="56"/>
      <c r="AT2" s="56"/>
      <c r="AU2" s="56"/>
      <c r="AV2" s="56"/>
      <c r="AW2" s="56"/>
    </row>
    <row r="3" spans="1:49" s="57" customFormat="1" ht="30" customHeight="1" x14ac:dyDescent="0.3">
      <c r="A3" s="56"/>
      <c r="B3" s="56"/>
      <c r="C3" s="56"/>
      <c r="D3" s="56"/>
      <c r="E3" s="56"/>
      <c r="F3" s="56"/>
      <c r="G3" s="56"/>
      <c r="H3" s="244" t="s">
        <v>68</v>
      </c>
      <c r="I3" s="245"/>
      <c r="J3" s="245"/>
      <c r="K3" s="245"/>
      <c r="L3" s="245"/>
      <c r="M3" s="245"/>
      <c r="N3" s="245"/>
      <c r="O3" s="245"/>
      <c r="P3" s="245"/>
      <c r="Q3" s="245"/>
      <c r="R3" s="245"/>
      <c r="S3" s="245"/>
      <c r="T3" s="245"/>
      <c r="U3" s="245"/>
      <c r="V3" s="245"/>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row>
    <row r="4" spans="1:49" s="57" customFormat="1" ht="30" customHeight="1" x14ac:dyDescent="0.4">
      <c r="A4" s="56"/>
      <c r="B4" s="56"/>
      <c r="C4" s="56"/>
      <c r="D4" s="56"/>
      <c r="E4" s="56"/>
      <c r="F4" s="56"/>
      <c r="G4" s="56"/>
      <c r="H4" s="58"/>
      <c r="I4" s="58"/>
      <c r="J4" s="58"/>
      <c r="K4" s="58"/>
      <c r="L4" s="58"/>
      <c r="M4" s="58"/>
      <c r="N4" s="58"/>
      <c r="O4" s="58"/>
      <c r="P4" s="58"/>
      <c r="Q4" s="58"/>
      <c r="R4" s="58"/>
      <c r="S4" s="58"/>
      <c r="T4" s="58"/>
      <c r="U4" s="58"/>
      <c r="V4" s="58"/>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row>
    <row r="5" spans="1:49" s="57" customFormat="1" ht="30" customHeight="1" x14ac:dyDescent="0.3">
      <c r="A5" s="56"/>
      <c r="B5" s="56"/>
      <c r="C5" s="56"/>
      <c r="D5" s="56"/>
      <c r="E5" s="56"/>
      <c r="F5" s="56"/>
      <c r="G5" s="56"/>
      <c r="H5" s="540" t="s">
        <v>1007</v>
      </c>
      <c r="I5" s="540"/>
      <c r="J5" s="540"/>
      <c r="K5" s="540"/>
      <c r="L5" s="540"/>
      <c r="M5" s="540"/>
      <c r="N5" s="540"/>
      <c r="O5" s="540"/>
      <c r="P5" s="540"/>
      <c r="Q5" s="540"/>
      <c r="R5" s="540"/>
      <c r="S5" s="540"/>
      <c r="T5" s="540"/>
      <c r="U5" s="540"/>
      <c r="V5" s="540"/>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row>
    <row r="6" spans="1:49" s="57" customFormat="1" ht="30" customHeight="1" x14ac:dyDescent="0.3">
      <c r="A6" s="56"/>
      <c r="B6" s="56"/>
      <c r="C6" s="56"/>
      <c r="D6" s="56"/>
      <c r="E6" s="56"/>
      <c r="F6" s="56"/>
      <c r="G6" s="56"/>
      <c r="H6" s="540"/>
      <c r="I6" s="540"/>
      <c r="J6" s="540"/>
      <c r="K6" s="540"/>
      <c r="L6" s="540"/>
      <c r="M6" s="540"/>
      <c r="N6" s="540"/>
      <c r="O6" s="540"/>
      <c r="P6" s="540"/>
      <c r="Q6" s="540"/>
      <c r="R6" s="540"/>
      <c r="S6" s="540"/>
      <c r="T6" s="540"/>
      <c r="U6" s="540"/>
      <c r="V6" s="540"/>
      <c r="W6" s="56"/>
      <c r="X6" s="56"/>
      <c r="Y6" s="56"/>
      <c r="Z6" s="56"/>
      <c r="AA6" s="56"/>
      <c r="AB6" s="56"/>
      <c r="AC6" s="56"/>
      <c r="AD6" s="56"/>
      <c r="AE6" s="56"/>
      <c r="AF6" s="56"/>
      <c r="AG6" s="56"/>
      <c r="AH6" s="56"/>
      <c r="AI6" s="56"/>
      <c r="AJ6" s="56"/>
      <c r="AK6" s="56"/>
      <c r="AL6" s="56"/>
      <c r="AM6" s="56"/>
      <c r="AN6" s="56"/>
      <c r="AO6" s="56"/>
      <c r="AP6" s="56"/>
      <c r="AQ6" s="56"/>
      <c r="AR6" s="56"/>
      <c r="AS6" s="56"/>
      <c r="AT6" s="56"/>
      <c r="AU6" s="56"/>
      <c r="AV6" s="56"/>
      <c r="AW6" s="56"/>
    </row>
    <row r="7" spans="1:49" s="57" customFormat="1" ht="30" customHeight="1" x14ac:dyDescent="0.3">
      <c r="A7" s="56"/>
      <c r="B7" s="56"/>
      <c r="C7" s="56"/>
      <c r="D7" s="56"/>
      <c r="E7" s="56"/>
      <c r="F7" s="56"/>
      <c r="G7" s="56"/>
      <c r="H7" s="540"/>
      <c r="I7" s="540"/>
      <c r="J7" s="540"/>
      <c r="K7" s="540"/>
      <c r="L7" s="540"/>
      <c r="M7" s="540"/>
      <c r="N7" s="540"/>
      <c r="O7" s="540"/>
      <c r="P7" s="540"/>
      <c r="Q7" s="540"/>
      <c r="R7" s="540"/>
      <c r="S7" s="540"/>
      <c r="T7" s="540"/>
      <c r="U7" s="540"/>
      <c r="V7" s="540"/>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s="57" customFormat="1" ht="30" customHeight="1" thickBot="1" x14ac:dyDescent="0.35">
      <c r="A8" s="56"/>
      <c r="B8" s="56"/>
      <c r="C8" s="56"/>
      <c r="D8" s="56"/>
      <c r="E8" s="56"/>
      <c r="F8" s="56"/>
      <c r="G8" s="56"/>
      <c r="H8" s="301" t="s">
        <v>875</v>
      </c>
      <c r="I8" s="302"/>
      <c r="J8" s="302"/>
      <c r="K8" s="302"/>
      <c r="L8" s="302"/>
      <c r="M8" s="302"/>
      <c r="N8" s="302"/>
      <c r="O8" s="302"/>
      <c r="P8" s="302"/>
      <c r="Q8" s="302"/>
      <c r="R8" s="302"/>
      <c r="S8" s="302"/>
      <c r="T8" s="302"/>
      <c r="U8" s="302"/>
      <c r="V8" s="303"/>
      <c r="W8" s="59"/>
      <c r="X8" s="541" t="s">
        <v>983</v>
      </c>
      <c r="Y8" s="542"/>
      <c r="Z8" s="542"/>
      <c r="AA8" s="542"/>
      <c r="AB8" s="542"/>
      <c r="AC8" s="542"/>
      <c r="AD8" s="542"/>
      <c r="AE8" s="542"/>
      <c r="AF8" s="542"/>
      <c r="AG8" s="542"/>
      <c r="AH8" s="542"/>
      <c r="AI8" s="542"/>
      <c r="AJ8" s="543"/>
      <c r="AK8" s="56"/>
      <c r="AL8" s="56"/>
      <c r="AM8" s="547" t="s">
        <v>1008</v>
      </c>
      <c r="AN8" s="548"/>
      <c r="AO8" s="548"/>
      <c r="AP8" s="548"/>
      <c r="AQ8" s="548"/>
      <c r="AR8" s="548"/>
      <c r="AS8" s="548"/>
      <c r="AT8" s="548"/>
      <c r="AU8" s="548"/>
      <c r="AV8" s="548"/>
      <c r="AW8" s="56"/>
    </row>
    <row r="9" spans="1:49" s="57" customFormat="1" ht="30" customHeight="1" thickBot="1" x14ac:dyDescent="0.35">
      <c r="A9" s="56"/>
      <c r="B9" s="56"/>
      <c r="C9" s="56"/>
      <c r="D9" s="56"/>
      <c r="E9" s="56"/>
      <c r="F9" s="56"/>
      <c r="G9" s="56"/>
      <c r="H9" s="477" t="s">
        <v>65</v>
      </c>
      <c r="I9" s="236"/>
      <c r="J9" s="236"/>
      <c r="K9" s="236"/>
      <c r="L9" s="236"/>
      <c r="M9" s="236"/>
      <c r="N9" s="236"/>
      <c r="O9" s="236"/>
      <c r="P9" s="236"/>
      <c r="Q9" s="478" t="s">
        <v>981</v>
      </c>
      <c r="R9" s="478"/>
      <c r="S9" s="478"/>
      <c r="T9" s="478" t="s">
        <v>982</v>
      </c>
      <c r="U9" s="478"/>
      <c r="V9" s="479"/>
      <c r="W9" s="59"/>
      <c r="X9" s="448" t="s">
        <v>984</v>
      </c>
      <c r="Y9" s="433"/>
      <c r="Z9" s="433"/>
      <c r="AA9" s="433"/>
      <c r="AB9" s="433"/>
      <c r="AC9" s="433"/>
      <c r="AD9" s="433"/>
      <c r="AE9" s="434" t="s">
        <v>985</v>
      </c>
      <c r="AF9" s="435"/>
      <c r="AG9" s="435"/>
      <c r="AH9" s="434" t="s">
        <v>986</v>
      </c>
      <c r="AI9" s="435"/>
      <c r="AJ9" s="449"/>
      <c r="AK9" s="56"/>
      <c r="AL9" s="56"/>
      <c r="AM9" s="548"/>
      <c r="AN9" s="548"/>
      <c r="AO9" s="548"/>
      <c r="AP9" s="548"/>
      <c r="AQ9" s="548"/>
      <c r="AR9" s="548"/>
      <c r="AS9" s="548"/>
      <c r="AT9" s="548"/>
      <c r="AU9" s="548"/>
      <c r="AV9" s="548"/>
      <c r="AW9" s="56"/>
    </row>
    <row r="10" spans="1:49" s="57" customFormat="1" ht="30" customHeight="1" x14ac:dyDescent="0.3">
      <c r="A10" s="56"/>
      <c r="B10" s="56"/>
      <c r="C10" s="56"/>
      <c r="D10" s="56"/>
      <c r="E10" s="56"/>
      <c r="F10" s="56"/>
      <c r="G10" s="56"/>
      <c r="H10" s="483" t="s">
        <v>885</v>
      </c>
      <c r="I10" s="247"/>
      <c r="J10" s="247"/>
      <c r="K10" s="247"/>
      <c r="L10" s="247"/>
      <c r="M10" s="247"/>
      <c r="N10" s="247"/>
      <c r="O10" s="247"/>
      <c r="P10" s="248"/>
      <c r="Q10" s="258">
        <f>SUMIFS(Input[St. Ap. E &amp; G],Input[Type],$Z$2)+SUMIFS(Input[St. Ap. Desg],Input[Type],$Z$2)+SUMIFS(Input[St. Ap. Aux],Input[Type],$Z$2)+SUMIFS(Input[St. Ap. R Exp],Input[Type],$Z$2)+SUMIFS(Input[St. Ap. Loan],Input[Type],$Z$2)+SUMIFS(Input[St. Ap. Annuity],Input[Type],$Z$2)+SUMIFS(Input[St. Ap. Unexp],Input[Type],$Z$2)+SUMIFS(Input[St. Ap. R of Ind],Input[Type],$Z$2)+SUMIFS(Input[St. Ap. Inv in P],Input[Type],$Z$2)</f>
        <v>0</v>
      </c>
      <c r="R10" s="258"/>
      <c r="S10" s="258"/>
      <c r="T10" s="258">
        <f>IFERROR(ROUND(Q10/$Z$1,0),0)</f>
        <v>0</v>
      </c>
      <c r="U10" s="258"/>
      <c r="V10" s="357"/>
      <c r="W10" s="59"/>
      <c r="X10" s="529" t="s">
        <v>65</v>
      </c>
      <c r="Y10" s="530"/>
      <c r="Z10" s="530"/>
      <c r="AA10" s="530"/>
      <c r="AB10" s="530"/>
      <c r="AC10" s="530"/>
      <c r="AD10" s="531"/>
      <c r="AE10" s="499">
        <f>Q14</f>
        <v>0</v>
      </c>
      <c r="AF10" s="499"/>
      <c r="AG10" s="499"/>
      <c r="AH10" s="532">
        <f>IFERROR(AE10/$AE$14,0)</f>
        <v>0</v>
      </c>
      <c r="AI10" s="532"/>
      <c r="AJ10" s="532"/>
      <c r="AK10" s="56"/>
      <c r="AL10" s="56"/>
      <c r="AM10" s="528" t="str" cm="1">
        <f t="array" ref="AM10">IFERROR(CHAR(10) &amp; _xlfn.TEXTJOIN(CHAR(10), TRUE, IF(Input[Type]=Z2, "▸ "&amp;Input[Institution Name], "")),"")</f>
        <v/>
      </c>
      <c r="AN10" s="528"/>
      <c r="AO10" s="528"/>
      <c r="AP10" s="528"/>
      <c r="AQ10" s="528"/>
      <c r="AR10" s="528"/>
      <c r="AS10" s="528"/>
      <c r="AT10" s="528"/>
      <c r="AU10" s="528"/>
      <c r="AV10" s="528"/>
      <c r="AW10" s="56"/>
    </row>
    <row r="11" spans="1:49" s="57" customFormat="1" ht="30" customHeight="1" x14ac:dyDescent="0.3">
      <c r="A11" s="56"/>
      <c r="B11" s="56"/>
      <c r="C11" s="56"/>
      <c r="D11" s="56"/>
      <c r="E11" s="56"/>
      <c r="F11" s="56"/>
      <c r="G11" s="56"/>
      <c r="H11" s="306" t="s">
        <v>886</v>
      </c>
      <c r="I11" s="255"/>
      <c r="J11" s="255"/>
      <c r="K11" s="255"/>
      <c r="L11" s="255"/>
      <c r="M11" s="255"/>
      <c r="N11" s="255"/>
      <c r="O11" s="255"/>
      <c r="P11" s="256"/>
      <c r="Q11" s="260">
        <f>SUMIFS(Input[St. C&amp;G E&amp;G],Input[Type],$Z$2)+SUMIFS(Input[St. C&amp;G Desg],Input[Type],$Z$2)+SUMIFS(Input[St. C&amp;G Aux],Input[Type],$Z$2)+SUMIFS(Input[St. C&amp;G R Exp],Input[Type],$Z$2)+SUMIFS(Input[St. C&amp;G Loan],Input[Type],$Z$2)+SUMIFS(Input[St. C&amp;G Annuity],Input[Type],$Z$2)+SUMIFS(Input[St. C&amp;G Unexp],Input[Type],$Z$2)+SUMIFS(Input[St. C&amp;G R of Ind],Input[Type],$Z$2)+SUMIFS(Input[St. C&amp;G Inv in P],Input[Type],$Z$2)</f>
        <v>0</v>
      </c>
      <c r="R11" s="260"/>
      <c r="S11" s="260"/>
      <c r="T11" s="260">
        <f>IFERROR(ROUND(Q11/$Z$1,0),0)</f>
        <v>0</v>
      </c>
      <c r="U11" s="260"/>
      <c r="V11" s="308"/>
      <c r="W11" s="59"/>
      <c r="X11" s="515" t="s">
        <v>987</v>
      </c>
      <c r="Y11" s="516"/>
      <c r="Z11" s="516"/>
      <c r="AA11" s="516"/>
      <c r="AB11" s="516"/>
      <c r="AC11" s="516"/>
      <c r="AD11" s="517"/>
      <c r="AE11" s="518">
        <f>Q47</f>
        <v>0</v>
      </c>
      <c r="AF11" s="518"/>
      <c r="AG11" s="518"/>
      <c r="AH11" s="519">
        <f>IFERROR(AE11/$AE$14,0)</f>
        <v>0</v>
      </c>
      <c r="AI11" s="519"/>
      <c r="AJ11" s="519"/>
      <c r="AK11" s="56"/>
      <c r="AL11" s="56"/>
      <c r="AM11" s="528"/>
      <c r="AN11" s="528"/>
      <c r="AO11" s="528"/>
      <c r="AP11" s="528"/>
      <c r="AQ11" s="528"/>
      <c r="AR11" s="528"/>
      <c r="AS11" s="528"/>
      <c r="AT11" s="528"/>
      <c r="AU11" s="528"/>
      <c r="AV11" s="528"/>
      <c r="AW11" s="56"/>
    </row>
    <row r="12" spans="1:49" s="57" customFormat="1" ht="30" customHeight="1" x14ac:dyDescent="0.3">
      <c r="A12" s="56"/>
      <c r="B12" s="56"/>
      <c r="C12" s="56"/>
      <c r="D12" s="56"/>
      <c r="E12" s="56"/>
      <c r="F12" s="56"/>
      <c r="G12" s="56"/>
      <c r="H12" s="306" t="s">
        <v>887</v>
      </c>
      <c r="I12" s="255"/>
      <c r="J12" s="255"/>
      <c r="K12" s="255"/>
      <c r="L12" s="255"/>
      <c r="M12" s="255"/>
      <c r="N12" s="255"/>
      <c r="O12" s="255"/>
      <c r="P12" s="256"/>
      <c r="Q12" s="260">
        <f>SUMIFS(Input[HEF E&amp;G],Input[Type],$Z$2)+SUMIFS(Input[HEF Desg],Input[Type],$Z$2)+SUMIFS(Input[HEF Aux],Input[Type],$Z$2)+SUMIFS(Input[HEF R Exp],Input[Type],$Z$2)+SUMIFS(Input[HEF Loan],Input[Type],$Z$2)+SUMIFS(Input[HEF Annuity],Input[Type],$Z$2)+SUMIFS(Input[HEF Unexp],Input[Type],$Z$2)+SUMIFS(Input[HEF R of Ind],Input[Type],$Z$2)+SUMIFS(Input[HEF Inv in P],Input[Type],$Z$2)</f>
        <v>0</v>
      </c>
      <c r="R12" s="260"/>
      <c r="S12" s="260"/>
      <c r="T12" s="260">
        <f>IFERROR(ROUND(Q12/$Z$1,0),0)</f>
        <v>0</v>
      </c>
      <c r="U12" s="260"/>
      <c r="V12" s="308"/>
      <c r="W12" s="59"/>
      <c r="X12" s="515" t="s">
        <v>988</v>
      </c>
      <c r="Y12" s="516"/>
      <c r="Z12" s="516"/>
      <c r="AA12" s="516"/>
      <c r="AB12" s="516"/>
      <c r="AC12" s="516"/>
      <c r="AD12" s="517"/>
      <c r="AE12" s="518">
        <f>Q50</f>
        <v>0</v>
      </c>
      <c r="AF12" s="518"/>
      <c r="AG12" s="518"/>
      <c r="AH12" s="519">
        <f>IFERROR(AE12/$AE$14,0)</f>
        <v>0</v>
      </c>
      <c r="AI12" s="519"/>
      <c r="AJ12" s="519"/>
      <c r="AK12" s="56"/>
      <c r="AL12" s="56"/>
      <c r="AM12" s="528"/>
      <c r="AN12" s="528"/>
      <c r="AO12" s="528"/>
      <c r="AP12" s="528"/>
      <c r="AQ12" s="528"/>
      <c r="AR12" s="528"/>
      <c r="AS12" s="528"/>
      <c r="AT12" s="528"/>
      <c r="AU12" s="528"/>
      <c r="AV12" s="528"/>
      <c r="AW12" s="56"/>
    </row>
    <row r="13" spans="1:49" s="57" customFormat="1" ht="30" customHeight="1" x14ac:dyDescent="0.3">
      <c r="A13" s="56"/>
      <c r="B13" s="56"/>
      <c r="C13" s="56"/>
      <c r="D13" s="56"/>
      <c r="E13" s="56"/>
      <c r="F13" s="56"/>
      <c r="G13" s="56"/>
      <c r="H13" s="326" t="s">
        <v>888</v>
      </c>
      <c r="I13" s="266"/>
      <c r="J13" s="266"/>
      <c r="K13" s="266"/>
      <c r="L13" s="266"/>
      <c r="M13" s="266"/>
      <c r="N13" s="266"/>
      <c r="O13" s="266"/>
      <c r="P13" s="267"/>
      <c r="Q13" s="260">
        <f>SUMIFS(Input[Available E&amp;G],Input[Type],$Z$2)+SUMIFS(Input[Available Desg],Input[Type],$Z$2)+SUMIFS(Input[Available Aux],Input[Type],$Z$2)+SUMIFS(Input[Available R Exp],Input[Type],$Z$2)+SUMIFS(Input[Available Loan],Input[Type],$Z$2)+SUMIFS(Input[Available Annuity],Input[Type],$Z$2)+SUMIFS(Input[Available Unexp],Input[Type],$Z$2)+SUMIFS(Input[Available R of Ind],Input[Type],$Z$2)+SUMIFS(Input[Available Inv in P],Input[Type],$Z$2)</f>
        <v>0</v>
      </c>
      <c r="R13" s="260"/>
      <c r="S13" s="260"/>
      <c r="T13" s="260">
        <f>IFERROR(ROUND(Q13/$Z$1,0),0)</f>
        <v>0</v>
      </c>
      <c r="U13" s="260"/>
      <c r="V13" s="308"/>
      <c r="W13" s="59"/>
      <c r="X13" s="520" t="s">
        <v>66</v>
      </c>
      <c r="Y13" s="521"/>
      <c r="Z13" s="521"/>
      <c r="AA13" s="521"/>
      <c r="AB13" s="521"/>
      <c r="AC13" s="521"/>
      <c r="AD13" s="522"/>
      <c r="AE13" s="500">
        <f>SUM(Q53,Q56,Q65)</f>
        <v>0</v>
      </c>
      <c r="AF13" s="500"/>
      <c r="AG13" s="500"/>
      <c r="AH13" s="523">
        <f>IFERROR(AE13/$AE$14,0)</f>
        <v>0</v>
      </c>
      <c r="AI13" s="523"/>
      <c r="AJ13" s="523"/>
      <c r="AK13" s="56"/>
      <c r="AL13" s="56"/>
      <c r="AM13" s="528"/>
      <c r="AN13" s="528"/>
      <c r="AO13" s="528"/>
      <c r="AP13" s="528"/>
      <c r="AQ13" s="528"/>
      <c r="AR13" s="528"/>
      <c r="AS13" s="528"/>
      <c r="AT13" s="528"/>
      <c r="AU13" s="528"/>
      <c r="AV13" s="528"/>
      <c r="AW13" s="56"/>
    </row>
    <row r="14" spans="1:49" s="57" customFormat="1" ht="30" customHeight="1" x14ac:dyDescent="0.3">
      <c r="A14" s="56"/>
      <c r="B14" s="56"/>
      <c r="C14" s="56"/>
      <c r="D14" s="56"/>
      <c r="E14" s="56"/>
      <c r="F14" s="56"/>
      <c r="G14" s="56"/>
      <c r="H14" s="323" t="s">
        <v>889</v>
      </c>
      <c r="I14" s="324"/>
      <c r="J14" s="324"/>
      <c r="K14" s="324"/>
      <c r="L14" s="324"/>
      <c r="M14" s="324"/>
      <c r="N14" s="324"/>
      <c r="O14" s="324"/>
      <c r="P14" s="324"/>
      <c r="Q14" s="329">
        <f>SUM(Q10:S13)</f>
        <v>0</v>
      </c>
      <c r="R14" s="329"/>
      <c r="S14" s="329"/>
      <c r="T14" s="329">
        <f>SUM(T10:V13)</f>
        <v>0</v>
      </c>
      <c r="U14" s="329"/>
      <c r="V14" s="330"/>
      <c r="W14" s="59"/>
      <c r="X14" s="390"/>
      <c r="Y14" s="390"/>
      <c r="Z14" s="390"/>
      <c r="AA14" s="390"/>
      <c r="AB14" s="390"/>
      <c r="AC14" s="390"/>
      <c r="AD14" s="390"/>
      <c r="AE14" s="391">
        <f>SUM(AE10:AE13)</f>
        <v>0</v>
      </c>
      <c r="AF14" s="391"/>
      <c r="AG14" s="391"/>
      <c r="AH14" s="512"/>
      <c r="AI14" s="513"/>
      <c r="AJ14" s="514"/>
      <c r="AK14" s="56"/>
      <c r="AL14" s="56"/>
      <c r="AM14" s="528"/>
      <c r="AN14" s="528"/>
      <c r="AO14" s="528"/>
      <c r="AP14" s="528"/>
      <c r="AQ14" s="528"/>
      <c r="AR14" s="528"/>
      <c r="AS14" s="528"/>
      <c r="AT14" s="528"/>
      <c r="AU14" s="528"/>
      <c r="AV14" s="528"/>
      <c r="AW14" s="56"/>
    </row>
    <row r="15" spans="1:49" s="57" customFormat="1" ht="30" customHeight="1" x14ac:dyDescent="0.3">
      <c r="A15" s="56"/>
      <c r="B15" s="56"/>
      <c r="C15" s="56"/>
      <c r="D15" s="56"/>
      <c r="E15" s="56"/>
      <c r="F15" s="56"/>
      <c r="G15" s="56"/>
      <c r="H15" s="60"/>
      <c r="I15" s="60"/>
      <c r="J15" s="60"/>
      <c r="K15" s="60"/>
      <c r="L15" s="60"/>
      <c r="M15" s="60"/>
      <c r="N15" s="60"/>
      <c r="O15" s="60"/>
      <c r="P15" s="60"/>
      <c r="Q15" s="61"/>
      <c r="R15" s="61"/>
      <c r="S15" s="61"/>
      <c r="T15" s="61"/>
      <c r="U15" s="61"/>
      <c r="V15" s="61"/>
      <c r="W15" s="59"/>
      <c r="X15" s="56"/>
      <c r="Y15" s="56"/>
      <c r="Z15" s="56"/>
      <c r="AA15" s="56"/>
      <c r="AB15" s="56"/>
      <c r="AC15" s="56"/>
      <c r="AD15" s="56"/>
      <c r="AE15" s="56"/>
      <c r="AF15" s="56"/>
      <c r="AG15" s="56"/>
      <c r="AH15" s="56"/>
      <c r="AI15" s="56"/>
      <c r="AJ15" s="56"/>
      <c r="AK15" s="56"/>
      <c r="AL15" s="56"/>
      <c r="AM15" s="528"/>
      <c r="AN15" s="528"/>
      <c r="AO15" s="528"/>
      <c r="AP15" s="528"/>
      <c r="AQ15" s="528"/>
      <c r="AR15" s="528"/>
      <c r="AS15" s="528"/>
      <c r="AT15" s="528"/>
      <c r="AU15" s="528"/>
      <c r="AV15" s="528"/>
      <c r="AW15" s="56"/>
    </row>
    <row r="16" spans="1:49" s="57" customFormat="1" ht="30" customHeight="1" x14ac:dyDescent="0.3">
      <c r="A16" s="56"/>
      <c r="B16" s="56"/>
      <c r="C16" s="56"/>
      <c r="D16" s="56"/>
      <c r="E16" s="56"/>
      <c r="F16" s="56"/>
      <c r="G16" s="56"/>
      <c r="H16" s="374" t="s">
        <v>890</v>
      </c>
      <c r="I16" s="375"/>
      <c r="J16" s="375"/>
      <c r="K16" s="375"/>
      <c r="L16" s="375"/>
      <c r="M16" s="375"/>
      <c r="N16" s="375"/>
      <c r="O16" s="375"/>
      <c r="P16" s="375"/>
      <c r="Q16" s="376" t="s">
        <v>981</v>
      </c>
      <c r="R16" s="376"/>
      <c r="S16" s="376"/>
      <c r="T16" s="376" t="s">
        <v>982</v>
      </c>
      <c r="U16" s="376"/>
      <c r="V16" s="377"/>
      <c r="W16" s="59"/>
      <c r="X16" s="56"/>
      <c r="Y16" s="56"/>
      <c r="Z16" s="56"/>
      <c r="AA16" s="56"/>
      <c r="AB16" s="56"/>
      <c r="AC16" s="56"/>
      <c r="AD16" s="56"/>
      <c r="AE16" s="56"/>
      <c r="AF16" s="56"/>
      <c r="AG16" s="56"/>
      <c r="AH16" s="56"/>
      <c r="AI16" s="56"/>
      <c r="AJ16" s="56"/>
      <c r="AK16" s="56"/>
      <c r="AL16" s="56"/>
      <c r="AM16" s="528"/>
      <c r="AN16" s="528"/>
      <c r="AO16" s="528"/>
      <c r="AP16" s="528"/>
      <c r="AQ16" s="528"/>
      <c r="AR16" s="528"/>
      <c r="AS16" s="528"/>
      <c r="AT16" s="528"/>
      <c r="AU16" s="528"/>
      <c r="AV16" s="528"/>
      <c r="AW16" s="56"/>
    </row>
    <row r="17" spans="1:49" s="57" customFormat="1" ht="30" customHeight="1" x14ac:dyDescent="0.3">
      <c r="A17" s="56"/>
      <c r="B17" s="56"/>
      <c r="C17" s="56"/>
      <c r="D17" s="56"/>
      <c r="E17" s="56"/>
      <c r="F17" s="56"/>
      <c r="G17" s="56"/>
      <c r="H17" s="509" t="s">
        <v>891</v>
      </c>
      <c r="I17" s="510"/>
      <c r="J17" s="510"/>
      <c r="K17" s="510"/>
      <c r="L17" s="510"/>
      <c r="M17" s="510"/>
      <c r="N17" s="510"/>
      <c r="O17" s="510"/>
      <c r="P17" s="511"/>
      <c r="Q17" s="269" cm="1">
        <f t="array" ref="Q17">SUM(Q23:S23,-Q19:S22)</f>
        <v>0</v>
      </c>
      <c r="R17" s="269"/>
      <c r="S17" s="269"/>
      <c r="T17" s="258">
        <f>IFERROR(ROUND(Q17/$Z$1,0),0)</f>
        <v>0</v>
      </c>
      <c r="U17" s="258"/>
      <c r="V17" s="357"/>
      <c r="W17" s="59"/>
      <c r="X17" s="56"/>
      <c r="Y17" s="56"/>
      <c r="Z17" s="56"/>
      <c r="AA17" s="56"/>
      <c r="AB17" s="56"/>
      <c r="AC17" s="56"/>
      <c r="AD17" s="56"/>
      <c r="AE17" s="56"/>
      <c r="AF17" s="56"/>
      <c r="AG17" s="56"/>
      <c r="AH17" s="56"/>
      <c r="AI17" s="56"/>
      <c r="AJ17" s="56"/>
      <c r="AK17" s="56"/>
      <c r="AL17" s="56"/>
      <c r="AM17" s="528"/>
      <c r="AN17" s="528"/>
      <c r="AO17" s="528"/>
      <c r="AP17" s="528"/>
      <c r="AQ17" s="528"/>
      <c r="AR17" s="528"/>
      <c r="AS17" s="528"/>
      <c r="AT17" s="528"/>
      <c r="AU17" s="528"/>
      <c r="AV17" s="528"/>
      <c r="AW17" s="56"/>
    </row>
    <row r="18" spans="1:49" s="57" customFormat="1" ht="30" customHeight="1" x14ac:dyDescent="0.3">
      <c r="A18" s="56"/>
      <c r="B18" s="56"/>
      <c r="C18" s="56"/>
      <c r="D18" s="56"/>
      <c r="E18" s="56"/>
      <c r="F18" s="56"/>
      <c r="G18" s="56"/>
      <c r="H18" s="487" t="s">
        <v>1119</v>
      </c>
      <c r="I18" s="274"/>
      <c r="J18" s="274"/>
      <c r="K18" s="274"/>
      <c r="L18" s="274"/>
      <c r="M18" s="274"/>
      <c r="N18" s="274"/>
      <c r="O18" s="274"/>
      <c r="P18" s="274"/>
      <c r="Q18" s="274"/>
      <c r="R18" s="274"/>
      <c r="S18" s="274"/>
      <c r="T18" s="274"/>
      <c r="U18" s="274"/>
      <c r="V18" s="488"/>
      <c r="W18" s="59"/>
      <c r="X18" s="56"/>
      <c r="Y18" s="56"/>
      <c r="Z18" s="56"/>
      <c r="AA18" s="56"/>
      <c r="AB18" s="56"/>
      <c r="AC18" s="56"/>
      <c r="AD18" s="56"/>
      <c r="AE18" s="56"/>
      <c r="AF18" s="56"/>
      <c r="AG18" s="56"/>
      <c r="AH18" s="56"/>
      <c r="AI18" s="56"/>
      <c r="AJ18" s="56"/>
      <c r="AK18" s="56"/>
      <c r="AL18" s="56"/>
      <c r="AM18" s="528"/>
      <c r="AN18" s="528"/>
      <c r="AO18" s="528"/>
      <c r="AP18" s="528"/>
      <c r="AQ18" s="528"/>
      <c r="AR18" s="528"/>
      <c r="AS18" s="528"/>
      <c r="AT18" s="528"/>
      <c r="AU18" s="528"/>
      <c r="AV18" s="528"/>
      <c r="AW18" s="56"/>
    </row>
    <row r="19" spans="1:49" s="57" customFormat="1" ht="30" customHeight="1" x14ac:dyDescent="0.3">
      <c r="A19" s="56"/>
      <c r="B19" s="56"/>
      <c r="C19" s="56"/>
      <c r="D19" s="56"/>
      <c r="E19" s="56"/>
      <c r="F19" s="56"/>
      <c r="G19" s="56"/>
      <c r="H19" s="483" t="s">
        <v>892</v>
      </c>
      <c r="I19" s="247"/>
      <c r="J19" s="247"/>
      <c r="K19" s="247"/>
      <c r="L19" s="247"/>
      <c r="M19" s="247"/>
      <c r="N19" s="247"/>
      <c r="O19" s="247"/>
      <c r="P19" s="248"/>
      <c r="Q19" s="258">
        <f>SUMIFS(Input[T. W. - Stat (NR AFR) E&amp;G],Input[Type],$Z$2)+SUMIFS(Input[T. W. - Stat (NR AFR) Desg],Input[Type],$Z$2)+SUMIFS(Input[T. W. - Stat (NR AFR) Aux],Input[Type],$Z$2)+SUMIFS(Input[T. W. - Stat (NR AFR) R Exp],Input[Type],$Z$2)+SUMIFS(Input[T. W. - Stat (NR AFR) Loan],Input[Type],$Z$2)+SUMIFS(Input[T. W. - Stat (NR AFR) Annuity],Input[Type],$Z$2)+SUMIFS(Input[T. W. - Stat (NR AFR) Unexp],Input[Type],$Z$2)+SUMIFS(Input[T. W. - Stat (NR AFR) R of Ind],Input[Type],$Z$2)+SUMIFS(Input[T. W. - Stat (NR AFR) Inv in P],Input[Type],$Z$2)</f>
        <v>0</v>
      </c>
      <c r="R19" s="258"/>
      <c r="S19" s="258"/>
      <c r="T19" s="258">
        <f>IFERROR(ROUND(Q19/$Z$1,0),0)</f>
        <v>0</v>
      </c>
      <c r="U19" s="258"/>
      <c r="V19" s="357"/>
      <c r="W19" s="59"/>
      <c r="X19" s="56"/>
      <c r="Y19" s="56"/>
      <c r="Z19" s="56"/>
      <c r="AA19" s="56"/>
      <c r="AB19" s="56"/>
      <c r="AC19" s="56"/>
      <c r="AD19" s="56"/>
      <c r="AE19" s="56"/>
      <c r="AF19" s="56"/>
      <c r="AG19" s="56"/>
      <c r="AH19" s="56"/>
      <c r="AI19" s="56"/>
      <c r="AJ19" s="56"/>
      <c r="AK19" s="56"/>
      <c r="AL19" s="56"/>
      <c r="AM19" s="528"/>
      <c r="AN19" s="528"/>
      <c r="AO19" s="528"/>
      <c r="AP19" s="528"/>
      <c r="AQ19" s="528"/>
      <c r="AR19" s="528"/>
      <c r="AS19" s="528"/>
      <c r="AT19" s="528"/>
      <c r="AU19" s="528"/>
      <c r="AV19" s="528"/>
      <c r="AW19" s="56"/>
    </row>
    <row r="20" spans="1:49" s="57" customFormat="1" ht="30" customHeight="1" x14ac:dyDescent="0.3">
      <c r="A20" s="56"/>
      <c r="B20" s="56"/>
      <c r="C20" s="56"/>
      <c r="D20" s="56"/>
      <c r="E20" s="56"/>
      <c r="F20" s="56"/>
      <c r="G20" s="56"/>
      <c r="H20" s="306" t="s">
        <v>893</v>
      </c>
      <c r="I20" s="255"/>
      <c r="J20" s="255"/>
      <c r="K20" s="255"/>
      <c r="L20" s="255"/>
      <c r="M20" s="255"/>
      <c r="N20" s="255"/>
      <c r="O20" s="255"/>
      <c r="P20" s="256"/>
      <c r="Q20" s="260">
        <f>SUMIFS(Input[T. W. - Inst. (NR AFR) E&amp;G],Input[Type],$Z$2)+SUMIFS(Input[T. W. - Inst. (NR AFR) Desg],Input[Type],$Z$2)+SUMIFS(Input[T. W. - Inst. (NR AFR) Aux],Input[Type],$Z$2)+SUMIFS(Input[T. W. - Inst. (NR AFR) R Exp],Input[Type],$Z$2)+SUMIFS(Input[T. W. - Inst. (NR AFR) Loan],Input[Type],$Z$2)+SUMIFS(Input[T. W. - Inst. (NR AFR) Annuity],Input[Type],$Z$2)+SUMIFS(Input[T. W. - Inst. (NR AFR) Unexp],Input[Type],$Z$2)+SUMIFS(Input[T. W. - Inst. (NR AFR) R of Ind],Input[Type],$Z$2)+SUMIFS(Input[T. W. - Inst. (NR AFR) Inv in P],Input[Type],$Z$2)</f>
        <v>0</v>
      </c>
      <c r="R20" s="260"/>
      <c r="S20" s="260"/>
      <c r="T20" s="260">
        <f>IFERROR(ROUND(Q20/$Z$1,0),0)</f>
        <v>0</v>
      </c>
      <c r="U20" s="260"/>
      <c r="V20" s="308"/>
      <c r="W20" s="59"/>
      <c r="X20" s="56"/>
      <c r="Y20" s="56"/>
      <c r="Z20" s="56"/>
      <c r="AA20" s="56"/>
      <c r="AB20" s="56"/>
      <c r="AC20" s="56"/>
      <c r="AD20" s="56"/>
      <c r="AE20" s="56"/>
      <c r="AF20" s="56"/>
      <c r="AG20" s="56"/>
      <c r="AH20" s="56"/>
      <c r="AI20" s="56"/>
      <c r="AJ20" s="56"/>
      <c r="AK20" s="56"/>
      <c r="AL20" s="56"/>
      <c r="AM20" s="528"/>
      <c r="AN20" s="528"/>
      <c r="AO20" s="528"/>
      <c r="AP20" s="528"/>
      <c r="AQ20" s="528"/>
      <c r="AR20" s="528"/>
      <c r="AS20" s="528"/>
      <c r="AT20" s="528"/>
      <c r="AU20" s="528"/>
      <c r="AV20" s="528"/>
      <c r="AW20" s="56"/>
    </row>
    <row r="21" spans="1:49" s="57" customFormat="1" ht="30" customHeight="1" x14ac:dyDescent="0.3">
      <c r="A21" s="56"/>
      <c r="B21" s="56"/>
      <c r="C21" s="56"/>
      <c r="D21" s="56"/>
      <c r="E21" s="56"/>
      <c r="F21" s="56"/>
      <c r="G21" s="56"/>
      <c r="H21" s="306" t="s">
        <v>894</v>
      </c>
      <c r="I21" s="255"/>
      <c r="J21" s="255"/>
      <c r="K21" s="255"/>
      <c r="L21" s="255"/>
      <c r="M21" s="255"/>
      <c r="N21" s="255"/>
      <c r="O21" s="255"/>
      <c r="P21" s="256"/>
      <c r="Q21" s="260">
        <f>SUMIFS(Input[T. Exp. - Stat (NR AFR) E&amp;G],Input[Type],$Z$2)+SUMIFS(Input[T. Exp. - Stat (NR AFR) Desg],Input[Type],$Z$2)+SUMIFS(Input[T. Exp. - Stat (NR AFR) Aux],Input[Type],$Z$2)+SUMIFS(Input[T. Exp. - Stat (NR AFR) R Exp],Input[Type],$Z$2)+SUMIFS(Input[T. Exp. - Stat (NR AFR) Loan],Input[Type],$Z$2)+SUMIFS(Input[T. Exp. - Stat (NR AFR) Annuity],Input[Type],$Z$2)+SUMIFS(Input[T. Exp. - Stat (NR AFR) Unexp],Input[Type],$Z$2)+SUMIFS(Input[T. Exp. - Stat (NR AFR) R of Ind],Input[Type],$Z$2)+SUMIFS(Input[T. Exp. - Stat (NR AFR) Inv in P],Input[Type],$Z$2)</f>
        <v>0</v>
      </c>
      <c r="R21" s="260"/>
      <c r="S21" s="260"/>
      <c r="T21" s="260">
        <f>IFERROR(ROUND(Q21/$Z$1,0),0)</f>
        <v>0</v>
      </c>
      <c r="U21" s="260"/>
      <c r="V21" s="308"/>
      <c r="W21" s="59"/>
      <c r="X21" s="56"/>
      <c r="Y21" s="56"/>
      <c r="Z21" s="56"/>
      <c r="AA21" s="56"/>
      <c r="AB21" s="56"/>
      <c r="AC21" s="56"/>
      <c r="AD21" s="56"/>
      <c r="AE21" s="56"/>
      <c r="AF21" s="56"/>
      <c r="AG21" s="56"/>
      <c r="AH21" s="56"/>
      <c r="AI21" s="56"/>
      <c r="AJ21" s="56"/>
      <c r="AK21" s="56"/>
      <c r="AL21" s="56"/>
      <c r="AM21" s="528"/>
      <c r="AN21" s="528"/>
      <c r="AO21" s="528"/>
      <c r="AP21" s="528"/>
      <c r="AQ21" s="528"/>
      <c r="AR21" s="528"/>
      <c r="AS21" s="528"/>
      <c r="AT21" s="528"/>
      <c r="AU21" s="528"/>
      <c r="AV21" s="528"/>
      <c r="AW21" s="56"/>
    </row>
    <row r="22" spans="1:49" s="57" customFormat="1" ht="30" customHeight="1" x14ac:dyDescent="0.3">
      <c r="A22" s="56"/>
      <c r="B22" s="56"/>
      <c r="C22" s="56"/>
      <c r="D22" s="56"/>
      <c r="E22" s="56"/>
      <c r="F22" s="56"/>
      <c r="G22" s="56"/>
      <c r="H22" s="306" t="s">
        <v>895</v>
      </c>
      <c r="I22" s="255"/>
      <c r="J22" s="255"/>
      <c r="K22" s="255"/>
      <c r="L22" s="255"/>
      <c r="M22" s="255"/>
      <c r="N22" s="255"/>
      <c r="O22" s="255"/>
      <c r="P22" s="256"/>
      <c r="Q22" s="260">
        <f>SUMIFS(Input[T. Exp. - Inst. (NR AFR) E&amp;G],Input[Type],$Z$2)+SUMIFS(Input[T. Exp. - Inst. (NR AFR) Desg],Input[Type],$Z$2)+SUMIFS(Input[T. Exp. - Inst. (NR AFR) Aux],Input[Type],$Z$2)+SUMIFS(Input[T. Exp. - Inst. (NR AFR) R Exp],Input[Type],$Z$2)+SUMIFS(Input[T. Exp. - Inst. (NR AFR) Loan],Input[Type],$Z$2)+SUMIFS(Input[T. Exp. - Inst. (NR AFR) Annuity],Input[Type],$Z$2)+SUMIFS(Input[T. Exp. - Inst. (NR AFR) Unexp],Input[Type],$Z$2)+SUMIFS(Input[T. Exp. - Inst. (NR AFR) R of Ind],Input[Type],$Z$2)+SUMIFS(Input[T. Exp. - Inst. (NR AFR) Inv in P],Input[Type],$Z$2)</f>
        <v>0</v>
      </c>
      <c r="R22" s="260"/>
      <c r="S22" s="260"/>
      <c r="T22" s="260">
        <f>IFERROR(ROUND(Q22/$Z$1,0),0)</f>
        <v>0</v>
      </c>
      <c r="U22" s="260"/>
      <c r="V22" s="308"/>
      <c r="W22" s="59"/>
      <c r="X22" s="56"/>
      <c r="Y22" s="56"/>
      <c r="Z22" s="56"/>
      <c r="AA22" s="56"/>
      <c r="AB22" s="56"/>
      <c r="AC22" s="56"/>
      <c r="AD22" s="56"/>
      <c r="AE22" s="56"/>
      <c r="AF22" s="56"/>
      <c r="AG22" s="56"/>
      <c r="AH22" s="56"/>
      <c r="AI22" s="56"/>
      <c r="AJ22" s="56"/>
      <c r="AK22" s="56"/>
      <c r="AL22" s="56"/>
      <c r="AM22" s="528"/>
      <c r="AN22" s="528"/>
      <c r="AO22" s="528"/>
      <c r="AP22" s="528"/>
      <c r="AQ22" s="528"/>
      <c r="AR22" s="528"/>
      <c r="AS22" s="528"/>
      <c r="AT22" s="528"/>
      <c r="AU22" s="528"/>
      <c r="AV22" s="528"/>
      <c r="AW22" s="56"/>
    </row>
    <row r="23" spans="1:49" s="57" customFormat="1" ht="30" customHeight="1" x14ac:dyDescent="0.3">
      <c r="A23" s="56"/>
      <c r="B23" s="56"/>
      <c r="C23" s="56"/>
      <c r="D23" s="56"/>
      <c r="E23" s="56"/>
      <c r="F23" s="56"/>
      <c r="G23" s="56"/>
      <c r="H23" s="306" t="s">
        <v>896</v>
      </c>
      <c r="I23" s="255"/>
      <c r="J23" s="255"/>
      <c r="K23" s="255"/>
      <c r="L23" s="255"/>
      <c r="M23" s="255"/>
      <c r="N23" s="255"/>
      <c r="O23" s="255"/>
      <c r="P23" s="256"/>
      <c r="Q23" s="260">
        <f>SUMIFS(Input[T. - Gross E&amp;G],Input[Type],$Z$2)+SUMIFS(Input[T. - Gross Desg],Input[Type],$Z$2)+SUMIFS(Input[T. - Gross Aux],Input[Type],$Z$2)+SUMIFS(Input[T. - Gross R Exp],Input[Type],$Z$2)+SUMIFS(Input[T. - Gross Loan],Input[Type],$Z$2)+SUMIFS(Input[T. - Gross Annuity],Input[Type],$Z$2)+SUMIFS(Input[T. - Gross Unexp],Input[Type],$Z$2)+SUMIFS(Input[T. - Gross R of Ind],Input[Type],$Z$2)+SUMIFS(Input[T. - Gross Inv in P],Input[Type],$Z$2)</f>
        <v>0</v>
      </c>
      <c r="R23" s="260"/>
      <c r="S23" s="260"/>
      <c r="T23" s="260">
        <f>IFERROR(ROUND(Q23/$Z$1,0),0)</f>
        <v>0</v>
      </c>
      <c r="U23" s="260"/>
      <c r="V23" s="308"/>
      <c r="W23" s="59"/>
      <c r="X23" s="56"/>
      <c r="Y23" s="56"/>
      <c r="Z23" s="56"/>
      <c r="AA23" s="56"/>
      <c r="AB23" s="56"/>
      <c r="AC23" s="56"/>
      <c r="AD23" s="56"/>
      <c r="AE23" s="56"/>
      <c r="AF23" s="56"/>
      <c r="AG23" s="56"/>
      <c r="AH23" s="56"/>
      <c r="AI23" s="56"/>
      <c r="AJ23" s="56"/>
      <c r="AK23" s="56"/>
      <c r="AL23" s="56"/>
      <c r="AM23" s="528"/>
      <c r="AN23" s="528"/>
      <c r="AO23" s="528"/>
      <c r="AP23" s="528"/>
      <c r="AQ23" s="528"/>
      <c r="AR23" s="528"/>
      <c r="AS23" s="528"/>
      <c r="AT23" s="528"/>
      <c r="AU23" s="528"/>
      <c r="AV23" s="528"/>
      <c r="AW23" s="56"/>
    </row>
    <row r="24" spans="1:49" s="57" customFormat="1" ht="30" customHeight="1" x14ac:dyDescent="0.3">
      <c r="A24" s="56"/>
      <c r="B24" s="56"/>
      <c r="C24" s="56"/>
      <c r="D24" s="56"/>
      <c r="E24" s="56"/>
      <c r="F24" s="56"/>
      <c r="G24" s="56"/>
      <c r="H24" s="487" t="s">
        <v>897</v>
      </c>
      <c r="I24" s="274"/>
      <c r="J24" s="274"/>
      <c r="K24" s="274"/>
      <c r="L24" s="274"/>
      <c r="M24" s="274"/>
      <c r="N24" s="274"/>
      <c r="O24" s="274"/>
      <c r="P24" s="274"/>
      <c r="Q24" s="274"/>
      <c r="R24" s="274"/>
      <c r="S24" s="274"/>
      <c r="T24" s="274"/>
      <c r="U24" s="274"/>
      <c r="V24" s="488"/>
      <c r="W24" s="59"/>
      <c r="X24" s="56"/>
      <c r="Y24" s="56"/>
      <c r="Z24" s="56"/>
      <c r="AA24" s="56"/>
      <c r="AB24" s="56"/>
      <c r="AC24" s="56"/>
      <c r="AD24" s="56"/>
      <c r="AE24" s="56"/>
      <c r="AF24" s="56"/>
      <c r="AG24" s="56"/>
      <c r="AH24" s="56"/>
      <c r="AI24" s="56"/>
      <c r="AJ24" s="56"/>
      <c r="AK24" s="56"/>
      <c r="AL24" s="56"/>
      <c r="AM24" s="528"/>
      <c r="AN24" s="528"/>
      <c r="AO24" s="528"/>
      <c r="AP24" s="528"/>
      <c r="AQ24" s="528"/>
      <c r="AR24" s="528"/>
      <c r="AS24" s="528"/>
      <c r="AT24" s="528"/>
      <c r="AU24" s="528"/>
      <c r="AV24" s="528"/>
      <c r="AW24" s="56"/>
    </row>
    <row r="25" spans="1:49" s="57" customFormat="1" ht="30" customHeight="1" x14ac:dyDescent="0.3">
      <c r="A25" s="56"/>
      <c r="B25" s="56"/>
      <c r="C25" s="56"/>
      <c r="D25" s="56"/>
      <c r="E25" s="56"/>
      <c r="F25" s="56"/>
      <c r="G25" s="56"/>
      <c r="H25" s="483" t="s">
        <v>892</v>
      </c>
      <c r="I25" s="247"/>
      <c r="J25" s="247"/>
      <c r="K25" s="247"/>
      <c r="L25" s="247"/>
      <c r="M25" s="247"/>
      <c r="N25" s="247"/>
      <c r="O25" s="247"/>
      <c r="P25" s="248"/>
      <c r="Q25" s="258">
        <f>SUMIFS(Input[T. W. - Stat (R AFR) Desg],Input[Type],$Z$2)+SUMIFS(Input[T. W. - Stat (R AFR) Aux],Input[Type],$Z$2)+SUMIFS(Input[T. W. - Stat (R AFR) R Exp],Input[Type],$Z$2)+SUMIFS(Input[T. W. - Stat (R AFR) Loan],Input[Type],$Z$2)+SUMIFS(Input[T. W. - Stat (R AFR) Annuity],Input[Type],$Z$2)+SUMIFS(Input[T. W. - Stat (R AFR) Unexp],Input[Type],$Z$2)+SUMIFS(Input[T. W. - Stat (R AFR) R of Ind],Input[Type],$Z$2)+SUMIFS(Input[T. W. - Stat (R AFR) Inv in P],Input[Type],$Z$2)</f>
        <v>0</v>
      </c>
      <c r="R25" s="258"/>
      <c r="S25" s="258"/>
      <c r="T25" s="258">
        <f>IFERROR(ROUND(Q25/$Z$1,0),0)</f>
        <v>0</v>
      </c>
      <c r="U25" s="258"/>
      <c r="V25" s="357"/>
      <c r="W25" s="59"/>
      <c r="X25" s="56"/>
      <c r="Y25" s="56"/>
      <c r="Z25" s="56"/>
      <c r="AA25" s="56"/>
      <c r="AB25" s="56"/>
      <c r="AC25" s="56"/>
      <c r="AD25" s="56"/>
      <c r="AE25" s="56"/>
      <c r="AF25" s="56"/>
      <c r="AG25" s="56"/>
      <c r="AH25" s="56"/>
      <c r="AI25" s="56"/>
      <c r="AJ25" s="56"/>
      <c r="AK25" s="56"/>
      <c r="AL25" s="56"/>
      <c r="AM25" s="528"/>
      <c r="AN25" s="528"/>
      <c r="AO25" s="528"/>
      <c r="AP25" s="528"/>
      <c r="AQ25" s="528"/>
      <c r="AR25" s="528"/>
      <c r="AS25" s="528"/>
      <c r="AT25" s="528"/>
      <c r="AU25" s="528"/>
      <c r="AV25" s="528"/>
      <c r="AW25" s="56"/>
    </row>
    <row r="26" spans="1:49" s="57" customFormat="1" ht="30" customHeight="1" x14ac:dyDescent="0.3">
      <c r="A26" s="56"/>
      <c r="B26" s="56"/>
      <c r="C26" s="56"/>
      <c r="D26" s="56"/>
      <c r="E26" s="56"/>
      <c r="F26" s="56"/>
      <c r="G26" s="56"/>
      <c r="H26" s="306" t="s">
        <v>893</v>
      </c>
      <c r="I26" s="255"/>
      <c r="J26" s="255"/>
      <c r="K26" s="255"/>
      <c r="L26" s="255"/>
      <c r="M26" s="255"/>
      <c r="N26" s="255"/>
      <c r="O26" s="255"/>
      <c r="P26" s="256"/>
      <c r="Q26" s="260">
        <f>SUMIFS(Input[T. W. - Inst. (R AFR) Desg],Input[Type],$Z$2)+SUMIFS(Input[T. W. - Inst. (R AFR) Aux],Input[Type],$Z$2)+SUMIFS(Input[T. W. - Inst. (R AFR) R Exp],Input[Type],$Z$2)+SUMIFS(Input[T. W. - Inst. (R AFR) Loan],Input[Type],$Z$2)+SUMIFS(Input[T. W. - Inst. (R AFR) Annuity],Input[Type],$Z$2)+SUMIFS(Input[T. W. - Inst. (R AFR) Unexp],Input[Type],$Z$2)+SUMIFS(Input[T. W. - Inst. (R AFR) R of Ind],Input[Type],$Z$2)+SUMIFS(Input[T. W. - Inst. (R AFR) Inv in P],Input[Type],$Z$2)</f>
        <v>0</v>
      </c>
      <c r="R26" s="260"/>
      <c r="S26" s="260"/>
      <c r="T26" s="260">
        <f>IFERROR(ROUND(Q26/$Z$1,0),0)</f>
        <v>0</v>
      </c>
      <c r="U26" s="260"/>
      <c r="V26" s="308"/>
      <c r="W26" s="59"/>
      <c r="X26" s="56"/>
      <c r="Y26" s="56"/>
      <c r="Z26" s="56"/>
      <c r="AA26" s="56"/>
      <c r="AB26" s="56"/>
      <c r="AC26" s="56"/>
      <c r="AD26" s="56"/>
      <c r="AE26" s="56"/>
      <c r="AF26" s="56"/>
      <c r="AG26" s="56"/>
      <c r="AH26" s="56"/>
      <c r="AI26" s="56"/>
      <c r="AJ26" s="56"/>
      <c r="AK26" s="56"/>
      <c r="AL26" s="56"/>
      <c r="AM26" s="528"/>
      <c r="AN26" s="528"/>
      <c r="AO26" s="528"/>
      <c r="AP26" s="528"/>
      <c r="AQ26" s="528"/>
      <c r="AR26" s="528"/>
      <c r="AS26" s="528"/>
      <c r="AT26" s="528"/>
      <c r="AU26" s="528"/>
      <c r="AV26" s="528"/>
      <c r="AW26" s="56"/>
    </row>
    <row r="27" spans="1:49" s="57" customFormat="1" ht="30" customHeight="1" x14ac:dyDescent="0.3">
      <c r="A27" s="56"/>
      <c r="B27" s="56"/>
      <c r="C27" s="56"/>
      <c r="D27" s="56"/>
      <c r="E27" s="56"/>
      <c r="F27" s="56"/>
      <c r="G27" s="56"/>
      <c r="H27" s="306" t="s">
        <v>894</v>
      </c>
      <c r="I27" s="255"/>
      <c r="J27" s="255"/>
      <c r="K27" s="255"/>
      <c r="L27" s="255"/>
      <c r="M27" s="255"/>
      <c r="N27" s="255"/>
      <c r="O27" s="255"/>
      <c r="P27" s="256"/>
      <c r="Q27" s="260">
        <f>SUMIFS(Input[T. Exp. - Stat (R AFR) Desg],Input[Type],$Z$2)+SUMIFS(Input[T. Exp. - Stat (R AFR) Aux],Input[Type],$Z$2)+SUMIFS(Input[T. Exp. - Stat (R AFR) R Exp],Input[Type],$Z$2)+SUMIFS(Input[T. Exp. - Stat (R AFR) Loan],Input[Type],$Z$2)+SUMIFS(Input[T. Exp. - Stat (R AFR) Annuity],Input[Type],$Z$2)+SUMIFS(Input[T. Exp. - Stat (R AFR) Unexp],Input[Type],$Z$2)+SUMIFS(Input[T. Exp. - Stat (R AFR) R of Ind],Input[Type],$Z$2)+SUMIFS(Input[T. Exp. - Stat (R AFR) Inv in P],Input[Type],$Z$2)</f>
        <v>0</v>
      </c>
      <c r="R27" s="260"/>
      <c r="S27" s="260"/>
      <c r="T27" s="260">
        <f>IFERROR(ROUND(Q27/$Z$1,0),0)</f>
        <v>0</v>
      </c>
      <c r="U27" s="260"/>
      <c r="V27" s="308"/>
      <c r="W27" s="59"/>
      <c r="X27" s="56"/>
      <c r="Y27" s="56"/>
      <c r="Z27" s="56"/>
      <c r="AA27" s="56"/>
      <c r="AB27" s="56"/>
      <c r="AC27" s="56"/>
      <c r="AD27" s="56"/>
      <c r="AE27" s="56"/>
      <c r="AF27" s="56"/>
      <c r="AG27" s="56"/>
      <c r="AH27" s="56"/>
      <c r="AI27" s="56"/>
      <c r="AJ27" s="56"/>
      <c r="AK27" s="56"/>
      <c r="AL27" s="56"/>
      <c r="AM27" s="528"/>
      <c r="AN27" s="528"/>
      <c r="AO27" s="528"/>
      <c r="AP27" s="528"/>
      <c r="AQ27" s="528"/>
      <c r="AR27" s="528"/>
      <c r="AS27" s="528"/>
      <c r="AT27" s="528"/>
      <c r="AU27" s="528"/>
      <c r="AV27" s="528"/>
      <c r="AW27" s="56"/>
    </row>
    <row r="28" spans="1:49" s="57" customFormat="1" ht="30" customHeight="1" x14ac:dyDescent="0.3">
      <c r="A28" s="56"/>
      <c r="B28" s="56"/>
      <c r="C28" s="56"/>
      <c r="D28" s="56"/>
      <c r="E28" s="56"/>
      <c r="F28" s="56"/>
      <c r="G28" s="56"/>
      <c r="H28" s="306" t="s">
        <v>895</v>
      </c>
      <c r="I28" s="255"/>
      <c r="J28" s="255"/>
      <c r="K28" s="255"/>
      <c r="L28" s="255"/>
      <c r="M28" s="255"/>
      <c r="N28" s="255"/>
      <c r="O28" s="255"/>
      <c r="P28" s="256"/>
      <c r="Q28" s="260">
        <f>SUMIFS(Input[T. Exp. - Inst. (R AFR) Desg],Input[Type],$Z$2)+SUMIFS(Input[T. Exp. - Inst. (R AFR) Aux],Input[Type],$Z$2)+SUMIFS(Input[T. Exp. - Inst. (R AFR) R Exp],Input[Type],$Z$2)+SUMIFS(Input[T. Exp. - Inst. (R AFR) Loan],Input[Type],$Z$2)+SUMIFS(Input[T. Exp. - Inst. (R AFR) Annuity],Input[Type],$Z$2)+SUMIFS(Input[T. Exp. - Inst. (R AFR) Unexp],Input[Type],$Z$2)+SUMIFS(Input[T. Exp. - Inst. (R AFR) R of Ind],Input[Type],$Z$2)+SUMIFS(Input[T. Exp. - Inst. (R AFR) Inv in P],Input[Type],$Z$2)</f>
        <v>0</v>
      </c>
      <c r="R28" s="260"/>
      <c r="S28" s="260"/>
      <c r="T28" s="260">
        <f>IFERROR(ROUND(Q28/$Z$1,0),0)</f>
        <v>0</v>
      </c>
      <c r="U28" s="260"/>
      <c r="V28" s="308"/>
      <c r="W28" s="59"/>
      <c r="X28" s="56"/>
      <c r="Y28" s="56"/>
      <c r="Z28" s="56"/>
      <c r="AA28" s="56"/>
      <c r="AB28" s="56"/>
      <c r="AC28" s="56"/>
      <c r="AD28" s="56"/>
      <c r="AE28" s="56"/>
      <c r="AF28" s="56"/>
      <c r="AG28" s="56"/>
      <c r="AH28" s="56"/>
      <c r="AI28" s="56"/>
      <c r="AJ28" s="56"/>
      <c r="AK28" s="56"/>
      <c r="AL28" s="56"/>
      <c r="AM28" s="528"/>
      <c r="AN28" s="528"/>
      <c r="AO28" s="528"/>
      <c r="AP28" s="528"/>
      <c r="AQ28" s="528"/>
      <c r="AR28" s="528"/>
      <c r="AS28" s="528"/>
      <c r="AT28" s="528"/>
      <c r="AU28" s="528"/>
      <c r="AV28" s="528"/>
      <c r="AW28" s="56"/>
    </row>
    <row r="29" spans="1:49" s="57" customFormat="1" ht="30" customHeight="1" x14ac:dyDescent="0.3">
      <c r="A29" s="56"/>
      <c r="B29" s="56"/>
      <c r="C29" s="56"/>
      <c r="D29" s="56"/>
      <c r="E29" s="56"/>
      <c r="F29" s="56"/>
      <c r="G29" s="56"/>
      <c r="H29" s="306" t="s">
        <v>898</v>
      </c>
      <c r="I29" s="255"/>
      <c r="J29" s="255"/>
      <c r="K29" s="255"/>
      <c r="L29" s="255"/>
      <c r="M29" s="255"/>
      <c r="N29" s="255"/>
      <c r="O29" s="255"/>
      <c r="P29" s="256"/>
      <c r="Q29" s="260">
        <f>SUMIFS(Input[T. Schlr Desg],Input[Type],$Z$2)+SUMIFS(Input[T. Schlr Aux],Input[Type],$Z$2)+SUMIFS(Input[T. Schlr R Exp],Input[Type],$Z$2)+SUMIFS(Input[T. Schlr Loan],Input[Type],$Z$2)+SUMIFS(Input[T. Schlr Annuity],Input[Type],$Z$2)+SUMIFS(Input[T. Schlr Unexp],Input[Type],$Z$2)+SUMIFS(Input[T. Schlr R of Ind],Input[Type],$Z$2)+SUMIFS(Input[T. Schlr Inv in P],Input[Type],$Z$2)</f>
        <v>0</v>
      </c>
      <c r="R29" s="260"/>
      <c r="S29" s="260"/>
      <c r="T29" s="260">
        <f>IFERROR(ROUND(Q29/$Z$1,0),0)</f>
        <v>0</v>
      </c>
      <c r="U29" s="260"/>
      <c r="V29" s="308"/>
      <c r="W29" s="59"/>
      <c r="X29" s="501" t="str">
        <f>IF(ISBLANK(H1),"","Figure 1: Total Revenue by Operating Source Category")</f>
        <v/>
      </c>
      <c r="Y29" s="501"/>
      <c r="Z29" s="501"/>
      <c r="AA29" s="501"/>
      <c r="AB29" s="501"/>
      <c r="AC29" s="501"/>
      <c r="AD29" s="501"/>
      <c r="AE29" s="501"/>
      <c r="AF29" s="501"/>
      <c r="AG29" s="501"/>
      <c r="AH29" s="501"/>
      <c r="AI29" s="501"/>
      <c r="AJ29" s="56"/>
      <c r="AK29" s="56"/>
      <c r="AL29" s="56"/>
      <c r="AM29" s="528"/>
      <c r="AN29" s="528"/>
      <c r="AO29" s="528"/>
      <c r="AP29" s="528"/>
      <c r="AQ29" s="528"/>
      <c r="AR29" s="528"/>
      <c r="AS29" s="528"/>
      <c r="AT29" s="528"/>
      <c r="AU29" s="528"/>
      <c r="AV29" s="528"/>
      <c r="AW29" s="56"/>
    </row>
    <row r="30" spans="1:49" s="57" customFormat="1" ht="30" customHeight="1" x14ac:dyDescent="0.3">
      <c r="A30" s="56"/>
      <c r="B30" s="56"/>
      <c r="C30" s="56"/>
      <c r="D30" s="56"/>
      <c r="E30" s="56"/>
      <c r="F30" s="56"/>
      <c r="G30" s="56"/>
      <c r="H30" s="323" t="s">
        <v>899</v>
      </c>
      <c r="I30" s="324"/>
      <c r="J30" s="324"/>
      <c r="K30" s="324"/>
      <c r="L30" s="324"/>
      <c r="M30" s="324"/>
      <c r="N30" s="324"/>
      <c r="O30" s="324"/>
      <c r="P30" s="324"/>
      <c r="Q30" s="329">
        <f>SUM(Q23,Q25:S29)</f>
        <v>0</v>
      </c>
      <c r="R30" s="329"/>
      <c r="S30" s="329"/>
      <c r="T30" s="329">
        <f>SUM(T23,T25:V29)</f>
        <v>0</v>
      </c>
      <c r="U30" s="329"/>
      <c r="V30" s="330"/>
      <c r="W30" s="59"/>
      <c r="X30" s="56"/>
      <c r="Y30" s="56"/>
      <c r="Z30" s="56"/>
      <c r="AA30" s="56"/>
      <c r="AB30" s="56"/>
      <c r="AC30" s="56"/>
      <c r="AD30" s="56"/>
      <c r="AE30" s="56"/>
      <c r="AF30" s="56"/>
      <c r="AG30" s="56"/>
      <c r="AH30" s="56"/>
      <c r="AI30" s="56"/>
      <c r="AJ30" s="56"/>
      <c r="AK30" s="56"/>
      <c r="AL30" s="56"/>
      <c r="AM30" s="528"/>
      <c r="AN30" s="528"/>
      <c r="AO30" s="528"/>
      <c r="AP30" s="528"/>
      <c r="AQ30" s="528"/>
      <c r="AR30" s="528"/>
      <c r="AS30" s="528"/>
      <c r="AT30" s="528"/>
      <c r="AU30" s="528"/>
      <c r="AV30" s="528"/>
      <c r="AW30" s="56"/>
    </row>
    <row r="31" spans="1:49" s="57" customFormat="1" ht="30" customHeight="1" x14ac:dyDescent="0.3">
      <c r="A31" s="56"/>
      <c r="B31" s="56"/>
      <c r="C31" s="56"/>
      <c r="D31" s="56"/>
      <c r="E31" s="56"/>
      <c r="F31" s="56"/>
      <c r="G31" s="56"/>
      <c r="H31" s="59"/>
      <c r="I31" s="59"/>
      <c r="J31" s="59"/>
      <c r="K31" s="59"/>
      <c r="L31" s="59"/>
      <c r="M31" s="59"/>
      <c r="N31" s="59"/>
      <c r="O31" s="59"/>
      <c r="P31" s="59"/>
      <c r="Q31" s="80"/>
      <c r="R31" s="80"/>
      <c r="S31" s="80"/>
      <c r="T31" s="80"/>
      <c r="U31" s="80"/>
      <c r="V31" s="80"/>
      <c r="W31" s="59"/>
      <c r="X31" s="56"/>
      <c r="Y31" s="56"/>
      <c r="Z31" s="56"/>
      <c r="AA31" s="56"/>
      <c r="AB31" s="56"/>
      <c r="AC31" s="56"/>
      <c r="AD31" s="56"/>
      <c r="AE31" s="56"/>
      <c r="AF31" s="56"/>
      <c r="AG31" s="56"/>
      <c r="AH31" s="56"/>
      <c r="AI31" s="56"/>
      <c r="AJ31" s="56"/>
      <c r="AK31" s="56"/>
      <c r="AL31" s="56"/>
      <c r="AM31" s="528"/>
      <c r="AN31" s="528"/>
      <c r="AO31" s="528"/>
      <c r="AP31" s="528"/>
      <c r="AQ31" s="528"/>
      <c r="AR31" s="528"/>
      <c r="AS31" s="528"/>
      <c r="AT31" s="528"/>
      <c r="AU31" s="528"/>
      <c r="AV31" s="528"/>
      <c r="AW31" s="56"/>
    </row>
    <row r="32" spans="1:49" s="57" customFormat="1" ht="30" customHeight="1" thickBot="1" x14ac:dyDescent="0.35">
      <c r="A32" s="56"/>
      <c r="B32" s="56"/>
      <c r="C32" s="56"/>
      <c r="D32" s="56"/>
      <c r="E32" s="56"/>
      <c r="F32" s="56"/>
      <c r="G32" s="56"/>
      <c r="H32" s="502" t="s">
        <v>900</v>
      </c>
      <c r="I32" s="503"/>
      <c r="J32" s="503"/>
      <c r="K32" s="503"/>
      <c r="L32" s="503"/>
      <c r="M32" s="503"/>
      <c r="N32" s="503"/>
      <c r="O32" s="503"/>
      <c r="P32" s="504"/>
      <c r="Q32" s="505" cm="1">
        <f t="array" ref="Q32">SUM(Q38:S38,-Q34:S37)</f>
        <v>0</v>
      </c>
      <c r="R32" s="505"/>
      <c r="S32" s="505"/>
      <c r="T32" s="317">
        <f>IFERROR(ROUND(Q32/$Z$1,0),0)</f>
        <v>0</v>
      </c>
      <c r="U32" s="317"/>
      <c r="V32" s="318"/>
      <c r="W32" s="59"/>
      <c r="X32" s="506" t="s">
        <v>989</v>
      </c>
      <c r="Y32" s="507"/>
      <c r="Z32" s="507"/>
      <c r="AA32" s="507"/>
      <c r="AB32" s="507"/>
      <c r="AC32" s="507"/>
      <c r="AD32" s="507"/>
      <c r="AE32" s="507"/>
      <c r="AF32" s="507"/>
      <c r="AG32" s="508"/>
      <c r="AH32" s="56"/>
      <c r="AI32" s="56"/>
      <c r="AJ32" s="56"/>
      <c r="AK32" s="56"/>
      <c r="AL32" s="56"/>
      <c r="AM32" s="528"/>
      <c r="AN32" s="528"/>
      <c r="AO32" s="528"/>
      <c r="AP32" s="528"/>
      <c r="AQ32" s="528"/>
      <c r="AR32" s="528"/>
      <c r="AS32" s="528"/>
      <c r="AT32" s="528"/>
      <c r="AU32" s="528"/>
      <c r="AV32" s="528"/>
      <c r="AW32" s="56"/>
    </row>
    <row r="33" spans="1:49" s="57" customFormat="1" ht="30" customHeight="1" x14ac:dyDescent="0.3">
      <c r="A33" s="56"/>
      <c r="B33" s="56"/>
      <c r="C33" s="56"/>
      <c r="D33" s="56"/>
      <c r="E33" s="56"/>
      <c r="F33" s="56"/>
      <c r="G33" s="56"/>
      <c r="H33" s="487" t="s">
        <v>1119</v>
      </c>
      <c r="I33" s="274"/>
      <c r="J33" s="274"/>
      <c r="K33" s="274"/>
      <c r="L33" s="274"/>
      <c r="M33" s="274"/>
      <c r="N33" s="274"/>
      <c r="O33" s="274"/>
      <c r="P33" s="274"/>
      <c r="Q33" s="274"/>
      <c r="R33" s="274"/>
      <c r="S33" s="274"/>
      <c r="T33" s="274"/>
      <c r="U33" s="274"/>
      <c r="V33" s="488"/>
      <c r="W33" s="59"/>
      <c r="X33" s="496" t="s">
        <v>990</v>
      </c>
      <c r="Y33" s="497"/>
      <c r="Z33" s="497"/>
      <c r="AA33" s="497"/>
      <c r="AB33" s="497"/>
      <c r="AC33" s="497"/>
      <c r="AD33" s="498"/>
      <c r="AE33" s="499">
        <f>SUM(Q23,Q38)</f>
        <v>0</v>
      </c>
      <c r="AF33" s="499"/>
      <c r="AG33" s="499"/>
      <c r="AH33" s="56"/>
      <c r="AI33" s="56"/>
      <c r="AJ33" s="56"/>
      <c r="AK33" s="56"/>
      <c r="AL33" s="56"/>
      <c r="AM33" s="528"/>
      <c r="AN33" s="528"/>
      <c r="AO33" s="528"/>
      <c r="AP33" s="528"/>
      <c r="AQ33" s="528"/>
      <c r="AR33" s="528"/>
      <c r="AS33" s="528"/>
      <c r="AT33" s="528"/>
      <c r="AU33" s="528"/>
      <c r="AV33" s="528"/>
      <c r="AW33" s="56"/>
    </row>
    <row r="34" spans="1:49" s="57" customFormat="1" ht="30" customHeight="1" x14ac:dyDescent="0.3">
      <c r="A34" s="56"/>
      <c r="B34" s="56"/>
      <c r="C34" s="56"/>
      <c r="D34" s="56"/>
      <c r="E34" s="56"/>
      <c r="F34" s="56"/>
      <c r="G34" s="56"/>
      <c r="H34" s="483" t="s">
        <v>892</v>
      </c>
      <c r="I34" s="247"/>
      <c r="J34" s="247"/>
      <c r="K34" s="247"/>
      <c r="L34" s="247"/>
      <c r="M34" s="247"/>
      <c r="N34" s="247"/>
      <c r="O34" s="247"/>
      <c r="P34" s="248"/>
      <c r="Q34" s="258">
        <f>SUMIFS(Input[F. W. - Stat (NR AFR) E&amp;G],Input[Type],$Z$2)+SUMIFS(Input[F. W. - Stat (NR AFR) Desg],Input[Type],$Z$2)+SUMIFS(Input[F. W. - Stat (NR AFR) Aux],Input[Type],$Z$2)+SUMIFS(Input[F. W. - Stat (NR AFR) R Exp],Input[Type],$Z$2)+SUMIFS(Input[F. W. - Stat (NR AFR) Loan],Input[Type],$Z$2)+SUMIFS(Input[F. W. - Stat (NR AFR) Annuity],Input[Type],$Z$2)+SUMIFS(Input[F. W. - Stat (NR AFR) Unexp],Input[Type],$Z$2)+SUMIFS(Input[F. W. - Stat (NR AFR) R of Ind],Input[Type],$Z$2)+SUMIFS(Input[F. W. - Stat (NR AFR) Inv in P],Input[Type],$Z$2)</f>
        <v>0</v>
      </c>
      <c r="R34" s="258"/>
      <c r="S34" s="258"/>
      <c r="T34" s="258">
        <f>IFERROR(ROUND(Q34/$Z$1,0),0)</f>
        <v>0</v>
      </c>
      <c r="U34" s="258"/>
      <c r="V34" s="357"/>
      <c r="W34" s="59"/>
      <c r="X34" s="464" t="s">
        <v>991</v>
      </c>
      <c r="Y34" s="465"/>
      <c r="Z34" s="465"/>
      <c r="AA34" s="465"/>
      <c r="AB34" s="465"/>
      <c r="AC34" s="465"/>
      <c r="AD34" s="466"/>
      <c r="AE34" s="500">
        <f>SUM(Q25:S29,Q40:S44)</f>
        <v>0</v>
      </c>
      <c r="AF34" s="500"/>
      <c r="AG34" s="500"/>
      <c r="AH34" s="56"/>
      <c r="AI34" s="56"/>
      <c r="AJ34" s="56"/>
      <c r="AK34" s="56"/>
      <c r="AL34" s="62"/>
      <c r="AM34" s="528"/>
      <c r="AN34" s="528"/>
      <c r="AO34" s="528"/>
      <c r="AP34" s="528"/>
      <c r="AQ34" s="528"/>
      <c r="AR34" s="528"/>
      <c r="AS34" s="528"/>
      <c r="AT34" s="528"/>
      <c r="AU34" s="528"/>
      <c r="AV34" s="528"/>
      <c r="AW34" s="56"/>
    </row>
    <row r="35" spans="1:49" s="57" customFormat="1" ht="30" customHeight="1" x14ac:dyDescent="0.3">
      <c r="A35" s="56"/>
      <c r="B35" s="56"/>
      <c r="C35" s="56"/>
      <c r="D35" s="56"/>
      <c r="E35" s="56"/>
      <c r="F35" s="56"/>
      <c r="G35" s="56"/>
      <c r="H35" s="306" t="s">
        <v>893</v>
      </c>
      <c r="I35" s="255"/>
      <c r="J35" s="255"/>
      <c r="K35" s="255"/>
      <c r="L35" s="255"/>
      <c r="M35" s="255"/>
      <c r="N35" s="255"/>
      <c r="O35" s="255"/>
      <c r="P35" s="256"/>
      <c r="Q35" s="260">
        <f>SUMIFS(Input[F. W. - Inst. (NR AFR) E&amp;G],Input[Type],$Z$2)+SUMIFS(Input[F. W. - Inst. (NR AFR) Desg],Input[Type],$Z$2)+SUMIFS(Input[F. W. - Inst. (NR AFR) Aux],Input[Type],$Z$2)+SUMIFS(Input[F. W. - Inst. (NR AFR) R Exp],Input[Type],$Z$2)+SUMIFS(Input[F. W. - Inst. (NR AFR) Loan],Input[Type],$Z$2)+SUMIFS(Input[F. W. - Inst. (NR AFR) Annuity],Input[Type],$Z$2)+SUMIFS(Input[F. W. - Inst. (NR AFR) Unexp],Input[Type],$Z$2)+SUMIFS(Input[F. W. - Inst. (NR AFR) R of Ind],Input[Type],$Z$2)+SUMIFS(Input[F. W. - Inst. (NR AFR) Inv in P],Input[Type],$Z$2)</f>
        <v>0</v>
      </c>
      <c r="R35" s="260"/>
      <c r="S35" s="260"/>
      <c r="T35" s="260">
        <f>IFERROR(ROUND(Q35/$Z$1,0),0)</f>
        <v>0</v>
      </c>
      <c r="U35" s="260"/>
      <c r="V35" s="308"/>
      <c r="W35" s="59"/>
      <c r="X35" s="390" t="s">
        <v>992</v>
      </c>
      <c r="Y35" s="390"/>
      <c r="Z35" s="390"/>
      <c r="AA35" s="390"/>
      <c r="AB35" s="390"/>
      <c r="AC35" s="390"/>
      <c r="AD35" s="390"/>
      <c r="AE35" s="391">
        <f>SUM(AE33:AG34)</f>
        <v>0</v>
      </c>
      <c r="AF35" s="391"/>
      <c r="AG35" s="391"/>
      <c r="AH35" s="56"/>
      <c r="AI35" s="56"/>
      <c r="AJ35" s="56"/>
      <c r="AK35" s="56"/>
      <c r="AL35" s="63"/>
      <c r="AM35" s="528"/>
      <c r="AN35" s="528"/>
      <c r="AO35" s="528"/>
      <c r="AP35" s="528"/>
      <c r="AQ35" s="528"/>
      <c r="AR35" s="528"/>
      <c r="AS35" s="528"/>
      <c r="AT35" s="528"/>
      <c r="AU35" s="528"/>
      <c r="AV35" s="528"/>
      <c r="AW35" s="56"/>
    </row>
    <row r="36" spans="1:49" s="57" customFormat="1" ht="30" customHeight="1" x14ac:dyDescent="0.3">
      <c r="A36" s="56"/>
      <c r="B36" s="56"/>
      <c r="C36" s="56"/>
      <c r="D36" s="56"/>
      <c r="E36" s="56"/>
      <c r="F36" s="56"/>
      <c r="G36" s="56"/>
      <c r="H36" s="306" t="s">
        <v>894</v>
      </c>
      <c r="I36" s="255"/>
      <c r="J36" s="255"/>
      <c r="K36" s="255"/>
      <c r="L36" s="255"/>
      <c r="M36" s="255"/>
      <c r="N36" s="255"/>
      <c r="O36" s="255"/>
      <c r="P36" s="256"/>
      <c r="Q36" s="260">
        <f>SUMIFS(Input[F. Exp. - Stat (NR AFR) E&amp;G],Input[Type],$Z$2)+SUMIFS(Input[F. Exp. - Stat (NR AFR) Desg],Input[Type],$Z$2)+SUMIFS(Input[F. Exp. - Stat (NR AFR) Aux],Input[Type],$Z$2)+SUMIFS(Input[F. Exp. - Stat (NR AFR) R Exp],Input[Type],$Z$2)+SUMIFS(Input[F. Exp. - Stat (NR AFR) Loan],Input[Type],$Z$2)+SUMIFS(Input[F. Exp. - Stat (NR AFR) Annuity],Input[Type],$Z$2)+SUMIFS(Input[F. Exp. - Stat (NR AFR) Unexp],Input[Type],$Z$2)+SUMIFS(Input[F. Exp. - Stat (NR AFR) R of Ind],Input[Type],$Z$2)+SUMIFS(Input[F. Exp. - Stat (NR AFR) Inv in P],Input[Type],$Z$2)</f>
        <v>0</v>
      </c>
      <c r="R36" s="260"/>
      <c r="S36" s="260"/>
      <c r="T36" s="260">
        <f>IFERROR(ROUND(Q36/$Z$1,0),0)</f>
        <v>0</v>
      </c>
      <c r="U36" s="260"/>
      <c r="V36" s="308"/>
      <c r="W36" s="59"/>
      <c r="X36" s="56"/>
      <c r="Y36" s="56"/>
      <c r="Z36" s="56"/>
      <c r="AA36" s="56"/>
      <c r="AB36" s="56"/>
      <c r="AC36" s="56"/>
      <c r="AD36" s="56"/>
      <c r="AE36" s="56"/>
      <c r="AF36" s="56"/>
      <c r="AG36" s="56"/>
      <c r="AH36" s="56"/>
      <c r="AI36" s="56"/>
      <c r="AJ36" s="56"/>
      <c r="AK36" s="56"/>
      <c r="AL36" s="63"/>
      <c r="AM36" s="528"/>
      <c r="AN36" s="528"/>
      <c r="AO36" s="528"/>
      <c r="AP36" s="528"/>
      <c r="AQ36" s="528"/>
      <c r="AR36" s="528"/>
      <c r="AS36" s="528"/>
      <c r="AT36" s="528"/>
      <c r="AU36" s="528"/>
      <c r="AV36" s="528"/>
      <c r="AW36" s="56"/>
    </row>
    <row r="37" spans="1:49" s="57" customFormat="1" ht="30" customHeight="1" x14ac:dyDescent="0.3">
      <c r="A37" s="56"/>
      <c r="B37" s="56"/>
      <c r="C37" s="56"/>
      <c r="D37" s="56"/>
      <c r="E37" s="56"/>
      <c r="F37" s="56"/>
      <c r="G37" s="56"/>
      <c r="H37" s="306" t="s">
        <v>895</v>
      </c>
      <c r="I37" s="255"/>
      <c r="J37" s="255"/>
      <c r="K37" s="255"/>
      <c r="L37" s="255"/>
      <c r="M37" s="255"/>
      <c r="N37" s="255"/>
      <c r="O37" s="255"/>
      <c r="P37" s="256"/>
      <c r="Q37" s="260">
        <f>SUMIFS(Input[F. Exp. - Inst. (NR AFR) E&amp;G],Input[Type],$Z$2)+SUMIFS(Input[F. Exp. - Inst. (NR AFR) Desg],Input[Type],$Z$2)+SUMIFS(Input[F. Exp. - Inst. (NR AFR) Aux],Input[Type],$Z$2)+SUMIFS(Input[F. Exp. - Inst. (NR AFR) R Exp],Input[Type],$Z$2)+SUMIFS(Input[F. Exp. - Inst. (NR AFR) Loan],Input[Type],$Z$2)+SUMIFS(Input[F. Exp. - Inst. (NR AFR) Annuity],Input[Type],$Z$2)+SUMIFS(Input[F. Exp. - Inst. (NR AFR) Unexp],Input[Type],$Z$2)+SUMIFS(Input[F. Exp. - Inst. (NR AFR) R of Ind],Input[Type],$Z$2)+SUMIFS(Input[F. Exp. - Inst. (NR AFR) Inv in P],Input[Type],$Z$2)</f>
        <v>0</v>
      </c>
      <c r="R37" s="260"/>
      <c r="S37" s="260"/>
      <c r="T37" s="260">
        <f>IFERROR(ROUND(Q37/$Z$1,0),0)</f>
        <v>0</v>
      </c>
      <c r="U37" s="260"/>
      <c r="V37" s="308"/>
      <c r="W37" s="59"/>
      <c r="X37" s="56"/>
      <c r="Y37" s="56"/>
      <c r="Z37" s="56"/>
      <c r="AA37" s="56"/>
      <c r="AB37" s="56"/>
      <c r="AC37" s="56"/>
      <c r="AD37" s="56"/>
      <c r="AE37" s="56"/>
      <c r="AF37" s="56"/>
      <c r="AG37" s="56"/>
      <c r="AH37" s="56"/>
      <c r="AI37" s="56"/>
      <c r="AJ37" s="56"/>
      <c r="AK37" s="56"/>
      <c r="AL37" s="63"/>
      <c r="AM37" s="528"/>
      <c r="AN37" s="528"/>
      <c r="AO37" s="528"/>
      <c r="AP37" s="528"/>
      <c r="AQ37" s="528"/>
      <c r="AR37" s="528"/>
      <c r="AS37" s="528"/>
      <c r="AT37" s="528"/>
      <c r="AU37" s="528"/>
      <c r="AV37" s="528"/>
      <c r="AW37" s="56"/>
    </row>
    <row r="38" spans="1:49" s="57" customFormat="1" ht="30" customHeight="1" x14ac:dyDescent="0.3">
      <c r="A38" s="56"/>
      <c r="B38" s="56"/>
      <c r="C38" s="56"/>
      <c r="D38" s="56"/>
      <c r="E38" s="56"/>
      <c r="F38" s="56"/>
      <c r="G38" s="56"/>
      <c r="H38" s="306" t="s">
        <v>902</v>
      </c>
      <c r="I38" s="255"/>
      <c r="J38" s="255"/>
      <c r="K38" s="255"/>
      <c r="L38" s="255"/>
      <c r="M38" s="255"/>
      <c r="N38" s="255"/>
      <c r="O38" s="255"/>
      <c r="P38" s="256"/>
      <c r="Q38" s="260">
        <f>SUMIFS(Input[Fees - Gross E&amp;G],Input[Type],$Z$2)+SUMIFS(Input[Fees - Gross Desg],Input[Type],$Z$2)+SUMIFS(Input[Fees - Gross Aux],Input[Type],$Z$2)+SUMIFS(Input[Fees - Gross R Exp],Input[Type],$Z$2)+SUMIFS(Input[Fees - Gross Loan],Input[Type],$Z$2)+SUMIFS(Input[Fees - Gross Annuity],Input[Type],$Z$2)+SUMIFS(Input[Fees - Gross Unexp],Input[Type],$Z$2)+SUMIFS(Input[Fees - Gross R of Ind],Input[Type],$Z$2)+SUMIFS(Input[Fees - Gross Inv in P],Input[Type],$Z$2)</f>
        <v>0</v>
      </c>
      <c r="R38" s="260"/>
      <c r="S38" s="260"/>
      <c r="T38" s="260">
        <f>IFERROR(ROUND(Q38/$Z$1,0),0)</f>
        <v>0</v>
      </c>
      <c r="U38" s="260"/>
      <c r="V38" s="308"/>
      <c r="W38" s="59"/>
      <c r="X38" s="56"/>
      <c r="Y38" s="56"/>
      <c r="Z38" s="56"/>
      <c r="AA38" s="56"/>
      <c r="AB38" s="56"/>
      <c r="AC38" s="56"/>
      <c r="AD38" s="56"/>
      <c r="AE38" s="56"/>
      <c r="AF38" s="56"/>
      <c r="AG38" s="56"/>
      <c r="AH38" s="56"/>
      <c r="AI38" s="56"/>
      <c r="AJ38" s="56"/>
      <c r="AK38" s="56"/>
      <c r="AL38" s="63"/>
      <c r="AM38" s="528"/>
      <c r="AN38" s="528"/>
      <c r="AO38" s="528"/>
      <c r="AP38" s="528"/>
      <c r="AQ38" s="528"/>
      <c r="AR38" s="528"/>
      <c r="AS38" s="528"/>
      <c r="AT38" s="528"/>
      <c r="AU38" s="528"/>
      <c r="AV38" s="528"/>
      <c r="AW38" s="56"/>
    </row>
    <row r="39" spans="1:49" s="57" customFormat="1" ht="30" customHeight="1" thickBot="1" x14ac:dyDescent="0.35">
      <c r="A39" s="56"/>
      <c r="B39" s="56"/>
      <c r="C39" s="56"/>
      <c r="D39" s="56"/>
      <c r="E39" s="56"/>
      <c r="F39" s="56"/>
      <c r="G39" s="56"/>
      <c r="H39" s="487" t="s">
        <v>897</v>
      </c>
      <c r="I39" s="274"/>
      <c r="J39" s="274"/>
      <c r="K39" s="274"/>
      <c r="L39" s="274"/>
      <c r="M39" s="274"/>
      <c r="N39" s="274"/>
      <c r="O39" s="274"/>
      <c r="P39" s="274"/>
      <c r="Q39" s="274"/>
      <c r="R39" s="274"/>
      <c r="S39" s="274"/>
      <c r="T39" s="274"/>
      <c r="U39" s="274"/>
      <c r="V39" s="488"/>
      <c r="W39" s="59"/>
      <c r="X39" s="445" t="s">
        <v>993</v>
      </c>
      <c r="Y39" s="446"/>
      <c r="Z39" s="446"/>
      <c r="AA39" s="446"/>
      <c r="AB39" s="446"/>
      <c r="AC39" s="446"/>
      <c r="AD39" s="446"/>
      <c r="AE39" s="446"/>
      <c r="AF39" s="446"/>
      <c r="AG39" s="446"/>
      <c r="AH39" s="446"/>
      <c r="AI39" s="446"/>
      <c r="AJ39" s="447"/>
      <c r="AK39" s="56"/>
      <c r="AL39" s="445" t="s">
        <v>1000</v>
      </c>
      <c r="AM39" s="446"/>
      <c r="AN39" s="446"/>
      <c r="AO39" s="446"/>
      <c r="AP39" s="446"/>
      <c r="AQ39" s="446"/>
      <c r="AR39" s="446"/>
      <c r="AS39" s="445"/>
      <c r="AT39" s="446"/>
      <c r="AU39" s="447"/>
      <c r="AV39" s="64"/>
      <c r="AW39" s="56"/>
    </row>
    <row r="40" spans="1:49" s="57" customFormat="1" ht="30" customHeight="1" thickBot="1" x14ac:dyDescent="0.35">
      <c r="A40" s="56"/>
      <c r="B40" s="56"/>
      <c r="C40" s="56"/>
      <c r="D40" s="56"/>
      <c r="E40" s="56"/>
      <c r="F40" s="56"/>
      <c r="G40" s="56"/>
      <c r="H40" s="483" t="s">
        <v>892</v>
      </c>
      <c r="I40" s="247"/>
      <c r="J40" s="247"/>
      <c r="K40" s="247"/>
      <c r="L40" s="247"/>
      <c r="M40" s="247"/>
      <c r="N40" s="247"/>
      <c r="O40" s="247"/>
      <c r="P40" s="248"/>
      <c r="Q40" s="258">
        <f>SUMIFS(Input[F. W. - Stat (R AFR) E&amp;G],Input[Type],$Z$2)+SUMIFS(Input[F. W. - Stat (R AFR) Desg],Input[Type],$Z$2)+SUMIFS(Input[F. W. - Stat (R AFR) Aux],Input[Type],$Z$2)+SUMIFS(Input[F. W. - Stat (R AFR) R Exp],Input[Type],$Z$2)+SUMIFS(Input[F. W. - Stat (R AFR) Loan],Input[Type],$Z$2)+SUMIFS(Input[F. W. - Stat (R AFR) Annuity],Input[Type],$Z$2)+SUMIFS(Input[F. W. - Stat (R AFR) Unexp],Input[Type],$Z$2)+SUMIFS(Input[F. W. - Stat (R AFR) R of Ind],Input[Type],$Z$2)+SUMIFS(Input[F. W. - Stat (R AFR) Inv in P],Input[Type],$Z$2)</f>
        <v>0</v>
      </c>
      <c r="R40" s="258"/>
      <c r="S40" s="258"/>
      <c r="T40" s="258">
        <f>IFERROR(ROUND(Q40/$Z$1,0),0)</f>
        <v>0</v>
      </c>
      <c r="U40" s="258"/>
      <c r="V40" s="357"/>
      <c r="W40" s="59"/>
      <c r="X40" s="489" t="s">
        <v>984</v>
      </c>
      <c r="Y40" s="490"/>
      <c r="Z40" s="490"/>
      <c r="AA40" s="490"/>
      <c r="AB40" s="490"/>
      <c r="AC40" s="490"/>
      <c r="AD40" s="491"/>
      <c r="AE40" s="492" t="s">
        <v>985</v>
      </c>
      <c r="AF40" s="493"/>
      <c r="AG40" s="494"/>
      <c r="AH40" s="495" t="s">
        <v>986</v>
      </c>
      <c r="AI40" s="493"/>
      <c r="AJ40" s="494"/>
      <c r="AK40" s="56"/>
      <c r="AL40" s="448" t="s">
        <v>1001</v>
      </c>
      <c r="AM40" s="433"/>
      <c r="AN40" s="433"/>
      <c r="AO40" s="433"/>
      <c r="AP40" s="433"/>
      <c r="AQ40" s="433"/>
      <c r="AR40" s="433"/>
      <c r="AS40" s="434" t="s">
        <v>985</v>
      </c>
      <c r="AT40" s="435"/>
      <c r="AU40" s="449"/>
      <c r="AV40" s="64"/>
      <c r="AW40" s="56"/>
    </row>
    <row r="41" spans="1:49" s="57" customFormat="1" ht="30" customHeight="1" x14ac:dyDescent="0.3">
      <c r="A41" s="56"/>
      <c r="B41" s="56"/>
      <c r="C41" s="56"/>
      <c r="D41" s="56"/>
      <c r="E41" s="56"/>
      <c r="F41" s="56"/>
      <c r="G41" s="56"/>
      <c r="H41" s="306" t="s">
        <v>893</v>
      </c>
      <c r="I41" s="255"/>
      <c r="J41" s="255"/>
      <c r="K41" s="255"/>
      <c r="L41" s="255"/>
      <c r="M41" s="255"/>
      <c r="N41" s="255"/>
      <c r="O41" s="255"/>
      <c r="P41" s="256"/>
      <c r="Q41" s="260">
        <f>SUMIFS(Input[F. W. - Inst. (R AFR) E&amp;G],Input[Type],$Z$2)+SUMIFS(Input[F. W. - Inst. (R AFR) Desg],Input[Type],$Z$2)+SUMIFS(Input[F. W. - Inst. (R AFR) Aux],Input[Type],$Z$2)+SUMIFS(Input[F. W. - Inst. (R AFR) R Exp],Input[Type],$Z$2)+SUMIFS(Input[F. W. - Inst. (R AFR) Loan],Input[Type],$Z$2)+SUMIFS(Input[F. W. - Inst. (R AFR) Annuity],Input[Type],$Z$2)+SUMIFS(Input[F. W. - Inst. (R AFR) Unexp],Input[Type],$Z$2)+SUMIFS(Input[F. W. - Inst. (R AFR) R of Ind],Input[Type],$Z$2)+SUMIFS(Input[F. W. - Inst. (R AFR) Inv in P],Input[Type],$Z$2)</f>
        <v>0</v>
      </c>
      <c r="R41" s="260"/>
      <c r="S41" s="260"/>
      <c r="T41" s="260">
        <f>IFERROR(ROUND(Q41/$Z$1,0),0)</f>
        <v>0</v>
      </c>
      <c r="U41" s="260"/>
      <c r="V41" s="308"/>
      <c r="W41" s="59"/>
      <c r="X41" s="409" t="s">
        <v>885</v>
      </c>
      <c r="Y41" s="409"/>
      <c r="Z41" s="409"/>
      <c r="AA41" s="409"/>
      <c r="AB41" s="409"/>
      <c r="AC41" s="409"/>
      <c r="AD41" s="409"/>
      <c r="AE41" s="336">
        <f>Q10</f>
        <v>0</v>
      </c>
      <c r="AF41" s="336"/>
      <c r="AG41" s="336"/>
      <c r="AH41" s="410">
        <f>IFERROR(AE41/$AE$14,0)</f>
        <v>0</v>
      </c>
      <c r="AI41" s="410"/>
      <c r="AJ41" s="410"/>
      <c r="AK41" s="56"/>
      <c r="AL41" s="141" t="str" cm="1">
        <f t="array" ref="AL41">_xlfn.XLOOKUP(IFERROR(LARGE(_xlfn._xlws.FILTER($AE$41:$AE$54, $AE$41:$AE$54&gt;0), 1), ""),$AE$41:$AE$54,$X$41:$X$54,"",0,-1)</f>
        <v/>
      </c>
      <c r="AM41" s="75"/>
      <c r="AN41" s="75"/>
      <c r="AO41" s="75"/>
      <c r="AP41" s="75"/>
      <c r="AQ41" s="75"/>
      <c r="AR41" s="76"/>
      <c r="AS41" s="450">
        <f>_xlfn.XLOOKUP(AL41,$X$41:$X$54,$AE$41:$AE$54,0,0,1)</f>
        <v>0</v>
      </c>
      <c r="AT41" s="450"/>
      <c r="AU41" s="450"/>
      <c r="AV41" s="64"/>
      <c r="AW41" s="56"/>
    </row>
    <row r="42" spans="1:49" s="57" customFormat="1" ht="30" customHeight="1" x14ac:dyDescent="0.3">
      <c r="A42" s="56"/>
      <c r="B42" s="56"/>
      <c r="C42" s="56"/>
      <c r="D42" s="56"/>
      <c r="E42" s="56"/>
      <c r="F42" s="56"/>
      <c r="G42" s="56"/>
      <c r="H42" s="306" t="s">
        <v>894</v>
      </c>
      <c r="I42" s="255"/>
      <c r="J42" s="255"/>
      <c r="K42" s="255"/>
      <c r="L42" s="255"/>
      <c r="M42" s="255"/>
      <c r="N42" s="255"/>
      <c r="O42" s="255"/>
      <c r="P42" s="256"/>
      <c r="Q42" s="260">
        <f>SUMIFS(Input[F. Exp. - Stat (R AFR) E&amp;G],Input[Type],$Z$2)+SUMIFS(Input[F. Exp. - Stat (R AFR) Desg],Input[Type],$Z$2)+SUMIFS(Input[F. Exp. - Stat (R AFR) Aux],Input[Type],$Z$2)+SUMIFS(Input[F. Exp. - Stat (R AFR) R Exp],Input[Type],$Z$2)+SUMIFS(Input[F. Exp. - Stat (R AFR) Loan],Input[Type],$Z$2)+SUMIFS(Input[F. Exp. - Stat (R AFR) Annuity],Input[Type],$Z$2)+SUMIFS(Input[F. Exp. - Stat (R AFR) Unexp],Input[Type],$Z$2)+SUMIFS(Input[F. Exp. - Stat (R AFR) R of Ind],Input[Type],$Z$2)+SUMIFS(Input[F. Exp. - Stat (R AFR) Inv in P],Input[Type],$Z$2)</f>
        <v>0</v>
      </c>
      <c r="R42" s="260"/>
      <c r="S42" s="260"/>
      <c r="T42" s="260">
        <f>IFERROR(ROUND(Q42/$Z$1,0),0)</f>
        <v>0</v>
      </c>
      <c r="U42" s="260"/>
      <c r="V42" s="308"/>
      <c r="W42" s="59"/>
      <c r="X42" s="345" t="s">
        <v>994</v>
      </c>
      <c r="Y42" s="345"/>
      <c r="Z42" s="345"/>
      <c r="AA42" s="345"/>
      <c r="AB42" s="345"/>
      <c r="AC42" s="345"/>
      <c r="AD42" s="345"/>
      <c r="AE42" s="334">
        <f>Q11</f>
        <v>0</v>
      </c>
      <c r="AF42" s="334"/>
      <c r="AG42" s="334"/>
      <c r="AH42" s="346">
        <f t="shared" ref="AH42:AH54" si="0">IFERROR(AE42/$AE$14,0)</f>
        <v>0</v>
      </c>
      <c r="AI42" s="346"/>
      <c r="AJ42" s="346"/>
      <c r="AK42" s="56"/>
      <c r="AL42" s="134" t="str" cm="1">
        <f t="array" ref="AL42">_xlfn.XLOOKUP(IFERROR(LARGE(_xlfn._xlws.FILTER($AE$41:$AE$54, $AE$41:$AE$54&gt;0), 2), ""),$AE$41:$AE$54,$X$41:$X$54,"",0,-1)</f>
        <v/>
      </c>
      <c r="AM42" s="67"/>
      <c r="AN42" s="67"/>
      <c r="AO42" s="67"/>
      <c r="AP42" s="67"/>
      <c r="AQ42" s="67"/>
      <c r="AR42" s="68"/>
      <c r="AS42" s="423">
        <f t="shared" ref="AS42:AS45" si="1">_xlfn.XLOOKUP(AL42,$X$41:$X$54,$AE$41:$AE$54,0,0,1)</f>
        <v>0</v>
      </c>
      <c r="AT42" s="424"/>
      <c r="AU42" s="451"/>
      <c r="AV42" s="64"/>
      <c r="AW42" s="56"/>
    </row>
    <row r="43" spans="1:49" s="57" customFormat="1" ht="30" customHeight="1" x14ac:dyDescent="0.3">
      <c r="A43" s="56"/>
      <c r="B43" s="56"/>
      <c r="C43" s="56"/>
      <c r="D43" s="56"/>
      <c r="E43" s="56"/>
      <c r="F43" s="56"/>
      <c r="G43" s="56"/>
      <c r="H43" s="306" t="s">
        <v>895</v>
      </c>
      <c r="I43" s="255"/>
      <c r="J43" s="255"/>
      <c r="K43" s="255"/>
      <c r="L43" s="255"/>
      <c r="M43" s="255"/>
      <c r="N43" s="255"/>
      <c r="O43" s="255"/>
      <c r="P43" s="256"/>
      <c r="Q43" s="260">
        <f>SUMIFS(Input[F. Exp. - Inst. (R AFR) E&amp;G],Input[Type],$Z$2)+SUMIFS(Input[F. Exp. - Inst. (R AFR) Desg],Input[Type],$Z$2)+SUMIFS(Input[F. Exp. - Inst. (R AFR) Aux],Input[Type],$Z$2)+SUMIFS(Input[F. Exp. - Inst. (R AFR) R Exp],Input[Type],$Z$2)+SUMIFS(Input[F. Exp. - Inst. (R AFR) Loan],Input[Type],$Z$2)+SUMIFS(Input[F. Exp. - Inst. (R AFR) Annuity],Input[Type],$Z$2)+SUMIFS(Input[F. Exp. - Inst. (R AFR) Unexp],Input[Type],$Z$2)+SUMIFS(Input[F. Exp. - Inst. (R AFR) R of Ind],Input[Type],$Z$2)+SUMIFS(Input[F. Exp. - Inst. (R AFR) Inv in P],Input[Type],$Z$2)</f>
        <v>0</v>
      </c>
      <c r="R43" s="260"/>
      <c r="S43" s="260"/>
      <c r="T43" s="260">
        <f>IFERROR(ROUND(Q43/$Z$1,0),0)</f>
        <v>0</v>
      </c>
      <c r="U43" s="260"/>
      <c r="V43" s="308"/>
      <c r="W43" s="59"/>
      <c r="X43" s="345" t="s">
        <v>887</v>
      </c>
      <c r="Y43" s="345"/>
      <c r="Z43" s="345"/>
      <c r="AA43" s="345"/>
      <c r="AB43" s="345"/>
      <c r="AC43" s="345"/>
      <c r="AD43" s="345"/>
      <c r="AE43" s="334">
        <f>Q12</f>
        <v>0</v>
      </c>
      <c r="AF43" s="334"/>
      <c r="AG43" s="334"/>
      <c r="AH43" s="346">
        <f t="shared" si="0"/>
        <v>0</v>
      </c>
      <c r="AI43" s="346"/>
      <c r="AJ43" s="346"/>
      <c r="AK43" s="56"/>
      <c r="AL43" s="134" t="str" cm="1">
        <f t="array" ref="AL43">_xlfn.XLOOKUP(IFERROR(LARGE(_xlfn._xlws.FILTER($AE$41:$AE$54, $AE$41:$AE$54&gt;0), 3), ""),$AE$41:$AE$54,$X$41:$X$54,"",0,-1)</f>
        <v/>
      </c>
      <c r="AM43" s="67"/>
      <c r="AN43" s="67"/>
      <c r="AO43" s="67"/>
      <c r="AP43" s="67"/>
      <c r="AQ43" s="67"/>
      <c r="AR43" s="68"/>
      <c r="AS43" s="423">
        <f t="shared" si="1"/>
        <v>0</v>
      </c>
      <c r="AT43" s="424"/>
      <c r="AU43" s="451"/>
      <c r="AV43" s="64"/>
      <c r="AW43" s="56"/>
    </row>
    <row r="44" spans="1:49" s="57" customFormat="1" ht="30" customHeight="1" x14ac:dyDescent="0.3">
      <c r="A44" s="56"/>
      <c r="B44" s="56"/>
      <c r="C44" s="56"/>
      <c r="D44" s="56"/>
      <c r="E44" s="56"/>
      <c r="F44" s="56"/>
      <c r="G44" s="56"/>
      <c r="H44" s="306" t="s">
        <v>898</v>
      </c>
      <c r="I44" s="255"/>
      <c r="J44" s="255"/>
      <c r="K44" s="255"/>
      <c r="L44" s="255"/>
      <c r="M44" s="255"/>
      <c r="N44" s="255"/>
      <c r="O44" s="255"/>
      <c r="P44" s="256"/>
      <c r="Q44" s="260">
        <f>SUMIFS(Input[Fee Schlr E&amp;G],Input[Type],$Z$2)+SUMIFS(Input[Fee Schlr Desg],Input[Type],$Z$2)+SUMIFS(Input[Fee Schlr Aux],Input[Type],$Z$2)+SUMIFS(Input[Fee Schlr R Exp],Input[Type],$Z$2)+SUMIFS(Input[Fee Schlr Loan],Input[Type],$Z$2)+SUMIFS(Input[Fee Schlr Annuity],Input[Type],$Z$2)+SUMIFS(Input[Fee Schlr Unexp],Input[Type],$Z$2)+SUMIFS(Input[Fee Schlr R of Ind],Input[Type],$Z$2)+SUMIFS(Input[Fee Schlr Inv in P],Input[Type],$Z$2)</f>
        <v>0</v>
      </c>
      <c r="R44" s="260"/>
      <c r="S44" s="260"/>
      <c r="T44" s="260">
        <f>IFERROR(ROUND(Q44/$Z$1,0),0)</f>
        <v>0</v>
      </c>
      <c r="U44" s="260"/>
      <c r="V44" s="308"/>
      <c r="W44" s="59"/>
      <c r="X44" s="345" t="s">
        <v>888</v>
      </c>
      <c r="Y44" s="345"/>
      <c r="Z44" s="345"/>
      <c r="AA44" s="345"/>
      <c r="AB44" s="345"/>
      <c r="AC44" s="345"/>
      <c r="AD44" s="345"/>
      <c r="AE44" s="334">
        <f>Q13</f>
        <v>0</v>
      </c>
      <c r="AF44" s="334"/>
      <c r="AG44" s="334"/>
      <c r="AH44" s="346">
        <f t="shared" si="0"/>
        <v>0</v>
      </c>
      <c r="AI44" s="346"/>
      <c r="AJ44" s="346"/>
      <c r="AK44" s="56"/>
      <c r="AL44" s="134" t="str" cm="1">
        <f t="array" ref="AL44">_xlfn.XLOOKUP(IFERROR(LARGE(_xlfn._xlws.FILTER($AE$41:$AE$54, $AE$41:$AE$54&gt;0), 4), ""),$AE$41:$AE$54,$X$41:$X$54,"",0,-1)</f>
        <v/>
      </c>
      <c r="AM44" s="67"/>
      <c r="AN44" s="67"/>
      <c r="AO44" s="67"/>
      <c r="AP44" s="67"/>
      <c r="AQ44" s="67"/>
      <c r="AR44" s="68"/>
      <c r="AS44" s="423">
        <f t="shared" si="1"/>
        <v>0</v>
      </c>
      <c r="AT44" s="424"/>
      <c r="AU44" s="451"/>
      <c r="AV44" s="64"/>
      <c r="AW44" s="56"/>
    </row>
    <row r="45" spans="1:49" s="57" customFormat="1" ht="30" customHeight="1" x14ac:dyDescent="0.3">
      <c r="A45" s="56"/>
      <c r="B45" s="56"/>
      <c r="C45" s="56"/>
      <c r="D45" s="56"/>
      <c r="E45" s="56"/>
      <c r="F45" s="56"/>
      <c r="G45" s="56"/>
      <c r="H45" s="323" t="s">
        <v>903</v>
      </c>
      <c r="I45" s="324"/>
      <c r="J45" s="324"/>
      <c r="K45" s="324"/>
      <c r="L45" s="324"/>
      <c r="M45" s="324"/>
      <c r="N45" s="324"/>
      <c r="O45" s="324"/>
      <c r="P45" s="324"/>
      <c r="Q45" s="329">
        <f>SUM(Q38,Q40:S44)</f>
        <v>0</v>
      </c>
      <c r="R45" s="329"/>
      <c r="S45" s="329"/>
      <c r="T45" s="329">
        <f>SUM(T38,T40:V44)</f>
        <v>0</v>
      </c>
      <c r="U45" s="329"/>
      <c r="V45" s="330"/>
      <c r="W45" s="59"/>
      <c r="X45" s="345" t="s">
        <v>995</v>
      </c>
      <c r="Y45" s="345"/>
      <c r="Z45" s="345"/>
      <c r="AA45" s="345"/>
      <c r="AB45" s="345"/>
      <c r="AC45" s="345"/>
      <c r="AD45" s="345"/>
      <c r="AE45" s="334">
        <f>Q30+Q45</f>
        <v>0</v>
      </c>
      <c r="AF45" s="334"/>
      <c r="AG45" s="334"/>
      <c r="AH45" s="346">
        <f t="shared" si="0"/>
        <v>0</v>
      </c>
      <c r="AI45" s="346"/>
      <c r="AJ45" s="346"/>
      <c r="AK45" s="56"/>
      <c r="AL45" s="133" t="str" cm="1">
        <f t="array" ref="AL45">_xlfn.XLOOKUP(IFERROR(LARGE(_xlfn._xlws.FILTER($AE$41:$AE$54, $AE$41:$AE$54&gt;0), 5), ""),$AE$41:$AE$54,$X$41:$X$54,"",0,-1)</f>
        <v/>
      </c>
      <c r="AM45" s="81"/>
      <c r="AN45" s="81"/>
      <c r="AO45" s="81"/>
      <c r="AP45" s="81"/>
      <c r="AQ45" s="81"/>
      <c r="AR45" s="82"/>
      <c r="AS45" s="452">
        <f t="shared" si="1"/>
        <v>0</v>
      </c>
      <c r="AT45" s="453"/>
      <c r="AU45" s="454"/>
      <c r="AV45" s="64"/>
      <c r="AW45" s="56"/>
    </row>
    <row r="46" spans="1:49" s="57" customFormat="1" ht="30" customHeight="1" x14ac:dyDescent="0.3">
      <c r="A46" s="56"/>
      <c r="B46" s="56"/>
      <c r="C46" s="56"/>
      <c r="D46" s="56"/>
      <c r="E46" s="56"/>
      <c r="F46" s="56"/>
      <c r="G46" s="56"/>
      <c r="H46" s="59"/>
      <c r="I46" s="59"/>
      <c r="J46" s="59"/>
      <c r="K46" s="59"/>
      <c r="L46" s="59"/>
      <c r="M46" s="59"/>
      <c r="N46" s="59"/>
      <c r="O46" s="59"/>
      <c r="P46" s="59"/>
      <c r="Q46" s="80"/>
      <c r="R46" s="80"/>
      <c r="S46" s="80"/>
      <c r="T46" s="80"/>
      <c r="U46" s="80"/>
      <c r="V46" s="80"/>
      <c r="W46" s="56"/>
      <c r="X46" s="345" t="s">
        <v>996</v>
      </c>
      <c r="Y46" s="345"/>
      <c r="Z46" s="345"/>
      <c r="AA46" s="345"/>
      <c r="AB46" s="345"/>
      <c r="AC46" s="345"/>
      <c r="AD46" s="345"/>
      <c r="AE46" s="334">
        <f>Q50</f>
        <v>0</v>
      </c>
      <c r="AF46" s="334"/>
      <c r="AG46" s="334"/>
      <c r="AH46" s="346">
        <f t="shared" si="0"/>
        <v>0</v>
      </c>
      <c r="AI46" s="346"/>
      <c r="AJ46" s="346"/>
      <c r="AK46" s="56"/>
      <c r="AL46" s="56"/>
      <c r="AM46" s="64"/>
      <c r="AN46" s="64"/>
      <c r="AO46" s="64"/>
      <c r="AP46" s="64"/>
      <c r="AQ46" s="64"/>
      <c r="AR46" s="64"/>
      <c r="AS46" s="64"/>
      <c r="AT46" s="64"/>
      <c r="AU46" s="64"/>
      <c r="AV46" s="64"/>
      <c r="AW46" s="56"/>
    </row>
    <row r="47" spans="1:49" s="57" customFormat="1" ht="30" customHeight="1" x14ac:dyDescent="0.3">
      <c r="A47" s="56"/>
      <c r="B47" s="56"/>
      <c r="C47" s="56"/>
      <c r="D47" s="56"/>
      <c r="E47" s="56"/>
      <c r="F47" s="56"/>
      <c r="G47" s="56"/>
      <c r="H47" s="369" t="s">
        <v>904</v>
      </c>
      <c r="I47" s="370"/>
      <c r="J47" s="370"/>
      <c r="K47" s="370"/>
      <c r="L47" s="370"/>
      <c r="M47" s="370"/>
      <c r="N47" s="370"/>
      <c r="O47" s="370"/>
      <c r="P47" s="370"/>
      <c r="Q47" s="367">
        <f>SUM(Q30,Q45)</f>
        <v>0</v>
      </c>
      <c r="R47" s="367"/>
      <c r="S47" s="367"/>
      <c r="T47" s="367">
        <f>SUM(T30,T45)</f>
        <v>0</v>
      </c>
      <c r="U47" s="367"/>
      <c r="V47" s="368"/>
      <c r="W47" s="56"/>
      <c r="X47" s="345" t="s">
        <v>907</v>
      </c>
      <c r="Y47" s="345"/>
      <c r="Z47" s="345"/>
      <c r="AA47" s="345"/>
      <c r="AB47" s="345"/>
      <c r="AC47" s="345"/>
      <c r="AD47" s="345"/>
      <c r="AE47" s="334">
        <f>Q53</f>
        <v>0</v>
      </c>
      <c r="AF47" s="334"/>
      <c r="AG47" s="334"/>
      <c r="AH47" s="346">
        <f t="shared" si="0"/>
        <v>0</v>
      </c>
      <c r="AI47" s="346"/>
      <c r="AJ47" s="346"/>
      <c r="AK47" s="56"/>
      <c r="AL47" s="56"/>
      <c r="AM47" s="56"/>
      <c r="AN47" s="56"/>
      <c r="AO47" s="56"/>
      <c r="AP47" s="56"/>
      <c r="AQ47" s="56"/>
      <c r="AR47" s="56"/>
      <c r="AS47" s="56"/>
      <c r="AT47" s="56"/>
      <c r="AU47" s="56"/>
      <c r="AV47" s="56"/>
      <c r="AW47" s="56"/>
    </row>
    <row r="48" spans="1:49" s="57" customFormat="1" ht="30" customHeight="1" x14ac:dyDescent="0.3">
      <c r="A48" s="56"/>
      <c r="B48" s="56"/>
      <c r="C48" s="56"/>
      <c r="D48" s="56"/>
      <c r="E48" s="56"/>
      <c r="F48" s="56"/>
      <c r="G48" s="56"/>
      <c r="H48" s="59"/>
      <c r="I48" s="59"/>
      <c r="J48" s="59"/>
      <c r="K48" s="59"/>
      <c r="L48" s="59"/>
      <c r="M48" s="59"/>
      <c r="N48" s="59"/>
      <c r="O48" s="59"/>
      <c r="P48" s="59"/>
      <c r="Q48" s="80"/>
      <c r="R48" s="80"/>
      <c r="S48" s="80"/>
      <c r="T48" s="80"/>
      <c r="U48" s="80"/>
      <c r="V48" s="80"/>
      <c r="W48" s="56"/>
      <c r="X48" s="345" t="s">
        <v>909</v>
      </c>
      <c r="Y48" s="345"/>
      <c r="Z48" s="345"/>
      <c r="AA48" s="345"/>
      <c r="AB48" s="345"/>
      <c r="AC48" s="345"/>
      <c r="AD48" s="345"/>
      <c r="AE48" s="334">
        <f>Q56</f>
        <v>0</v>
      </c>
      <c r="AF48" s="334"/>
      <c r="AG48" s="334"/>
      <c r="AH48" s="346">
        <f t="shared" si="0"/>
        <v>0</v>
      </c>
      <c r="AI48" s="346"/>
      <c r="AJ48" s="346"/>
      <c r="AK48" s="56"/>
      <c r="AL48" s="142"/>
      <c r="AM48" s="142"/>
      <c r="AN48" s="142"/>
      <c r="AO48" s="142"/>
      <c r="AP48" s="142"/>
      <c r="AQ48" s="142"/>
      <c r="AR48" s="142"/>
      <c r="AS48" s="142"/>
      <c r="AT48" s="142"/>
      <c r="AU48" s="142"/>
      <c r="AV48" s="56"/>
      <c r="AW48" s="56"/>
    </row>
    <row r="49" spans="1:49" s="57" customFormat="1" ht="30" customHeight="1" x14ac:dyDescent="0.3">
      <c r="A49" s="56"/>
      <c r="B49" s="56"/>
      <c r="C49" s="56"/>
      <c r="D49" s="56"/>
      <c r="E49" s="56"/>
      <c r="F49" s="56"/>
      <c r="G49" s="56"/>
      <c r="H49" s="374" t="s">
        <v>905</v>
      </c>
      <c r="I49" s="375"/>
      <c r="J49" s="375"/>
      <c r="K49" s="375"/>
      <c r="L49" s="375"/>
      <c r="M49" s="375"/>
      <c r="N49" s="375"/>
      <c r="O49" s="375"/>
      <c r="P49" s="375"/>
      <c r="Q49" s="376" t="s">
        <v>981</v>
      </c>
      <c r="R49" s="376"/>
      <c r="S49" s="376"/>
      <c r="T49" s="376" t="s">
        <v>982</v>
      </c>
      <c r="U49" s="376"/>
      <c r="V49" s="377"/>
      <c r="W49" s="56"/>
      <c r="X49" s="345" t="s">
        <v>997</v>
      </c>
      <c r="Y49" s="345"/>
      <c r="Z49" s="345"/>
      <c r="AA49" s="345"/>
      <c r="AB49" s="345"/>
      <c r="AC49" s="345"/>
      <c r="AD49" s="345"/>
      <c r="AE49" s="334">
        <f t="shared" ref="AE49:AE54" si="2">Q59</f>
        <v>0</v>
      </c>
      <c r="AF49" s="334"/>
      <c r="AG49" s="334"/>
      <c r="AH49" s="346">
        <f t="shared" si="0"/>
        <v>0</v>
      </c>
      <c r="AI49" s="346"/>
      <c r="AJ49" s="346"/>
      <c r="AK49" s="56"/>
      <c r="AL49" s="142"/>
      <c r="AM49" s="142"/>
      <c r="AN49" s="142"/>
      <c r="AO49" s="142"/>
      <c r="AP49" s="142"/>
      <c r="AQ49" s="142"/>
      <c r="AR49" s="142"/>
      <c r="AS49" s="142"/>
      <c r="AT49" s="142"/>
      <c r="AU49" s="142"/>
      <c r="AV49" s="56"/>
      <c r="AW49" s="56"/>
    </row>
    <row r="50" spans="1:49" s="57" customFormat="1" ht="30" customHeight="1" x14ac:dyDescent="0.3">
      <c r="A50" s="56"/>
      <c r="B50" s="56"/>
      <c r="C50" s="56"/>
      <c r="D50" s="56"/>
      <c r="E50" s="56"/>
      <c r="F50" s="56"/>
      <c r="G50" s="56"/>
      <c r="H50" s="484" t="s">
        <v>906</v>
      </c>
      <c r="I50" s="485"/>
      <c r="J50" s="485"/>
      <c r="K50" s="485"/>
      <c r="L50" s="485"/>
      <c r="M50" s="485"/>
      <c r="N50" s="485"/>
      <c r="O50" s="485"/>
      <c r="P50" s="486"/>
      <c r="Q50" s="329">
        <f>SUMIFS(Input[Fed G&amp;C E&amp;G],Input[Type],$Z$2)+SUMIFS(Input[Fed G&amp;C Desg],Input[Type],$Z$2)+SUMIFS(Input[Fed G&amp;C Aux],Input[Type],$Z$2)+SUMIFS(Input[Fed G&amp;C R Exp],Input[Type],$Z$2)+SUMIFS(Input[Fed G&amp;C Loan],Input[Type],$Z$2)+SUMIFS(Input[Fed G&amp;C Annuity],Input[Type],$Z$2)+SUMIFS(Input[Fed G&amp;C Unexp],Input[Type],$Z$2)+SUMIFS(Input[Fed G&amp;C R of Ind],Input[Type],$Z$2)+SUMIFS(Input[Fed G&amp;C Inv in P],Input[Type],$Z$2)</f>
        <v>0</v>
      </c>
      <c r="R50" s="329"/>
      <c r="S50" s="329"/>
      <c r="T50" s="329">
        <f>IFERROR(ROUND(Q50/$Z$1,0),0)</f>
        <v>0</v>
      </c>
      <c r="U50" s="329"/>
      <c r="V50" s="330"/>
      <c r="W50" s="56"/>
      <c r="X50" s="345" t="s">
        <v>912</v>
      </c>
      <c r="Y50" s="345"/>
      <c r="Z50" s="345"/>
      <c r="AA50" s="345"/>
      <c r="AB50" s="345"/>
      <c r="AC50" s="345"/>
      <c r="AD50" s="345"/>
      <c r="AE50" s="334">
        <f t="shared" si="2"/>
        <v>0</v>
      </c>
      <c r="AF50" s="334"/>
      <c r="AG50" s="334"/>
      <c r="AH50" s="346">
        <f t="shared" si="0"/>
        <v>0</v>
      </c>
      <c r="AI50" s="346"/>
      <c r="AJ50" s="346"/>
      <c r="AK50" s="56"/>
      <c r="AL50" s="142"/>
      <c r="AM50" s="142"/>
      <c r="AN50" s="142"/>
      <c r="AO50" s="142"/>
      <c r="AP50" s="142"/>
      <c r="AQ50" s="142"/>
      <c r="AR50" s="142"/>
      <c r="AS50" s="142"/>
      <c r="AT50" s="142"/>
      <c r="AU50" s="142"/>
      <c r="AV50" s="56"/>
      <c r="AW50" s="56"/>
    </row>
    <row r="51" spans="1:49" s="57" customFormat="1" ht="30" customHeight="1" x14ac:dyDescent="0.3">
      <c r="A51" s="56"/>
      <c r="B51" s="56"/>
      <c r="C51" s="56"/>
      <c r="D51" s="56"/>
      <c r="E51" s="56"/>
      <c r="F51" s="56"/>
      <c r="G51" s="56"/>
      <c r="H51" s="59"/>
      <c r="I51" s="59"/>
      <c r="J51" s="59"/>
      <c r="K51" s="59"/>
      <c r="L51" s="59"/>
      <c r="M51" s="59"/>
      <c r="N51" s="59"/>
      <c r="O51" s="59"/>
      <c r="P51" s="59"/>
      <c r="Q51" s="80"/>
      <c r="R51" s="80"/>
      <c r="S51" s="80"/>
      <c r="T51" s="80"/>
      <c r="U51" s="80"/>
      <c r="V51" s="80"/>
      <c r="W51" s="56"/>
      <c r="X51" s="345" t="s">
        <v>998</v>
      </c>
      <c r="Y51" s="345"/>
      <c r="Z51" s="345"/>
      <c r="AA51" s="345"/>
      <c r="AB51" s="345"/>
      <c r="AC51" s="345"/>
      <c r="AD51" s="345"/>
      <c r="AE51" s="334">
        <f t="shared" si="2"/>
        <v>0</v>
      </c>
      <c r="AF51" s="334"/>
      <c r="AG51" s="334"/>
      <c r="AH51" s="346">
        <f t="shared" si="0"/>
        <v>0</v>
      </c>
      <c r="AI51" s="346"/>
      <c r="AJ51" s="346"/>
      <c r="AK51" s="56"/>
      <c r="AL51" s="142"/>
      <c r="AM51" s="142"/>
      <c r="AN51" s="142"/>
      <c r="AO51" s="142"/>
      <c r="AP51" s="142"/>
      <c r="AQ51" s="142"/>
      <c r="AR51" s="142"/>
      <c r="AS51" s="142"/>
      <c r="AT51" s="142"/>
      <c r="AU51" s="142"/>
      <c r="AV51" s="56"/>
      <c r="AW51" s="56"/>
    </row>
    <row r="52" spans="1:49" s="57" customFormat="1" ht="30" customHeight="1" x14ac:dyDescent="0.3">
      <c r="A52" s="56"/>
      <c r="B52" s="56"/>
      <c r="C52" s="56"/>
      <c r="D52" s="56"/>
      <c r="E52" s="56"/>
      <c r="F52" s="56"/>
      <c r="G52" s="56"/>
      <c r="H52" s="374" t="s">
        <v>907</v>
      </c>
      <c r="I52" s="375"/>
      <c r="J52" s="375"/>
      <c r="K52" s="375"/>
      <c r="L52" s="375"/>
      <c r="M52" s="375"/>
      <c r="N52" s="375"/>
      <c r="O52" s="375"/>
      <c r="P52" s="375"/>
      <c r="Q52" s="376" t="s">
        <v>981</v>
      </c>
      <c r="R52" s="376"/>
      <c r="S52" s="376"/>
      <c r="T52" s="376" t="s">
        <v>982</v>
      </c>
      <c r="U52" s="376"/>
      <c r="V52" s="377"/>
      <c r="W52" s="56"/>
      <c r="X52" s="345" t="s">
        <v>999</v>
      </c>
      <c r="Y52" s="345"/>
      <c r="Z52" s="345"/>
      <c r="AA52" s="345"/>
      <c r="AB52" s="345"/>
      <c r="AC52" s="345"/>
      <c r="AD52" s="345"/>
      <c r="AE52" s="334">
        <f t="shared" si="2"/>
        <v>0</v>
      </c>
      <c r="AF52" s="334"/>
      <c r="AG52" s="334"/>
      <c r="AH52" s="346">
        <f t="shared" si="0"/>
        <v>0</v>
      </c>
      <c r="AI52" s="346"/>
      <c r="AJ52" s="346"/>
      <c r="AK52" s="56"/>
      <c r="AL52" s="142"/>
      <c r="AM52" s="142"/>
      <c r="AN52" s="142"/>
      <c r="AO52" s="142"/>
      <c r="AP52" s="142"/>
      <c r="AQ52" s="142"/>
      <c r="AR52" s="142"/>
      <c r="AS52" s="142"/>
      <c r="AT52" s="142"/>
      <c r="AU52" s="142"/>
      <c r="AV52" s="56"/>
      <c r="AW52" s="56"/>
    </row>
    <row r="53" spans="1:49" s="57" customFormat="1" ht="30" customHeight="1" x14ac:dyDescent="0.3">
      <c r="A53" s="56"/>
      <c r="B53" s="56"/>
      <c r="C53" s="56"/>
      <c r="D53" s="56"/>
      <c r="E53" s="56"/>
      <c r="F53" s="56"/>
      <c r="G53" s="56"/>
      <c r="H53" s="484" t="s">
        <v>908</v>
      </c>
      <c r="I53" s="485"/>
      <c r="J53" s="485"/>
      <c r="K53" s="485"/>
      <c r="L53" s="485"/>
      <c r="M53" s="485"/>
      <c r="N53" s="485"/>
      <c r="O53" s="485"/>
      <c r="P53" s="486"/>
      <c r="Q53" s="329">
        <f>SUMIFS(Input[Prof Fees E&amp;G],Input[Type],$Z$2)+SUMIFS(Input[Prof Fees Desg],Input[Type],$Z$2)+SUMIFS(Input[Prof Fees Aux],Input[Type],$Z$2)+SUMIFS(Input[Prof Fees R Exp],Input[Type],$Z$2)+SUMIFS(Input[Prof Fees Loan],Input[Type],$Z$2)+SUMIFS(Input[Prof Fees Annuity],Input[Type],$Z$2)+SUMIFS(Input[Prof Fees Unexp],Input[Type],$Z$2)+SUMIFS(Input[Prof Fees R of Ind],Input[Type],$Z$2)+SUMIFS(Input[Prof Fees Inv in P],Input[Type],$Z$2)</f>
        <v>0</v>
      </c>
      <c r="R53" s="329"/>
      <c r="S53" s="329"/>
      <c r="T53" s="329">
        <f>IFERROR(ROUND(Q53/$Z$1,0),0)</f>
        <v>0</v>
      </c>
      <c r="U53" s="329"/>
      <c r="V53" s="330"/>
      <c r="W53" s="56"/>
      <c r="X53" s="345" t="s">
        <v>915</v>
      </c>
      <c r="Y53" s="345"/>
      <c r="Z53" s="345"/>
      <c r="AA53" s="345"/>
      <c r="AB53" s="345"/>
      <c r="AC53" s="345"/>
      <c r="AD53" s="345"/>
      <c r="AE53" s="334">
        <f t="shared" si="2"/>
        <v>0</v>
      </c>
      <c r="AF53" s="334"/>
      <c r="AG53" s="334"/>
      <c r="AH53" s="346">
        <f t="shared" si="0"/>
        <v>0</v>
      </c>
      <c r="AI53" s="346"/>
      <c r="AJ53" s="346"/>
      <c r="AK53" s="56"/>
      <c r="AL53" s="142"/>
      <c r="AM53" s="142"/>
      <c r="AN53" s="142"/>
      <c r="AO53" s="142"/>
      <c r="AP53" s="142"/>
      <c r="AQ53" s="142"/>
      <c r="AR53" s="142"/>
      <c r="AS53" s="142"/>
      <c r="AT53" s="142"/>
      <c r="AU53" s="142"/>
      <c r="AV53" s="56"/>
      <c r="AW53" s="56"/>
    </row>
    <row r="54" spans="1:49" s="57" customFormat="1" ht="30" customHeight="1" x14ac:dyDescent="0.3">
      <c r="A54" s="56"/>
      <c r="B54" s="56"/>
      <c r="C54" s="56"/>
      <c r="D54" s="56"/>
      <c r="E54" s="56"/>
      <c r="F54" s="56"/>
      <c r="G54" s="56"/>
      <c r="H54" s="59"/>
      <c r="I54" s="59"/>
      <c r="J54" s="59"/>
      <c r="K54" s="59"/>
      <c r="L54" s="59"/>
      <c r="M54" s="59"/>
      <c r="N54" s="59"/>
      <c r="O54" s="59"/>
      <c r="P54" s="59"/>
      <c r="Q54" s="80"/>
      <c r="R54" s="80"/>
      <c r="S54" s="80"/>
      <c r="T54" s="80"/>
      <c r="U54" s="80"/>
      <c r="V54" s="80"/>
      <c r="W54" s="56"/>
      <c r="X54" s="437" t="s">
        <v>916</v>
      </c>
      <c r="Y54" s="437"/>
      <c r="Z54" s="437"/>
      <c r="AA54" s="437"/>
      <c r="AB54" s="437"/>
      <c r="AC54" s="437"/>
      <c r="AD54" s="437"/>
      <c r="AE54" s="340">
        <f t="shared" si="2"/>
        <v>0</v>
      </c>
      <c r="AF54" s="340"/>
      <c r="AG54" s="340"/>
      <c r="AH54" s="438">
        <f t="shared" si="0"/>
        <v>0</v>
      </c>
      <c r="AI54" s="438"/>
      <c r="AJ54" s="438"/>
      <c r="AK54" s="56"/>
      <c r="AL54" s="142"/>
      <c r="AM54" s="142"/>
      <c r="AN54" s="142"/>
      <c r="AO54" s="142"/>
      <c r="AP54" s="142"/>
      <c r="AQ54" s="142"/>
      <c r="AR54" s="142"/>
      <c r="AS54" s="142"/>
      <c r="AT54" s="142"/>
      <c r="AU54" s="142"/>
      <c r="AV54" s="56"/>
      <c r="AW54" s="56"/>
    </row>
    <row r="55" spans="1:49" s="57" customFormat="1" ht="30" customHeight="1" x14ac:dyDescent="0.3">
      <c r="A55" s="56"/>
      <c r="B55" s="56"/>
      <c r="C55" s="56"/>
      <c r="D55" s="56"/>
      <c r="E55" s="56"/>
      <c r="F55" s="56"/>
      <c r="G55" s="56"/>
      <c r="H55" s="374" t="s">
        <v>909</v>
      </c>
      <c r="I55" s="375"/>
      <c r="J55" s="375"/>
      <c r="K55" s="375"/>
      <c r="L55" s="375"/>
      <c r="M55" s="375"/>
      <c r="N55" s="375"/>
      <c r="O55" s="375"/>
      <c r="P55" s="375"/>
      <c r="Q55" s="376" t="s">
        <v>981</v>
      </c>
      <c r="R55" s="376"/>
      <c r="S55" s="376"/>
      <c r="T55" s="376" t="s">
        <v>982</v>
      </c>
      <c r="U55" s="376"/>
      <c r="V55" s="377"/>
      <c r="W55" s="56"/>
      <c r="X55" s="59"/>
      <c r="Y55" s="59"/>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row>
    <row r="56" spans="1:49" s="57" customFormat="1" ht="30" customHeight="1" x14ac:dyDescent="0.3">
      <c r="A56" s="56"/>
      <c r="B56" s="56"/>
      <c r="C56" s="56"/>
      <c r="D56" s="56"/>
      <c r="E56" s="56"/>
      <c r="F56" s="56"/>
      <c r="G56" s="56"/>
      <c r="H56" s="484" t="s">
        <v>908</v>
      </c>
      <c r="I56" s="485"/>
      <c r="J56" s="485"/>
      <c r="K56" s="485"/>
      <c r="L56" s="485"/>
      <c r="M56" s="485"/>
      <c r="N56" s="485"/>
      <c r="O56" s="485"/>
      <c r="P56" s="486"/>
      <c r="Q56" s="329">
        <f>SUMIFS(Input[H&amp;C E&amp;G],Input[Type],$Z$2)+SUMIFS(Input[H&amp;C Desg],Input[Type],$Z$2)+SUMIFS(Input[H&amp;C Aux],Input[Type],$Z$2)+SUMIFS(Input[H&amp;C R Exp],Input[Type],$Z$2)+SUMIFS(Input[H&amp;C Loan],Input[Type],$Z$2)+SUMIFS(Input[H&amp;C Annuity],Input[Type],$Z$2)+SUMIFS(Input[H&amp;C Unexp],Input[Type],$Z$2)+SUMIFS(Input[H&amp;C R of Ind],Input[Type],$Z$2)+SUMIFS(Input[H&amp;C Inv in P],Input[Type],$Z$2)</f>
        <v>0</v>
      </c>
      <c r="R56" s="329"/>
      <c r="S56" s="329"/>
      <c r="T56" s="329">
        <f>IFERROR(ROUND(Q56/$Z$1,0),0)</f>
        <v>0</v>
      </c>
      <c r="U56" s="329"/>
      <c r="V56" s="330"/>
      <c r="W56" s="56"/>
      <c r="X56" s="59"/>
      <c r="Y56" s="59"/>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row>
    <row r="57" spans="1:49" s="57" customFormat="1" ht="30" customHeight="1" x14ac:dyDescent="0.3">
      <c r="A57" s="56"/>
      <c r="B57" s="56"/>
      <c r="C57" s="56"/>
      <c r="D57" s="56"/>
      <c r="E57" s="56"/>
      <c r="F57" s="56"/>
      <c r="G57" s="56"/>
      <c r="H57" s="59"/>
      <c r="I57" s="59"/>
      <c r="J57" s="59"/>
      <c r="K57" s="59"/>
      <c r="L57" s="59"/>
      <c r="M57" s="59"/>
      <c r="N57" s="59"/>
      <c r="O57" s="59"/>
      <c r="P57" s="59"/>
      <c r="Q57" s="80"/>
      <c r="R57" s="80"/>
      <c r="S57" s="80"/>
      <c r="T57" s="80"/>
      <c r="U57" s="80"/>
      <c r="V57" s="80"/>
      <c r="W57" s="56"/>
      <c r="X57" s="59"/>
      <c r="Y57" s="59"/>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row>
    <row r="58" spans="1:49" s="57" customFormat="1" ht="30" customHeight="1" x14ac:dyDescent="0.3">
      <c r="A58" s="56"/>
      <c r="B58" s="56"/>
      <c r="C58" s="56"/>
      <c r="D58" s="56"/>
      <c r="E58" s="56"/>
      <c r="F58" s="56"/>
      <c r="G58" s="56"/>
      <c r="H58" s="374" t="s">
        <v>910</v>
      </c>
      <c r="I58" s="375"/>
      <c r="J58" s="375"/>
      <c r="K58" s="375"/>
      <c r="L58" s="375"/>
      <c r="M58" s="375"/>
      <c r="N58" s="375"/>
      <c r="O58" s="375"/>
      <c r="P58" s="375"/>
      <c r="Q58" s="376" t="s">
        <v>981</v>
      </c>
      <c r="R58" s="376"/>
      <c r="S58" s="376"/>
      <c r="T58" s="376" t="s">
        <v>982</v>
      </c>
      <c r="U58" s="376"/>
      <c r="V58" s="377"/>
      <c r="W58" s="56"/>
      <c r="X58" s="59"/>
      <c r="Y58" s="59"/>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row>
    <row r="59" spans="1:49" s="57" customFormat="1" ht="30" customHeight="1" x14ac:dyDescent="0.3">
      <c r="A59" s="56"/>
      <c r="B59" s="56"/>
      <c r="C59" s="56"/>
      <c r="D59" s="56"/>
      <c r="E59" s="56"/>
      <c r="F59" s="56"/>
      <c r="G59" s="56"/>
      <c r="H59" s="483" t="s">
        <v>911</v>
      </c>
      <c r="I59" s="247"/>
      <c r="J59" s="247"/>
      <c r="K59" s="247"/>
      <c r="L59" s="247"/>
      <c r="M59" s="247"/>
      <c r="N59" s="247"/>
      <c r="O59" s="247"/>
      <c r="P59" s="248"/>
      <c r="Q59" s="258">
        <f>SUMIFS(Input[End &amp; Int Inc E&amp;G],Input[Type],$Z$2)+SUMIFS(Input[End &amp; Int Inc Desg],Input[Type],$Z$2)+SUMIFS(Input[End &amp; Int Inc Aux],Input[Type],$Z$2)+SUMIFS(Input[End &amp; Int Inc R Exp],Input[Type],$Z$2)+SUMIFS(Input[End &amp; Int Inc Loan],Input[Type],$Z$2)+SUMIFS(Input[End &amp; Int Inc Annuity],Input[Type],$Z$2)+SUMIFS(Input[End &amp; Int Inc Unexp],Input[Type],$Z$2)+SUMIFS(Input[End &amp; Int Inc R of Ind],Input[Type],$Z$2)+SUMIFS(Input[End &amp; Int Inc Inv in P],Input[Type],$Z$2)</f>
        <v>0</v>
      </c>
      <c r="R59" s="258"/>
      <c r="S59" s="258"/>
      <c r="T59" s="258">
        <f t="shared" ref="T59:T64" si="3">IFERROR(ROUND(Q59/$Z$1,0),0)</f>
        <v>0</v>
      </c>
      <c r="U59" s="258"/>
      <c r="V59" s="357"/>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row>
    <row r="60" spans="1:49" s="57" customFormat="1" ht="30" customHeight="1" x14ac:dyDescent="0.3">
      <c r="A60" s="56"/>
      <c r="B60" s="56"/>
      <c r="C60" s="56"/>
      <c r="D60" s="56"/>
      <c r="E60" s="56"/>
      <c r="F60" s="56"/>
      <c r="G60" s="56"/>
      <c r="H60" s="306" t="s">
        <v>912</v>
      </c>
      <c r="I60" s="255"/>
      <c r="J60" s="255"/>
      <c r="K60" s="255"/>
      <c r="L60" s="255"/>
      <c r="M60" s="255"/>
      <c r="N60" s="255"/>
      <c r="O60" s="255"/>
      <c r="P60" s="256"/>
      <c r="Q60" s="260">
        <f>SUMIFS(Input[Loc Gov G E&amp;G],Input[Type],$Z$2)+SUMIFS(Input[Loc Gov G Desg],Input[Type],$Z$2)+SUMIFS(Input[Loc Gov G Aux],Input[Type],$Z$2)+SUMIFS(Input[Loc Gov G R Exp],Input[Type],$Z$2)+SUMIFS(Input[Loc Gov G Loan],Input[Type],$Z$2)+SUMIFS(Input[Loc Gov G Annuity],Input[Type],$Z$2)+SUMIFS(Input[Loc Gov G Unexp],Input[Type],$Z$2)+SUMIFS(Input[Loc Gov G R of Ind],Input[Type],$Z$2)+SUMIFS(Input[Loc Gov G Inv in P],Input[Type],$Z$2)</f>
        <v>0</v>
      </c>
      <c r="R60" s="260"/>
      <c r="S60" s="260"/>
      <c r="T60" s="455">
        <f t="shared" si="3"/>
        <v>0</v>
      </c>
      <c r="U60" s="456"/>
      <c r="V60" s="457"/>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row>
    <row r="61" spans="1:49" s="57" customFormat="1" ht="30" customHeight="1" x14ac:dyDescent="0.3">
      <c r="A61" s="56"/>
      <c r="B61" s="56"/>
      <c r="C61" s="56"/>
      <c r="D61" s="56"/>
      <c r="E61" s="56"/>
      <c r="F61" s="56"/>
      <c r="G61" s="56"/>
      <c r="H61" s="306" t="s">
        <v>913</v>
      </c>
      <c r="I61" s="255"/>
      <c r="J61" s="255"/>
      <c r="K61" s="255"/>
      <c r="L61" s="255"/>
      <c r="M61" s="255"/>
      <c r="N61" s="255"/>
      <c r="O61" s="255"/>
      <c r="P61" s="256"/>
      <c r="Q61" s="260">
        <f>SUMIFS(Input[Pvt G&amp;G E&amp;G],Input[Type],$Z$2)+SUMIFS(Input[Pvt G&amp;G Desg],Input[Type],$Z$2)+SUMIFS(Input[Pvt G&amp;G Aux],Input[Type],$Z$2)+SUMIFS(Input[Pvt G&amp;G R Exp],Input[Type],$Z$2)+SUMIFS(Input[Pvt G&amp;G Loan],Input[Type],$Z$2)+SUMIFS(Input[Pvt G&amp;G Annuity],Input[Type],$Z$2)+SUMIFS(Input[Pvt G&amp;G Unexp],Input[Type],$Z$2)+SUMIFS(Input[Pvt G&amp;G R of Ind],Input[Type],$Z$2)+SUMIFS(Input[Pvt G&amp;G Inv in P],Input[Type],$Z$2)</f>
        <v>0</v>
      </c>
      <c r="R61" s="260"/>
      <c r="S61" s="260"/>
      <c r="T61" s="455">
        <f t="shared" si="3"/>
        <v>0</v>
      </c>
      <c r="U61" s="456"/>
      <c r="V61" s="457"/>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row>
    <row r="62" spans="1:49" s="57" customFormat="1" ht="30" customHeight="1" x14ac:dyDescent="0.3">
      <c r="A62" s="56"/>
      <c r="B62" s="56"/>
      <c r="C62" s="56"/>
      <c r="D62" s="56"/>
      <c r="E62" s="56"/>
      <c r="F62" s="56"/>
      <c r="G62" s="56"/>
      <c r="H62" s="306" t="s">
        <v>914</v>
      </c>
      <c r="I62" s="255"/>
      <c r="J62" s="255"/>
      <c r="K62" s="255"/>
      <c r="L62" s="255"/>
      <c r="M62" s="255"/>
      <c r="N62" s="255"/>
      <c r="O62" s="255"/>
      <c r="P62" s="256"/>
      <c r="Q62" s="260">
        <f>SUMIFS(Input[S&amp;S E&amp;G],Input[Type],$Z$2)+SUMIFS(Input[S&amp;S Desg],Input[Type],$Z$2)+SUMIFS(Input[S&amp;S Aux],Input[Type],$Z$2)+SUMIFS(Input[S&amp;S R Exp],Input[Type],$Z$2)+SUMIFS(Input[S&amp;S Loan],Input[Type],$Z$2)+SUMIFS(Input[S&amp;S Annuity],Input[Type],$Z$2)+SUMIFS(Input[S&amp;S Unexp],Input[Type],$Z$2)+SUMIFS(Input[S&amp;S R of Ind],Input[Type],$Z$2)+SUMIFS(Input[S&amp;S Inv in P],Input[Type],$Z$2)</f>
        <v>0</v>
      </c>
      <c r="R62" s="260"/>
      <c r="S62" s="260"/>
      <c r="T62" s="455">
        <f t="shared" si="3"/>
        <v>0</v>
      </c>
      <c r="U62" s="456"/>
      <c r="V62" s="457"/>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row>
    <row r="63" spans="1:49" s="57" customFormat="1" ht="30" customHeight="1" x14ac:dyDescent="0.3">
      <c r="A63" s="56"/>
      <c r="B63" s="56"/>
      <c r="C63" s="56"/>
      <c r="D63" s="56"/>
      <c r="E63" s="56"/>
      <c r="F63" s="56"/>
      <c r="G63" s="56"/>
      <c r="H63" s="306" t="s">
        <v>915</v>
      </c>
      <c r="I63" s="255"/>
      <c r="J63" s="255"/>
      <c r="K63" s="255"/>
      <c r="L63" s="255"/>
      <c r="M63" s="255"/>
      <c r="N63" s="255"/>
      <c r="O63" s="255"/>
      <c r="P63" s="256"/>
      <c r="Q63" s="260">
        <f>SUMIFS(Input[Net Aux Ent E&amp;G],Input[Type],$Z$2)+SUMIFS(Input[Net Aux Ent Desg],Input[Type],$Z$2)+SUMIFS(Input[Net Aux Ent Aux],Input[Type],$Z$2)+SUMIFS(Input[Net Aux Ent R Exp],Input[Type],$Z$2)+SUMIFS(Input[Net Aux Ent Loan],Input[Type],$Z$2)+SUMIFS(Input[Net Aux Ent Annuity],Input[Type],$Z$2)+SUMIFS(Input[Net Aux Ent Unexp],Input[Type],$Z$2)+SUMIFS(Input[Net Aux Ent R of Ind],Input[Type],$Z$2)+SUMIFS(Input[Net Aux Ent Inv in P],Input[Type],$Z$2)</f>
        <v>0</v>
      </c>
      <c r="R63" s="260"/>
      <c r="S63" s="260"/>
      <c r="T63" s="455">
        <f t="shared" si="3"/>
        <v>0</v>
      </c>
      <c r="U63" s="456"/>
      <c r="V63" s="457"/>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row>
    <row r="64" spans="1:49" s="57" customFormat="1" ht="30" customHeight="1" x14ac:dyDescent="0.3">
      <c r="A64" s="56"/>
      <c r="B64" s="56"/>
      <c r="C64" s="56"/>
      <c r="D64" s="56"/>
      <c r="E64" s="56"/>
      <c r="F64" s="56"/>
      <c r="G64" s="56"/>
      <c r="H64" s="306" t="s">
        <v>916</v>
      </c>
      <c r="I64" s="255"/>
      <c r="J64" s="255"/>
      <c r="K64" s="255"/>
      <c r="L64" s="255"/>
      <c r="M64" s="255"/>
      <c r="N64" s="255"/>
      <c r="O64" s="255"/>
      <c r="P64" s="256"/>
      <c r="Q64" s="260">
        <f>SUMIFS(Input[Oth Inc E&amp;G],Input[Type],$Z$2)+SUMIFS(Input[Oth Inc Desg],Input[Type],$Z$2)+SUMIFS(Input[Oth Inc Aux],Input[Type],$Z$2)+SUMIFS(Input[Oth Inc R Exp],Input[Type],$Z$2)+SUMIFS(Input[Oth Inc Loan],Input[Type],$Z$2)+SUMIFS(Input[Oth Inc Annuity],Input[Type],$Z$2)+SUMIFS(Input[Oth Inc Unexp],Input[Type],$Z$2)+SUMIFS(Input[Oth Inc R of Ind],Input[Type],$Z$2)+SUMIFS(Input[Oth Inc Inv in P],Input[Type],$Z$2)</f>
        <v>0</v>
      </c>
      <c r="R64" s="260"/>
      <c r="S64" s="260"/>
      <c r="T64" s="458">
        <f t="shared" si="3"/>
        <v>0</v>
      </c>
      <c r="U64" s="459"/>
      <c r="V64" s="460"/>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row>
    <row r="65" spans="1:49" s="57" customFormat="1" ht="30" customHeight="1" x14ac:dyDescent="0.3">
      <c r="A65" s="56"/>
      <c r="B65" s="56"/>
      <c r="C65" s="56"/>
      <c r="D65" s="56"/>
      <c r="E65" s="56"/>
      <c r="F65" s="56"/>
      <c r="G65" s="56"/>
      <c r="H65" s="323" t="s">
        <v>917</v>
      </c>
      <c r="I65" s="324"/>
      <c r="J65" s="324"/>
      <c r="K65" s="324"/>
      <c r="L65" s="324"/>
      <c r="M65" s="324"/>
      <c r="N65" s="324"/>
      <c r="O65" s="324"/>
      <c r="P65" s="324"/>
      <c r="Q65" s="329">
        <f>SUM(Q59:S64)</f>
        <v>0</v>
      </c>
      <c r="R65" s="329"/>
      <c r="S65" s="329"/>
      <c r="T65" s="329">
        <f>SUM(T59:V64)</f>
        <v>0</v>
      </c>
      <c r="U65" s="329"/>
      <c r="V65" s="330"/>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row>
    <row r="66" spans="1:49" s="57" customFormat="1" ht="30" customHeight="1" x14ac:dyDescent="0.3">
      <c r="A66" s="56"/>
      <c r="B66" s="56"/>
      <c r="C66" s="56"/>
      <c r="D66" s="56"/>
      <c r="E66" s="56"/>
      <c r="F66" s="56"/>
      <c r="G66" s="56"/>
      <c r="H66" s="59"/>
      <c r="I66" s="59"/>
      <c r="J66" s="59"/>
      <c r="K66" s="59"/>
      <c r="L66" s="59"/>
      <c r="M66" s="59"/>
      <c r="N66" s="59"/>
      <c r="O66" s="59"/>
      <c r="P66" s="59"/>
      <c r="Q66" s="80"/>
      <c r="R66" s="80"/>
      <c r="S66" s="80"/>
      <c r="T66" s="80"/>
      <c r="U66" s="80"/>
      <c r="V66" s="80"/>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row>
    <row r="67" spans="1:49" s="57" customFormat="1" ht="30" customHeight="1" x14ac:dyDescent="0.3">
      <c r="A67" s="56"/>
      <c r="B67" s="56"/>
      <c r="C67" s="56"/>
      <c r="D67" s="56"/>
      <c r="E67" s="56"/>
      <c r="F67" s="56"/>
      <c r="G67" s="56"/>
      <c r="H67" s="369" t="s">
        <v>918</v>
      </c>
      <c r="I67" s="370"/>
      <c r="J67" s="370"/>
      <c r="K67" s="370"/>
      <c r="L67" s="370"/>
      <c r="M67" s="370"/>
      <c r="N67" s="370"/>
      <c r="O67" s="370"/>
      <c r="P67" s="370"/>
      <c r="Q67" s="367">
        <f>SUM(Q14,Q30,Q45,Q50,Q53,Q56,Q65)</f>
        <v>0</v>
      </c>
      <c r="R67" s="367"/>
      <c r="S67" s="367"/>
      <c r="T67" s="367">
        <f>SUM(T14,T30,T45,T50,T53,T56,T65)</f>
        <v>0</v>
      </c>
      <c r="U67" s="367"/>
      <c r="V67" s="368"/>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row>
    <row r="68" spans="1:49" s="57" customFormat="1" ht="30" customHeight="1" thickBot="1" x14ac:dyDescent="0.35">
      <c r="A68" s="56"/>
      <c r="B68" s="56"/>
      <c r="C68" s="56"/>
      <c r="D68" s="56"/>
      <c r="E68" s="56"/>
      <c r="F68" s="56"/>
      <c r="G68" s="56"/>
      <c r="H68" s="59"/>
      <c r="I68" s="59"/>
      <c r="J68" s="59"/>
      <c r="K68" s="59"/>
      <c r="L68" s="59"/>
      <c r="M68" s="59"/>
      <c r="N68" s="59"/>
      <c r="O68" s="59"/>
      <c r="P68" s="59"/>
      <c r="Q68" s="80"/>
      <c r="R68" s="80"/>
      <c r="S68" s="80"/>
      <c r="T68" s="80"/>
      <c r="U68" s="80"/>
      <c r="V68" s="80"/>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row>
    <row r="69" spans="1:49" s="57" customFormat="1" ht="30" customHeight="1" thickBot="1" x14ac:dyDescent="0.35">
      <c r="A69" s="56"/>
      <c r="B69" s="56"/>
      <c r="C69" s="56"/>
      <c r="D69" s="56"/>
      <c r="E69" s="56"/>
      <c r="F69" s="56"/>
      <c r="G69" s="56"/>
      <c r="H69" s="480" t="s">
        <v>919</v>
      </c>
      <c r="I69" s="481"/>
      <c r="J69" s="481"/>
      <c r="K69" s="481"/>
      <c r="L69" s="481"/>
      <c r="M69" s="481"/>
      <c r="N69" s="481"/>
      <c r="O69" s="481"/>
      <c r="P69" s="481"/>
      <c r="Q69" s="481"/>
      <c r="R69" s="481"/>
      <c r="S69" s="481"/>
      <c r="T69" s="481"/>
      <c r="U69" s="481"/>
      <c r="V69" s="482"/>
      <c r="W69" s="56"/>
      <c r="X69" s="544" t="s">
        <v>1002</v>
      </c>
      <c r="Y69" s="545"/>
      <c r="Z69" s="545"/>
      <c r="AA69" s="545"/>
      <c r="AB69" s="545"/>
      <c r="AC69" s="545"/>
      <c r="AD69" s="545"/>
      <c r="AE69" s="545"/>
      <c r="AF69" s="545"/>
      <c r="AG69" s="545"/>
      <c r="AH69" s="545"/>
      <c r="AI69" s="545"/>
      <c r="AJ69" s="546"/>
      <c r="AK69" s="71"/>
      <c r="AL69" s="439" t="s">
        <v>1003</v>
      </c>
      <c r="AM69" s="440"/>
      <c r="AN69" s="440"/>
      <c r="AO69" s="440"/>
      <c r="AP69" s="440"/>
      <c r="AQ69" s="440"/>
      <c r="AR69" s="440"/>
      <c r="AS69" s="440"/>
      <c r="AT69" s="440"/>
      <c r="AU69" s="441"/>
      <c r="AV69" s="56"/>
      <c r="AW69" s="56"/>
    </row>
    <row r="70" spans="1:49" s="57" customFormat="1" ht="30" customHeight="1" thickBot="1" x14ac:dyDescent="0.35">
      <c r="A70" s="56"/>
      <c r="B70" s="56"/>
      <c r="C70" s="56"/>
      <c r="D70" s="56"/>
      <c r="E70" s="56"/>
      <c r="F70" s="56"/>
      <c r="G70" s="56"/>
      <c r="H70" s="477" t="s">
        <v>920</v>
      </c>
      <c r="I70" s="236"/>
      <c r="J70" s="236"/>
      <c r="K70" s="236"/>
      <c r="L70" s="236"/>
      <c r="M70" s="236"/>
      <c r="N70" s="236"/>
      <c r="O70" s="236"/>
      <c r="P70" s="236"/>
      <c r="Q70" s="478" t="s">
        <v>981</v>
      </c>
      <c r="R70" s="478"/>
      <c r="S70" s="478"/>
      <c r="T70" s="478" t="s">
        <v>982</v>
      </c>
      <c r="U70" s="478"/>
      <c r="V70" s="479"/>
      <c r="W70" s="56"/>
      <c r="X70" s="405" t="s">
        <v>920</v>
      </c>
      <c r="Y70" s="406"/>
      <c r="Z70" s="406"/>
      <c r="AA70" s="406"/>
      <c r="AB70" s="406"/>
      <c r="AC70" s="406"/>
      <c r="AD70" s="406"/>
      <c r="AE70" s="407" t="s">
        <v>1004</v>
      </c>
      <c r="AF70" s="407"/>
      <c r="AG70" s="407"/>
      <c r="AH70" s="407" t="s">
        <v>1005</v>
      </c>
      <c r="AI70" s="407"/>
      <c r="AJ70" s="408"/>
      <c r="AK70" s="71"/>
      <c r="AL70" s="432" t="s">
        <v>920</v>
      </c>
      <c r="AM70" s="433"/>
      <c r="AN70" s="433"/>
      <c r="AO70" s="433"/>
      <c r="AP70" s="433"/>
      <c r="AQ70" s="433"/>
      <c r="AR70" s="433"/>
      <c r="AS70" s="434" t="s">
        <v>985</v>
      </c>
      <c r="AT70" s="435"/>
      <c r="AU70" s="436"/>
      <c r="AV70" s="56"/>
      <c r="AW70" s="56"/>
    </row>
    <row r="71" spans="1:49" s="57" customFormat="1" ht="30" customHeight="1" x14ac:dyDescent="0.3">
      <c r="A71" s="56"/>
      <c r="B71" s="56"/>
      <c r="C71" s="56"/>
      <c r="D71" s="56"/>
      <c r="E71" s="56"/>
      <c r="F71" s="56"/>
      <c r="G71" s="56"/>
      <c r="H71" s="306" t="s">
        <v>921</v>
      </c>
      <c r="I71" s="255"/>
      <c r="J71" s="255"/>
      <c r="K71" s="255"/>
      <c r="L71" s="255"/>
      <c r="M71" s="255"/>
      <c r="N71" s="255"/>
      <c r="O71" s="255"/>
      <c r="P71" s="256"/>
      <c r="Q71" s="258">
        <f>SUMIFS(Input[Instr E&amp;G],Input[Type],$Z$2)+SUMIFS(Input[Instr Desg],Input[Type],$Z$2)+SUMIFS(Input[Instr Aux],Input[Type],$Z$2)+SUMIFS(Input[Instr R Exp],Input[Type],$Z$2)+SUMIFS(Input[Instr Loan],Input[Type],$Z$2)+SUMIFS(Input[Instr Annuity],Input[Type],$Z$2)+SUMIFS(Input[Instr Unexp],Input[Type],$Z$2)+SUMIFS(Input[Instr R of Ind],Input[Type],$Z$2)+SUMIFS(Input[Instr Inv in P],Input[Type],$Z$2)</f>
        <v>0</v>
      </c>
      <c r="R71" s="258"/>
      <c r="S71" s="258"/>
      <c r="T71" s="258">
        <f t="shared" ref="T71:T82" si="4">IFERROR(ROUND(Q71/$Z$1,0),0)</f>
        <v>0</v>
      </c>
      <c r="U71" s="258"/>
      <c r="V71" s="357"/>
      <c r="W71" s="56"/>
      <c r="X71" s="426" t="s">
        <v>921</v>
      </c>
      <c r="Y71" s="426"/>
      <c r="Z71" s="426"/>
      <c r="AA71" s="426"/>
      <c r="AB71" s="426"/>
      <c r="AC71" s="426"/>
      <c r="AD71" s="426"/>
      <c r="AE71" s="396">
        <f>SUMIFS(Input[SRECNA Inst.],Input[Type],$Z$2)</f>
        <v>0</v>
      </c>
      <c r="AF71" s="396"/>
      <c r="AG71" s="396"/>
      <c r="AH71" s="427">
        <f t="shared" ref="AH71:AH80" si="5">SUM(AD71,-P71)</f>
        <v>0</v>
      </c>
      <c r="AI71" s="427"/>
      <c r="AJ71" s="427"/>
      <c r="AK71" s="71"/>
      <c r="AL71" s="140" t="str" cm="1">
        <f t="array" ref="AL71">_xlfn.XLOOKUP(IFERROR(LARGE(_xlfn._xlws.FILTER($AE$71:$AE$80, $AE$71:$AE$80&gt;0), 1), ""),$AE$71:$AE$80,$X$71:$X$80,"",0,-1)</f>
        <v/>
      </c>
      <c r="AM71" s="75"/>
      <c r="AN71" s="75"/>
      <c r="AO71" s="75"/>
      <c r="AP71" s="75"/>
      <c r="AQ71" s="75"/>
      <c r="AR71" s="76"/>
      <c r="AS71" s="420">
        <f>_xlfn.XLOOKUP(AL71,$X$71:$X$80,$AE$71:$AE$80,0,0,1)</f>
        <v>0</v>
      </c>
      <c r="AT71" s="421"/>
      <c r="AU71" s="422"/>
      <c r="AV71" s="56"/>
      <c r="AW71" s="56"/>
    </row>
    <row r="72" spans="1:49" s="57" customFormat="1" ht="30" customHeight="1" x14ac:dyDescent="0.25">
      <c r="A72" s="56"/>
      <c r="B72" s="56"/>
      <c r="C72" s="56"/>
      <c r="D72" s="56"/>
      <c r="E72" s="56"/>
      <c r="F72" s="56"/>
      <c r="G72" s="56"/>
      <c r="H72" s="306" t="s">
        <v>922</v>
      </c>
      <c r="I72" s="255"/>
      <c r="J72" s="255"/>
      <c r="K72" s="255"/>
      <c r="L72" s="255"/>
      <c r="M72" s="255"/>
      <c r="N72" s="255"/>
      <c r="O72" s="255"/>
      <c r="P72" s="256"/>
      <c r="Q72" s="260">
        <f>SUMIFS(Input[Res E&amp;G],Input[Type],$Z$2)+SUMIFS(Input[Res Desg],Input[Type],$Z$2)+SUMIFS(Input[Res Aux],Input[Type],$Z$2)+SUMIFS(Input[Res R Exp],Input[Type],$Z$2)+SUMIFS(Input[Res Loan],Input[Type],$Z$2)+SUMIFS(Input[Res Annuity],Input[Type],$Z$2)+SUMIFS(Input[Res Unexp],Input[Type],$Z$2)+SUMIFS(Input[Res R of Ind],Input[Type],$Z$2)+SUMIFS(Input[Res Inv in P],Input[Type],$Z$2)</f>
        <v>0</v>
      </c>
      <c r="R72" s="260"/>
      <c r="S72" s="260"/>
      <c r="T72" s="455">
        <f t="shared" si="4"/>
        <v>0</v>
      </c>
      <c r="U72" s="456"/>
      <c r="V72" s="457"/>
      <c r="W72" s="56"/>
      <c r="X72" s="345" t="s">
        <v>922</v>
      </c>
      <c r="Y72" s="345"/>
      <c r="Z72" s="345"/>
      <c r="AA72" s="345"/>
      <c r="AB72" s="345"/>
      <c r="AC72" s="345"/>
      <c r="AD72" s="345"/>
      <c r="AE72" s="319">
        <f>SUMIFS(Input[SRECNA Resh],Input[Type],$Z$2)</f>
        <v>0</v>
      </c>
      <c r="AF72" s="319"/>
      <c r="AG72" s="319"/>
      <c r="AH72" s="428">
        <f t="shared" si="5"/>
        <v>0</v>
      </c>
      <c r="AI72" s="428"/>
      <c r="AJ72" s="428"/>
      <c r="AK72" s="72"/>
      <c r="AL72" s="135" t="str" cm="1">
        <f t="array" ref="AL72">_xlfn.XLOOKUP(IFERROR(LARGE(_xlfn._xlws.FILTER($AE$71:$AE$80, $AE$71:$AE$80&gt;0), 2), ""),$AE$71:$AE$80,$X$71:$X$80,"",0,-1)</f>
        <v/>
      </c>
      <c r="AM72" s="67"/>
      <c r="AN72" s="67"/>
      <c r="AO72" s="67"/>
      <c r="AP72" s="67"/>
      <c r="AQ72" s="67"/>
      <c r="AR72" s="68"/>
      <c r="AS72" s="423">
        <f>_xlfn.XLOOKUP(AL72,$X$71:$X$80,$AE$71:$AE$80,0,0,1)</f>
        <v>0</v>
      </c>
      <c r="AT72" s="424"/>
      <c r="AU72" s="425"/>
      <c r="AV72" s="56"/>
      <c r="AW72" s="56"/>
    </row>
    <row r="73" spans="1:49" s="57" customFormat="1" ht="30" customHeight="1" x14ac:dyDescent="0.25">
      <c r="A73" s="56"/>
      <c r="B73" s="56"/>
      <c r="C73" s="56"/>
      <c r="D73" s="56"/>
      <c r="E73" s="56"/>
      <c r="F73" s="56"/>
      <c r="G73" s="56"/>
      <c r="H73" s="306" t="s">
        <v>923</v>
      </c>
      <c r="I73" s="255"/>
      <c r="J73" s="255"/>
      <c r="K73" s="255"/>
      <c r="L73" s="255"/>
      <c r="M73" s="255"/>
      <c r="N73" s="255"/>
      <c r="O73" s="255"/>
      <c r="P73" s="256"/>
      <c r="Q73" s="260">
        <f>SUMIFS(Input[Pub Srv E&amp;G],Input[Type],$Z$2)+SUMIFS(Input[Pub Srv Desg],Input[Type],$Z$2)+SUMIFS(Input[Pub Srv Aux],Input[Type],$Z$2)+SUMIFS(Input[Pub Srv R Exp],Input[Type],$Z$2)+SUMIFS(Input[Pub Srv Loan],Input[Type],$Z$2)+SUMIFS(Input[Pub Srv Annuity],Input[Type],$Z$2)+SUMIFS(Input[Pub Srv Unexp],Input[Type],$Z$2)+SUMIFS(Input[Pub Srv R of Ind],Input[Type],$Z$2)+SUMIFS(Input[Pub Srv Inv in P],Input[Type],$Z$2)</f>
        <v>0</v>
      </c>
      <c r="R73" s="260"/>
      <c r="S73" s="260"/>
      <c r="T73" s="455">
        <f t="shared" si="4"/>
        <v>0</v>
      </c>
      <c r="U73" s="456"/>
      <c r="V73" s="457"/>
      <c r="W73" s="56"/>
      <c r="X73" s="345" t="s">
        <v>923</v>
      </c>
      <c r="Y73" s="345"/>
      <c r="Z73" s="345"/>
      <c r="AA73" s="345"/>
      <c r="AB73" s="345"/>
      <c r="AC73" s="345"/>
      <c r="AD73" s="345"/>
      <c r="AE73" s="319">
        <f>SUMIFS(Input[SRECNA Pub Svc],Input[Type],$Z$2)</f>
        <v>0</v>
      </c>
      <c r="AF73" s="319"/>
      <c r="AG73" s="319"/>
      <c r="AH73" s="428">
        <f t="shared" si="5"/>
        <v>0</v>
      </c>
      <c r="AI73" s="428"/>
      <c r="AJ73" s="428"/>
      <c r="AK73" s="73"/>
      <c r="AL73" s="135" t="str" cm="1">
        <f t="array" ref="AL73">_xlfn.XLOOKUP(IFERROR(LARGE(_xlfn._xlws.FILTER($AE$71:$AE$80, $AE$71:$AE$80&gt;0), 3), ""),$AE$71:$AE$80,$X$71:$X$80,"",0,-1)</f>
        <v/>
      </c>
      <c r="AM73" s="67"/>
      <c r="AN73" s="67"/>
      <c r="AO73" s="67"/>
      <c r="AP73" s="67"/>
      <c r="AQ73" s="67"/>
      <c r="AR73" s="68"/>
      <c r="AS73" s="423">
        <f>_xlfn.XLOOKUP(AL73,$X$71:$X$80,$AE$71:$AE$80,0,0,1)</f>
        <v>0</v>
      </c>
      <c r="AT73" s="424"/>
      <c r="AU73" s="425"/>
      <c r="AV73" s="56"/>
      <c r="AW73" s="56"/>
    </row>
    <row r="74" spans="1:49" s="57" customFormat="1" ht="30" customHeight="1" x14ac:dyDescent="0.25">
      <c r="A74" s="56"/>
      <c r="B74" s="56"/>
      <c r="C74" s="56"/>
      <c r="D74" s="56"/>
      <c r="E74" s="56"/>
      <c r="F74" s="56"/>
      <c r="G74" s="56"/>
      <c r="H74" s="306" t="s">
        <v>909</v>
      </c>
      <c r="I74" s="255"/>
      <c r="J74" s="255"/>
      <c r="K74" s="255"/>
      <c r="L74" s="255"/>
      <c r="M74" s="255"/>
      <c r="N74" s="255"/>
      <c r="O74" s="255"/>
      <c r="P74" s="256"/>
      <c r="Q74" s="260">
        <f>SUMIFS(Input[H&amp;C (OU) E&amp;G],Input[Type],$Z$2)+SUMIFS(Input[H&amp;C (OU) Desg],Input[Type],$Z$2)+SUMIFS(Input[H&amp;C (OU) Aux],Input[Type],$Z$2)+SUMIFS(Input[H&amp;C (OU) R Exp],Input[Type],$Z$2)+SUMIFS(Input[H&amp;C (OU) Loan],Input[Type],$Z$2)+SUMIFS(Input[H&amp;C (OU) Annuity],Input[Type],$Z$2)+SUMIFS(Input[H&amp;C (OU) Unexp],Input[Type],$Z$2)+SUMIFS(Input[H&amp;C (OU) R of Ind],Input[Type],$Z$2)+SUMIFS(Input[H&amp;C (OU) Inv in P],Input[Type],$Z$2)</f>
        <v>0</v>
      </c>
      <c r="R74" s="260"/>
      <c r="S74" s="260"/>
      <c r="T74" s="455">
        <f t="shared" si="4"/>
        <v>0</v>
      </c>
      <c r="U74" s="456"/>
      <c r="V74" s="457"/>
      <c r="W74" s="56"/>
      <c r="X74" s="345" t="s">
        <v>909</v>
      </c>
      <c r="Y74" s="345"/>
      <c r="Z74" s="345"/>
      <c r="AA74" s="345"/>
      <c r="AB74" s="345"/>
      <c r="AC74" s="345"/>
      <c r="AD74" s="345"/>
      <c r="AE74" s="319">
        <f>SUMIFS(Input[SRECNA H&amp;C],Input[Type],$Z$2)</f>
        <v>0</v>
      </c>
      <c r="AF74" s="319"/>
      <c r="AG74" s="319"/>
      <c r="AH74" s="428">
        <f t="shared" si="5"/>
        <v>0</v>
      </c>
      <c r="AI74" s="428"/>
      <c r="AJ74" s="428"/>
      <c r="AK74" s="73"/>
      <c r="AL74" s="135" t="str" cm="1">
        <f t="array" ref="AL74">_xlfn.XLOOKUP(IFERROR(LARGE(_xlfn._xlws.FILTER($AE$71:$AE$80, $AE$71:$AE$80&gt;0), 4), ""),$AE$71:$AE$80,$X$71:$X$80,"",0,-1)</f>
        <v/>
      </c>
      <c r="AM74" s="67"/>
      <c r="AN74" s="67"/>
      <c r="AO74" s="67"/>
      <c r="AP74" s="67"/>
      <c r="AQ74" s="67"/>
      <c r="AR74" s="68"/>
      <c r="AS74" s="423">
        <f>_xlfn.XLOOKUP(AL74,$X$71:$X$80,$AE$71:$AE$80,0,0,1)</f>
        <v>0</v>
      </c>
      <c r="AT74" s="424"/>
      <c r="AU74" s="425"/>
      <c r="AV74" s="56"/>
      <c r="AW74" s="56"/>
    </row>
    <row r="75" spans="1:49" s="57" customFormat="1" ht="30" customHeight="1" thickBot="1" x14ac:dyDescent="0.3">
      <c r="A75" s="56"/>
      <c r="B75" s="56"/>
      <c r="C75" s="56"/>
      <c r="D75" s="56"/>
      <c r="E75" s="56"/>
      <c r="F75" s="56"/>
      <c r="G75" s="56"/>
      <c r="H75" s="306" t="s">
        <v>924</v>
      </c>
      <c r="I75" s="255"/>
      <c r="J75" s="255"/>
      <c r="K75" s="255"/>
      <c r="L75" s="255"/>
      <c r="M75" s="255"/>
      <c r="N75" s="255"/>
      <c r="O75" s="255"/>
      <c r="P75" s="256"/>
      <c r="Q75" s="260">
        <f>SUMIFS(Input[Acad Sup E&amp;G],Input[Type],$Z$2)+SUMIFS(Input[Acad Sup Desg],Input[Type],$Z$2)+SUMIFS(Input[Acad Sup Aux],Input[Type],$Z$2)+SUMIFS(Input[Acad Sup R Exp],Input[Type],$Z$2)+SUMIFS(Input[Acad Sup Loan],Input[Type],$Z$2)+SUMIFS(Input[Acad Sup Annuity],Input[Type],$Z$2)+SUMIFS(Input[Acad Sup Unexp],Input[Type],$Z$2)+SUMIFS(Input[Acad Sup R of Ind],Input[Type],$Z$2)+SUMIFS(Input[Acad Sup Inv in P],Input[Type],$Z$2)</f>
        <v>0</v>
      </c>
      <c r="R75" s="260"/>
      <c r="S75" s="260"/>
      <c r="T75" s="455">
        <f t="shared" si="4"/>
        <v>0</v>
      </c>
      <c r="U75" s="456"/>
      <c r="V75" s="457"/>
      <c r="W75" s="56"/>
      <c r="X75" s="345" t="s">
        <v>924</v>
      </c>
      <c r="Y75" s="345"/>
      <c r="Z75" s="345"/>
      <c r="AA75" s="345"/>
      <c r="AB75" s="345"/>
      <c r="AC75" s="345"/>
      <c r="AD75" s="345"/>
      <c r="AE75" s="319">
        <f>SUMIFS(Input[SRECNA Aca Sppt],Input[Type],$Z$2)</f>
        <v>0</v>
      </c>
      <c r="AF75" s="319"/>
      <c r="AG75" s="319"/>
      <c r="AH75" s="428">
        <f t="shared" si="5"/>
        <v>0</v>
      </c>
      <c r="AI75" s="428"/>
      <c r="AJ75" s="428"/>
      <c r="AK75" s="73"/>
      <c r="AL75" s="136" t="str" cm="1">
        <f t="array" ref="AL75">_xlfn.XLOOKUP(IFERROR(LARGE(_xlfn._xlws.FILTER($AE$71:$AE$80, $AE$71:$AE$80&gt;0), 5), ""),$AE$71:$AE$80,$X$71:$X$80,"",0,-1)</f>
        <v/>
      </c>
      <c r="AM75" s="69"/>
      <c r="AN75" s="69"/>
      <c r="AO75" s="69"/>
      <c r="AP75" s="69"/>
      <c r="AQ75" s="69"/>
      <c r="AR75" s="70"/>
      <c r="AS75" s="429">
        <f>_xlfn.XLOOKUP(AL75,$X$71:$X$80,$AE$71:$AE$80,0,0,1)</f>
        <v>0</v>
      </c>
      <c r="AT75" s="430"/>
      <c r="AU75" s="431"/>
      <c r="AV75" s="56"/>
      <c r="AW75" s="56"/>
    </row>
    <row r="76" spans="1:49" s="57" customFormat="1" ht="30" customHeight="1" x14ac:dyDescent="0.3">
      <c r="A76" s="56"/>
      <c r="B76" s="56"/>
      <c r="C76" s="56"/>
      <c r="D76" s="56"/>
      <c r="E76" s="56"/>
      <c r="F76" s="56"/>
      <c r="G76" s="56"/>
      <c r="H76" s="306" t="s">
        <v>925</v>
      </c>
      <c r="I76" s="255"/>
      <c r="J76" s="255"/>
      <c r="K76" s="255"/>
      <c r="L76" s="255"/>
      <c r="M76" s="255"/>
      <c r="N76" s="255"/>
      <c r="O76" s="255"/>
      <c r="P76" s="256"/>
      <c r="Q76" s="260">
        <f>SUMIFS(Input[Stu Svc E&amp;G],Input[Type],$Z$2)+SUMIFS(Input[Stu Svc Desg],Input[Type],$Z$2)+SUMIFS(Input[Stu Svc Aux],Input[Type],$Z$2)+SUMIFS(Input[Stu Svc R Exp],Input[Type],$Z$2)+SUMIFS(Input[Stu Svc Loan],Input[Type],$Z$2)+SUMIFS(Input[Stu Svc Annuity],Input[Type],$Z$2)+SUMIFS(Input[Stu Svc Unexp],Input[Type],$Z$2)+SUMIFS(Input[Stu Svc R of Ind],Input[Type],$Z$2)+SUMIFS(Input[Stu Svc Inv in P],Input[Type],$Z$2)</f>
        <v>0</v>
      </c>
      <c r="R76" s="260"/>
      <c r="S76" s="260"/>
      <c r="T76" s="455">
        <f t="shared" si="4"/>
        <v>0</v>
      </c>
      <c r="U76" s="456"/>
      <c r="V76" s="457"/>
      <c r="W76" s="56"/>
      <c r="X76" s="345" t="s">
        <v>925</v>
      </c>
      <c r="Y76" s="345"/>
      <c r="Z76" s="345"/>
      <c r="AA76" s="345"/>
      <c r="AB76" s="345"/>
      <c r="AC76" s="345"/>
      <c r="AD76" s="345"/>
      <c r="AE76" s="319">
        <f>SUMIFS(Input[SRECNA Stu Svcs],Input[Type],$Z$2)</f>
        <v>0</v>
      </c>
      <c r="AF76" s="319"/>
      <c r="AG76" s="319"/>
      <c r="AH76" s="428">
        <f t="shared" si="5"/>
        <v>0</v>
      </c>
      <c r="AI76" s="428"/>
      <c r="AJ76" s="428"/>
      <c r="AK76" s="74"/>
      <c r="AL76" s="142"/>
      <c r="AM76" s="142"/>
      <c r="AN76" s="142"/>
      <c r="AO76" s="142"/>
      <c r="AP76" s="142"/>
      <c r="AQ76" s="142"/>
      <c r="AR76" s="142"/>
      <c r="AS76" s="142"/>
      <c r="AT76" s="142"/>
      <c r="AU76" s="142"/>
      <c r="AV76" s="56"/>
      <c r="AW76" s="56"/>
    </row>
    <row r="77" spans="1:49" s="57" customFormat="1" ht="30" customHeight="1" x14ac:dyDescent="0.25">
      <c r="A77" s="56"/>
      <c r="B77" s="56"/>
      <c r="C77" s="56"/>
      <c r="D77" s="56"/>
      <c r="E77" s="56"/>
      <c r="F77" s="56"/>
      <c r="G77" s="56"/>
      <c r="H77" s="306" t="s">
        <v>926</v>
      </c>
      <c r="I77" s="255"/>
      <c r="J77" s="255"/>
      <c r="K77" s="255"/>
      <c r="L77" s="255"/>
      <c r="M77" s="255"/>
      <c r="N77" s="255"/>
      <c r="O77" s="255"/>
      <c r="P77" s="256"/>
      <c r="Q77" s="260">
        <f>SUMIFS(Input[Inst. Spt E&amp;G],Input[Type],$Z$2)+SUMIFS(Input[Inst. Spt Desg],Input[Type],$Z$2)+SUMIFS(Input[Inst. Spt Aux],Input[Type],$Z$2)+SUMIFS(Input[Inst. Spt R Exp],Input[Type],$Z$2)+SUMIFS(Input[Inst. Spt Loan],Input[Type],$Z$2)+SUMIFS(Input[Inst. Spt Annuity],Input[Type],$Z$2)+SUMIFS(Input[Inst. Spt Unexp],Input[Type],$Z$2)+SUMIFS(Input[Inst. Spt R of Ind],Input[Type],$Z$2)+SUMIFS(Input[Inst. Spt Inv in P],Input[Type],$Z$2)</f>
        <v>0</v>
      </c>
      <c r="R77" s="260"/>
      <c r="S77" s="260"/>
      <c r="T77" s="455">
        <f t="shared" si="4"/>
        <v>0</v>
      </c>
      <c r="U77" s="456"/>
      <c r="V77" s="457"/>
      <c r="W77" s="56"/>
      <c r="X77" s="345" t="s">
        <v>926</v>
      </c>
      <c r="Y77" s="345"/>
      <c r="Z77" s="345"/>
      <c r="AA77" s="345"/>
      <c r="AB77" s="345"/>
      <c r="AC77" s="345"/>
      <c r="AD77" s="345"/>
      <c r="AE77" s="319">
        <f>SUMIFS(Input[SRECNA Inst. Sppt],Input[Type],$Z$2)</f>
        <v>0</v>
      </c>
      <c r="AF77" s="319"/>
      <c r="AG77" s="319"/>
      <c r="AH77" s="428">
        <f t="shared" si="5"/>
        <v>0</v>
      </c>
      <c r="AI77" s="428"/>
      <c r="AJ77" s="428"/>
      <c r="AK77" s="73"/>
      <c r="AL77" s="142"/>
      <c r="AM77" s="142"/>
      <c r="AN77" s="142"/>
      <c r="AO77" s="142"/>
      <c r="AP77" s="142"/>
      <c r="AQ77" s="142"/>
      <c r="AR77" s="142"/>
      <c r="AS77" s="142"/>
      <c r="AT77" s="142"/>
      <c r="AU77" s="142"/>
      <c r="AV77" s="56"/>
      <c r="AW77" s="56"/>
    </row>
    <row r="78" spans="1:49" s="57" customFormat="1" ht="30" customHeight="1" x14ac:dyDescent="0.25">
      <c r="A78" s="56"/>
      <c r="B78" s="56"/>
      <c r="C78" s="56"/>
      <c r="D78" s="56"/>
      <c r="E78" s="56"/>
      <c r="F78" s="56"/>
      <c r="G78" s="56"/>
      <c r="H78" s="306" t="s">
        <v>927</v>
      </c>
      <c r="I78" s="255"/>
      <c r="J78" s="255"/>
      <c r="K78" s="255"/>
      <c r="L78" s="255"/>
      <c r="M78" s="255"/>
      <c r="N78" s="255"/>
      <c r="O78" s="255"/>
      <c r="P78" s="256"/>
      <c r="Q78" s="260">
        <f>SUMIFS(Input[M&amp;O Plnt E&amp;G],Input[Type],$Z$2)+SUMIFS(Input[M&amp;O Plnt Desg],Input[Type],$Z$2)+SUMIFS(Input[M&amp;O Plnt Aux],Input[Type],$Z$2)+SUMIFS(Input[M&amp;O Plnt R Exp],Input[Type],$Z$2)+SUMIFS(Input[M&amp;O Plnt Loan],Input[Type],$Z$2)+SUMIFS(Input[M&amp;O Plnt Annuity],Input[Type],$Z$2)+SUMIFS(Input[M&amp;O Plnt Unexp],Input[Type],$Z$2)+SUMIFS(Input[M&amp;O Plnt R of Ind],Input[Type],$Z$2)+SUMIFS(Input[M&amp;O Plnt Inv in P],Input[Type],$Z$2)</f>
        <v>0</v>
      </c>
      <c r="R78" s="260"/>
      <c r="S78" s="260"/>
      <c r="T78" s="455">
        <f t="shared" si="4"/>
        <v>0</v>
      </c>
      <c r="U78" s="456"/>
      <c r="V78" s="457"/>
      <c r="W78" s="56"/>
      <c r="X78" s="345" t="s">
        <v>927</v>
      </c>
      <c r="Y78" s="345"/>
      <c r="Z78" s="345"/>
      <c r="AA78" s="345"/>
      <c r="AB78" s="345"/>
      <c r="AC78" s="345"/>
      <c r="AD78" s="345"/>
      <c r="AE78" s="319">
        <f>SUMIFS(Input[SRECNA Op &amp; Maint],Input[Type],$Z$2)</f>
        <v>0</v>
      </c>
      <c r="AF78" s="319"/>
      <c r="AG78" s="319"/>
      <c r="AH78" s="428">
        <f t="shared" si="5"/>
        <v>0</v>
      </c>
      <c r="AI78" s="428"/>
      <c r="AJ78" s="428"/>
      <c r="AK78" s="73"/>
      <c r="AL78" s="142"/>
      <c r="AM78" s="142"/>
      <c r="AN78" s="142"/>
      <c r="AO78" s="142"/>
      <c r="AP78" s="142"/>
      <c r="AQ78" s="142"/>
      <c r="AR78" s="142"/>
      <c r="AS78" s="142"/>
      <c r="AT78" s="142"/>
      <c r="AU78" s="142"/>
      <c r="AV78" s="56"/>
      <c r="AW78" s="56"/>
    </row>
    <row r="79" spans="1:49" s="57" customFormat="1" ht="30" customHeight="1" x14ac:dyDescent="0.25">
      <c r="A79" s="56"/>
      <c r="B79" s="56"/>
      <c r="C79" s="56"/>
      <c r="D79" s="56"/>
      <c r="E79" s="56"/>
      <c r="F79" s="56"/>
      <c r="G79" s="56"/>
      <c r="H79" s="306" t="s">
        <v>928</v>
      </c>
      <c r="I79" s="255"/>
      <c r="J79" s="255"/>
      <c r="K79" s="255"/>
      <c r="L79" s="255"/>
      <c r="M79" s="255"/>
      <c r="N79" s="255"/>
      <c r="O79" s="255"/>
      <c r="P79" s="256"/>
      <c r="Q79" s="260">
        <f>SUMIFS(Input[Schl &amp; Fell E&amp;G],Input[Type],$Z$2)+SUMIFS(Input[Schl &amp; Fell Desg],Input[Type],$Z$2)+SUMIFS(Input[Schl &amp; Fell Aux],Input[Type],$Z$2)+SUMIFS(Input[Schl &amp; Fell R Exp],Input[Type],$Z$2)+SUMIFS(Input[Schl &amp; Fell Loan],Input[Type],$Z$2)+SUMIFS(Input[Schl &amp; Fell Annuity],Input[Type],$Z$2)+SUMIFS(Input[Schl &amp; Fell Unexp],Input[Type],$Z$2)+SUMIFS(Input[Schl &amp; Fell R of Ind],Input[Type],$Z$2)+SUMIFS(Input[Schl &amp; Fell Inv in P],Input[Type],$Z$2)</f>
        <v>0</v>
      </c>
      <c r="R79" s="260"/>
      <c r="S79" s="260"/>
      <c r="T79" s="455">
        <f t="shared" si="4"/>
        <v>0</v>
      </c>
      <c r="U79" s="456"/>
      <c r="V79" s="457"/>
      <c r="W79" s="56"/>
      <c r="X79" s="345" t="s">
        <v>928</v>
      </c>
      <c r="Y79" s="345"/>
      <c r="Z79" s="345"/>
      <c r="AA79" s="345"/>
      <c r="AB79" s="345"/>
      <c r="AC79" s="345"/>
      <c r="AD79" s="345"/>
      <c r="AE79" s="319">
        <f>SUMIFS(Input[SRECNA Schl &amp; Fell],Input[Type],$Z$2)</f>
        <v>0</v>
      </c>
      <c r="AF79" s="319"/>
      <c r="AG79" s="319"/>
      <c r="AH79" s="428">
        <f t="shared" si="5"/>
        <v>0</v>
      </c>
      <c r="AI79" s="428"/>
      <c r="AJ79" s="428"/>
      <c r="AK79" s="73"/>
      <c r="AL79" s="142"/>
      <c r="AM79" s="142"/>
      <c r="AN79" s="142"/>
      <c r="AO79" s="142"/>
      <c r="AP79" s="142"/>
      <c r="AQ79" s="142"/>
      <c r="AR79" s="142"/>
      <c r="AS79" s="142"/>
      <c r="AT79" s="142"/>
      <c r="AU79" s="142"/>
      <c r="AV79" s="56"/>
      <c r="AW79" s="56"/>
    </row>
    <row r="80" spans="1:49" s="57" customFormat="1" ht="30" customHeight="1" x14ac:dyDescent="0.25">
      <c r="A80" s="56"/>
      <c r="B80" s="56"/>
      <c r="C80" s="56"/>
      <c r="D80" s="56"/>
      <c r="E80" s="56"/>
      <c r="F80" s="56"/>
      <c r="G80" s="56"/>
      <c r="H80" s="306" t="s">
        <v>929</v>
      </c>
      <c r="I80" s="255"/>
      <c r="J80" s="255"/>
      <c r="K80" s="255"/>
      <c r="L80" s="255"/>
      <c r="M80" s="255"/>
      <c r="N80" s="255"/>
      <c r="O80" s="255"/>
      <c r="P80" s="256"/>
      <c r="Q80" s="260">
        <f>SUMIFS(Input[Aux Ent E&amp;G],Input[Type],$Z$2)+SUMIFS(Input[Aux Ent Desg],Input[Type],$Z$2)+SUMIFS(Input[Aux Ent Aux],Input[Type],$Z$2)+SUMIFS(Input[Aux Ent R Exp],Input[Type],$Z$2)+SUMIFS(Input[Aux Ent Loan],Input[Type],$Z$2)+SUMIFS(Input[Aux Ent Annuity],Input[Type],$Z$2)+SUMIFS(Input[Aux Ent Unexp],Input[Type],$Z$2)+SUMIFS(Input[Aux Ent R of Ind],Input[Type],$Z$2)+SUMIFS(Input[Aux Ent Inv in P],Input[Type],$Z$2)</f>
        <v>0</v>
      </c>
      <c r="R80" s="260"/>
      <c r="S80" s="260"/>
      <c r="T80" s="455">
        <f t="shared" si="4"/>
        <v>0</v>
      </c>
      <c r="U80" s="456"/>
      <c r="V80" s="457"/>
      <c r="W80" s="56"/>
      <c r="X80" s="345" t="s">
        <v>929</v>
      </c>
      <c r="Y80" s="345"/>
      <c r="Z80" s="345"/>
      <c r="AA80" s="345"/>
      <c r="AB80" s="345"/>
      <c r="AC80" s="345"/>
      <c r="AD80" s="345"/>
      <c r="AE80" s="319">
        <f>SUMIFS(Input[SRECNA Aux],Input[Type],$Z$2)</f>
        <v>0</v>
      </c>
      <c r="AF80" s="319"/>
      <c r="AG80" s="319"/>
      <c r="AH80" s="428">
        <f t="shared" si="5"/>
        <v>0</v>
      </c>
      <c r="AI80" s="428"/>
      <c r="AJ80" s="428"/>
      <c r="AK80" s="73"/>
      <c r="AL80" s="142"/>
      <c r="AM80" s="142"/>
      <c r="AN80" s="142"/>
      <c r="AO80" s="142"/>
      <c r="AP80" s="142"/>
      <c r="AQ80" s="142"/>
      <c r="AR80" s="142"/>
      <c r="AS80" s="142"/>
      <c r="AT80" s="142"/>
      <c r="AU80" s="142"/>
      <c r="AV80" s="56"/>
      <c r="AW80" s="56"/>
    </row>
    <row r="81" spans="1:49" s="57" customFormat="1" ht="30" customHeight="1" x14ac:dyDescent="0.25">
      <c r="A81" s="56"/>
      <c r="B81" s="56"/>
      <c r="C81" s="56"/>
      <c r="D81" s="56"/>
      <c r="E81" s="56"/>
      <c r="F81" s="56"/>
      <c r="G81" s="56"/>
      <c r="H81" s="306" t="s">
        <v>930</v>
      </c>
      <c r="I81" s="255"/>
      <c r="J81" s="255"/>
      <c r="K81" s="255"/>
      <c r="L81" s="255"/>
      <c r="M81" s="255"/>
      <c r="N81" s="255"/>
      <c r="O81" s="255"/>
      <c r="P81" s="256"/>
      <c r="Q81" s="260">
        <f>SUMIFS(Input[Cap Out fund E&amp;G],Input[Type],$Z$2)+SUMIFS(Input[Cap Out fund Desg],Input[Type],$Z$2)+SUMIFS(Input[Cap Out fund Aux],Input[Type],$Z$2)+SUMIFS(Input[Cap Out fund R Exp],Input[Type],$Z$2)+SUMIFS(Input[Cap Out fund Loan],Input[Type],$Z$2)+SUMIFS(Input[Cap Out fund Annuity],Input[Type],$Z$2)+SUMIFS(Input[Cap Out fund Unexp],Input[Type],$Z$2)+SUMIFS(Input[Cap Out fund R of Ind],Input[Type],$Z$2)+SUMIFS(Input[Cap Out fund Inv in P],Input[Type],$Z$2)</f>
        <v>0</v>
      </c>
      <c r="R81" s="260"/>
      <c r="S81" s="260"/>
      <c r="T81" s="455">
        <f t="shared" si="4"/>
        <v>0</v>
      </c>
      <c r="U81" s="456"/>
      <c r="V81" s="457"/>
      <c r="W81" s="56"/>
      <c r="X81" s="437" t="s">
        <v>1006</v>
      </c>
      <c r="Y81" s="437"/>
      <c r="Z81" s="437"/>
      <c r="AA81" s="437"/>
      <c r="AB81" s="437"/>
      <c r="AC81" s="437"/>
      <c r="AD81" s="437"/>
      <c r="AE81" s="442">
        <f>Q101*-1</f>
        <v>0</v>
      </c>
      <c r="AF81" s="442"/>
      <c r="AG81" s="442"/>
      <c r="AH81" s="443">
        <f>SUM(AD81,P101)</f>
        <v>0</v>
      </c>
      <c r="AI81" s="443"/>
      <c r="AJ81" s="443"/>
      <c r="AK81" s="73"/>
      <c r="AL81" s="142"/>
      <c r="AM81" s="142"/>
      <c r="AN81" s="142"/>
      <c r="AO81" s="142"/>
      <c r="AP81" s="142"/>
      <c r="AQ81" s="142"/>
      <c r="AR81" s="142"/>
      <c r="AS81" s="142"/>
      <c r="AT81" s="142"/>
      <c r="AU81" s="142"/>
      <c r="AV81" s="56"/>
      <c r="AW81" s="56"/>
    </row>
    <row r="82" spans="1:49" s="57" customFormat="1" ht="30" customHeight="1" x14ac:dyDescent="0.3">
      <c r="A82" s="56"/>
      <c r="B82" s="56"/>
      <c r="C82" s="56"/>
      <c r="D82" s="56"/>
      <c r="E82" s="56"/>
      <c r="F82" s="56"/>
      <c r="G82" s="56"/>
      <c r="H82" s="306" t="s">
        <v>931</v>
      </c>
      <c r="I82" s="255"/>
      <c r="J82" s="255"/>
      <c r="K82" s="255"/>
      <c r="L82" s="255"/>
      <c r="M82" s="255"/>
      <c r="N82" s="255"/>
      <c r="O82" s="255"/>
      <c r="P82" s="256"/>
      <c r="Q82" s="260">
        <f>SUMIFS(Input[Oth Exp E&amp;G],Input[Type],$Z$2)+SUMIFS(Input[Oth Exp Desg],Input[Type],$Z$2)+SUMIFS(Input[Oth Exp Aux],Input[Type],$Z$2)+SUMIFS(Input[Oth Exp R Exp],Input[Type],$Z$2)+SUMIFS(Input[Oth Exp Loan],Input[Type],$Z$2)+SUMIFS(Input[Oth Exp Annuity],Input[Type],$Z$2)+SUMIFS(Input[Oth Exp Unexp],Input[Type],$Z$2)+SUMIFS(Input[Oth Exp R of Ind],Input[Type],$Z$2)+SUMIFS(Input[Oth Exp Inv in P],Input[Type],$Z$2)</f>
        <v>0</v>
      </c>
      <c r="R82" s="260"/>
      <c r="S82" s="260"/>
      <c r="T82" s="458">
        <f t="shared" si="4"/>
        <v>0</v>
      </c>
      <c r="U82" s="459"/>
      <c r="V82" s="460"/>
      <c r="W82" s="56"/>
      <c r="X82" s="56"/>
      <c r="Y82" s="56"/>
      <c r="Z82" s="56"/>
      <c r="AA82" s="56"/>
      <c r="AB82" s="56"/>
      <c r="AC82" s="56"/>
      <c r="AD82" s="56"/>
      <c r="AE82" s="56"/>
      <c r="AF82" s="56"/>
      <c r="AG82" s="56"/>
      <c r="AH82" s="56"/>
      <c r="AI82" s="56"/>
      <c r="AJ82" s="56"/>
      <c r="AK82" s="56"/>
      <c r="AL82" s="77"/>
      <c r="AM82" s="77"/>
      <c r="AN82" s="77"/>
      <c r="AO82" s="77"/>
      <c r="AP82" s="77"/>
      <c r="AQ82" s="77"/>
      <c r="AR82" s="77"/>
      <c r="AS82" s="77"/>
      <c r="AT82" s="77"/>
      <c r="AU82" s="77"/>
      <c r="AV82" s="56"/>
      <c r="AW82" s="56"/>
    </row>
    <row r="83" spans="1:49" s="57" customFormat="1" ht="30" customHeight="1" x14ac:dyDescent="0.3">
      <c r="A83" s="56"/>
      <c r="B83" s="56"/>
      <c r="C83" s="56"/>
      <c r="D83" s="56"/>
      <c r="E83" s="56"/>
      <c r="F83" s="56"/>
      <c r="G83" s="56"/>
      <c r="H83" s="323" t="s">
        <v>917</v>
      </c>
      <c r="I83" s="324"/>
      <c r="J83" s="324"/>
      <c r="K83" s="324"/>
      <c r="L83" s="324"/>
      <c r="M83" s="324"/>
      <c r="N83" s="324"/>
      <c r="O83" s="324"/>
      <c r="P83" s="324"/>
      <c r="Q83" s="329">
        <f>SUM(Q71:S82)</f>
        <v>0</v>
      </c>
      <c r="R83" s="329"/>
      <c r="S83" s="329"/>
      <c r="T83" s="329">
        <f>SUM(T71:V82)</f>
        <v>0</v>
      </c>
      <c r="U83" s="329"/>
      <c r="V83" s="330"/>
      <c r="W83" s="56"/>
      <c r="X83" s="56"/>
      <c r="Y83" s="56"/>
      <c r="Z83" s="56"/>
      <c r="AA83" s="56"/>
      <c r="AB83" s="56"/>
      <c r="AC83" s="56"/>
      <c r="AD83" s="56"/>
      <c r="AE83" s="56"/>
      <c r="AF83" s="56"/>
      <c r="AG83" s="56"/>
      <c r="AH83" s="56"/>
      <c r="AI83" s="56"/>
      <c r="AJ83" s="56"/>
      <c r="AK83" s="56"/>
      <c r="AL83" s="77"/>
      <c r="AM83" s="77"/>
      <c r="AN83" s="77"/>
      <c r="AO83" s="77"/>
      <c r="AP83" s="77"/>
      <c r="AQ83" s="77"/>
      <c r="AR83" s="77"/>
      <c r="AS83" s="77"/>
      <c r="AT83" s="77"/>
      <c r="AU83" s="77"/>
      <c r="AV83" s="56"/>
      <c r="AW83" s="56"/>
    </row>
    <row r="84" spans="1:49" s="57" customFormat="1" ht="30" customHeight="1" x14ac:dyDescent="0.3">
      <c r="A84" s="56"/>
      <c r="B84" s="56"/>
      <c r="C84" s="56"/>
      <c r="D84" s="56"/>
      <c r="E84" s="56"/>
      <c r="F84" s="56"/>
      <c r="G84" s="56"/>
      <c r="H84" s="59"/>
      <c r="I84" s="59"/>
      <c r="J84" s="59"/>
      <c r="K84" s="59"/>
      <c r="L84" s="59"/>
      <c r="M84" s="59"/>
      <c r="N84" s="59"/>
      <c r="O84" s="59"/>
      <c r="P84" s="59"/>
      <c r="Q84" s="80"/>
      <c r="R84" s="80"/>
      <c r="S84" s="80"/>
      <c r="T84" s="80"/>
      <c r="U84" s="80"/>
      <c r="V84" s="80"/>
      <c r="W84" s="56"/>
      <c r="X84" s="56"/>
      <c r="Y84" s="56"/>
      <c r="Z84" s="56"/>
      <c r="AA84" s="56"/>
      <c r="AB84" s="56"/>
      <c r="AC84" s="56"/>
      <c r="AD84" s="56"/>
      <c r="AE84" s="56"/>
      <c r="AF84" s="56"/>
      <c r="AG84" s="56"/>
      <c r="AH84" s="56"/>
      <c r="AI84" s="56"/>
      <c r="AJ84" s="56"/>
      <c r="AK84" s="56"/>
      <c r="AL84" s="77"/>
      <c r="AM84" s="77"/>
      <c r="AN84" s="77"/>
      <c r="AO84" s="77"/>
      <c r="AP84" s="77"/>
      <c r="AQ84" s="77"/>
      <c r="AR84" s="77"/>
      <c r="AS84" s="77"/>
      <c r="AT84" s="77"/>
      <c r="AU84" s="77"/>
      <c r="AV84" s="56"/>
      <c r="AW84" s="56"/>
    </row>
    <row r="85" spans="1:49" s="57" customFormat="1" ht="30" customHeight="1" x14ac:dyDescent="0.3">
      <c r="A85" s="56"/>
      <c r="B85" s="56"/>
      <c r="C85" s="56"/>
      <c r="D85" s="56"/>
      <c r="E85" s="56"/>
      <c r="F85" s="56"/>
      <c r="G85" s="56"/>
      <c r="H85" s="374" t="s">
        <v>932</v>
      </c>
      <c r="I85" s="375"/>
      <c r="J85" s="375"/>
      <c r="K85" s="375"/>
      <c r="L85" s="375"/>
      <c r="M85" s="375"/>
      <c r="N85" s="375"/>
      <c r="O85" s="375"/>
      <c r="P85" s="375"/>
      <c r="Q85" s="376" t="s">
        <v>981</v>
      </c>
      <c r="R85" s="376"/>
      <c r="S85" s="376"/>
      <c r="T85" s="376" t="s">
        <v>982</v>
      </c>
      <c r="U85" s="376"/>
      <c r="V85" s="377"/>
      <c r="W85" s="56"/>
      <c r="X85" s="56"/>
      <c r="Y85" s="56"/>
      <c r="Z85" s="56"/>
      <c r="AA85" s="56"/>
      <c r="AB85" s="56"/>
      <c r="AC85" s="56"/>
      <c r="AD85" s="56"/>
      <c r="AE85" s="56"/>
      <c r="AF85" s="56"/>
      <c r="AG85" s="56"/>
      <c r="AH85" s="56"/>
      <c r="AI85" s="56"/>
      <c r="AJ85" s="56"/>
      <c r="AK85" s="56"/>
      <c r="AL85" s="77"/>
      <c r="AM85" s="77"/>
      <c r="AN85" s="77"/>
      <c r="AO85" s="77"/>
      <c r="AP85" s="77"/>
      <c r="AQ85" s="77"/>
      <c r="AR85" s="77"/>
      <c r="AS85" s="77"/>
      <c r="AT85" s="77"/>
      <c r="AU85" s="77"/>
      <c r="AV85" s="56"/>
      <c r="AW85" s="56"/>
    </row>
    <row r="86" spans="1:49" s="57" customFormat="1" ht="30" customHeight="1" x14ac:dyDescent="0.3">
      <c r="A86" s="56"/>
      <c r="B86" s="56"/>
      <c r="C86" s="56"/>
      <c r="D86" s="56"/>
      <c r="E86" s="56"/>
      <c r="F86" s="56"/>
      <c r="G86" s="56"/>
      <c r="H86" s="306" t="s">
        <v>933</v>
      </c>
      <c r="I86" s="255"/>
      <c r="J86" s="255"/>
      <c r="K86" s="255"/>
      <c r="L86" s="255"/>
      <c r="M86" s="255"/>
      <c r="N86" s="255"/>
      <c r="O86" s="255"/>
      <c r="P86" s="256"/>
      <c r="Q86" s="258">
        <f>SUMIFS(Input[Cap Out n-Fund E&amp;G],Input[Type],$Z$2)+SUMIFS(Input[Cap Out n-Fund Desg],Input[Type],$Z$2)+SUMIFS(Input[Cap Out n-Fund Aux],Input[Type],$Z$2)+SUMIFS(Input[Cap Out n-Fund R Exp],Input[Type],$Z$2)+SUMIFS(Input[Cap Out n-Fund Loan],Input[Type],$Z$2)+SUMIFS(Input[Cap Out n-Fund Annuity],Input[Type],$Z$2)+SUMIFS(Input[Cap Out n-Fund Unexp],Input[Type],$Z$2)+SUMIFS(Input[Cap Out n-Fund R of Ind],Input[Type],$Z$2)+SUMIFS(Input[Cap Out n-Fund Inv in P],Input[Type],$Z$2)</f>
        <v>0</v>
      </c>
      <c r="R86" s="258"/>
      <c r="S86" s="258"/>
      <c r="T86" s="258">
        <f>IFERROR(ROUND(Q86/$Z$1,0),0)</f>
        <v>0</v>
      </c>
      <c r="U86" s="258"/>
      <c r="V86" s="357"/>
      <c r="W86" s="59"/>
      <c r="X86" s="59"/>
      <c r="Y86" s="56"/>
      <c r="Z86" s="56"/>
      <c r="AA86" s="56"/>
      <c r="AB86" s="56"/>
      <c r="AC86" s="56"/>
      <c r="AD86" s="56"/>
      <c r="AE86" s="56"/>
      <c r="AF86" s="56"/>
      <c r="AG86" s="56"/>
      <c r="AH86" s="56"/>
      <c r="AI86" s="56"/>
      <c r="AJ86" s="56"/>
      <c r="AK86" s="56"/>
      <c r="AL86" s="77"/>
      <c r="AM86" s="77"/>
      <c r="AN86" s="77"/>
      <c r="AO86" s="77"/>
      <c r="AP86" s="77"/>
      <c r="AQ86" s="77"/>
      <c r="AR86" s="77"/>
      <c r="AS86" s="77"/>
      <c r="AT86" s="77"/>
      <c r="AU86" s="77"/>
      <c r="AV86" s="56"/>
      <c r="AW86" s="56"/>
    </row>
    <row r="87" spans="1:49" s="57" customFormat="1" ht="30" customHeight="1" x14ac:dyDescent="0.3">
      <c r="A87" s="56"/>
      <c r="B87" s="56"/>
      <c r="C87" s="56"/>
      <c r="D87" s="56"/>
      <c r="E87" s="56"/>
      <c r="F87" s="56"/>
      <c r="G87" s="56"/>
      <c r="H87" s="306" t="s">
        <v>934</v>
      </c>
      <c r="I87" s="255"/>
      <c r="J87" s="255"/>
      <c r="K87" s="255"/>
      <c r="L87" s="255"/>
      <c r="M87" s="255"/>
      <c r="N87" s="255"/>
      <c r="O87" s="255"/>
      <c r="P87" s="256"/>
      <c r="Q87" s="260">
        <f>SUMIFS(Input[M&amp;Nm Xfrs E&amp;G],Input[Type],$Z$2)+SUMIFS(Input[M&amp;Nm Xfrs Desg],Input[Type],$Z$2)+SUMIFS(Input[M&amp;Nm Xfrs Aux],Input[Type],$Z$2)+SUMIFS(Input[M&amp;Nm Xfrs R Exp],Input[Type],$Z$2)+SUMIFS(Input[M&amp;Nm Xfrs Loan],Input[Type],$Z$2)+SUMIFS(Input[M&amp;Nm Xfrs Annuity],Input[Type],$Z$2)+SUMIFS(Input[M&amp;Nm Xfrs Unexp],Input[Type],$Z$2)+SUMIFS(Input[M&amp;Nm Xfrs R of Ind],Input[Type],$Z$2)+SUMIFS(Input[M&amp;Nm Xfrs Inv in P],Input[Type],$Z$2)</f>
        <v>0</v>
      </c>
      <c r="R87" s="260"/>
      <c r="S87" s="260"/>
      <c r="T87" s="260">
        <f>IFERROR(ROUND(Q87/$Z$1,0),0)</f>
        <v>0</v>
      </c>
      <c r="U87" s="260"/>
      <c r="V87" s="308"/>
      <c r="W87" s="59"/>
      <c r="X87" s="59"/>
      <c r="Y87" s="56"/>
      <c r="Z87" s="56"/>
      <c r="AA87" s="56"/>
      <c r="AB87" s="56"/>
      <c r="AC87" s="56"/>
      <c r="AD87" s="56"/>
      <c r="AE87" s="56"/>
      <c r="AF87" s="56"/>
      <c r="AG87" s="56"/>
      <c r="AH87" s="56"/>
      <c r="AI87" s="56"/>
      <c r="AJ87" s="56"/>
      <c r="AK87" s="56"/>
      <c r="AL87" s="77"/>
      <c r="AM87" s="56"/>
      <c r="AN87" s="56"/>
      <c r="AO87" s="56"/>
      <c r="AP87" s="56"/>
      <c r="AQ87" s="56"/>
      <c r="AR87" s="77"/>
      <c r="AS87" s="77"/>
      <c r="AT87" s="77"/>
      <c r="AU87" s="77"/>
      <c r="AV87" s="56"/>
      <c r="AW87" s="56"/>
    </row>
    <row r="88" spans="1:49" s="57" customFormat="1" ht="30" customHeight="1" x14ac:dyDescent="0.3">
      <c r="A88" s="56"/>
      <c r="B88" s="56"/>
      <c r="C88" s="56"/>
      <c r="D88" s="56"/>
      <c r="E88" s="56"/>
      <c r="F88" s="56"/>
      <c r="G88" s="56"/>
      <c r="H88" s="306" t="s">
        <v>935</v>
      </c>
      <c r="I88" s="255"/>
      <c r="J88" s="255"/>
      <c r="K88" s="255"/>
      <c r="L88" s="255"/>
      <c r="M88" s="255"/>
      <c r="N88" s="255"/>
      <c r="O88" s="255"/>
      <c r="P88" s="256"/>
      <c r="Q88" s="260">
        <f>SUMIFS(Input[Bond Xfrs In E&amp;G],Input[Type],$Z$2)+SUMIFS(Input[Bond Xfrs In Desg],Input[Type],$Z$2)+SUMIFS(Input[Bond Xfrs In Aux],Input[Type],$Z$2)+SUMIFS(Input[Bond Xfrs In R Exp],Input[Type],$Z$2)+SUMIFS(Input[Bond Xfrs In Loan],Input[Type],$Z$2)+SUMIFS(Input[Bond Xfrs In Annuity],Input[Type],$Z$2)+SUMIFS(Input[Bond Xfrs In Unexp],Input[Type],$Z$2)+SUMIFS(Input[Bond Xfrs In R of Ind],Input[Type],$Z$2)+SUMIFS(Input[Bond Xfrs In Inv in P],Input[Type],$Z$2)</f>
        <v>0</v>
      </c>
      <c r="R88" s="260"/>
      <c r="S88" s="260"/>
      <c r="T88" s="260">
        <f>IFERROR(ROUND(Q88/$Z$1,0),0)</f>
        <v>0</v>
      </c>
      <c r="U88" s="260"/>
      <c r="V88" s="308"/>
      <c r="W88" s="59"/>
      <c r="X88" s="59"/>
      <c r="Y88" s="56"/>
      <c r="Z88" s="56"/>
      <c r="AA88" s="56"/>
      <c r="AB88" s="56"/>
      <c r="AC88" s="56"/>
      <c r="AD88" s="56"/>
      <c r="AE88" s="56"/>
      <c r="AF88" s="56"/>
      <c r="AG88" s="56"/>
      <c r="AH88" s="56"/>
      <c r="AI88" s="56"/>
      <c r="AJ88" s="56"/>
      <c r="AK88" s="56"/>
      <c r="AL88" s="56"/>
      <c r="AM88" s="56"/>
      <c r="AN88" s="56"/>
      <c r="AO88" s="56"/>
      <c r="AP88" s="56"/>
      <c r="AQ88" s="56"/>
      <c r="AR88" s="56"/>
      <c r="AS88" s="77"/>
      <c r="AT88" s="77"/>
      <c r="AU88" s="77"/>
      <c r="AV88" s="56"/>
      <c r="AW88" s="56"/>
    </row>
    <row r="89" spans="1:49" s="57" customFormat="1" ht="30" customHeight="1" x14ac:dyDescent="0.3">
      <c r="A89" s="56"/>
      <c r="B89" s="56"/>
      <c r="C89" s="56"/>
      <c r="D89" s="56"/>
      <c r="E89" s="56"/>
      <c r="F89" s="56"/>
      <c r="G89" s="56"/>
      <c r="H89" s="306" t="s">
        <v>936</v>
      </c>
      <c r="I89" s="255"/>
      <c r="J89" s="255"/>
      <c r="K89" s="255"/>
      <c r="L89" s="255"/>
      <c r="M89" s="255"/>
      <c r="N89" s="255"/>
      <c r="O89" s="255"/>
      <c r="P89" s="256"/>
      <c r="Q89" s="260">
        <f>SUMIFS(Input[Debt Srv Pay E&amp;G],Input[Type],$Z$2)+SUMIFS(Input[Debt Srv Pay Desg],Input[Type],$Z$2)+SUMIFS(Input[Debt Srv Pay Aux],Input[Type],$Z$2)+SUMIFS(Input[Debt Srv Pay R Exp],Input[Type],$Z$2)+SUMIFS(Input[Debt Srv Pay Loan],Input[Type],$Z$2)+SUMIFS(Input[Debt Srv Pay Annuity],Input[Type],$Z$2)+SUMIFS(Input[Debt Srv Pay Unexp],Input[Type],$Z$2)+SUMIFS(Input[Debt Srv Pay R of Ind],Input[Type],$Z$2)+SUMIFS(Input[Debt Srv Pay Inv in P],Input[Type],$Z$2)</f>
        <v>0</v>
      </c>
      <c r="R89" s="260"/>
      <c r="S89" s="260"/>
      <c r="T89" s="260">
        <f>IFERROR(ROUND(Q89/$Z$1,0),0)</f>
        <v>0</v>
      </c>
      <c r="U89" s="260"/>
      <c r="V89" s="308"/>
      <c r="W89" s="59"/>
      <c r="X89" s="59"/>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row>
    <row r="90" spans="1:49" s="57" customFormat="1" ht="30" customHeight="1" x14ac:dyDescent="0.3">
      <c r="A90" s="56"/>
      <c r="B90" s="56"/>
      <c r="C90" s="56"/>
      <c r="D90" s="56"/>
      <c r="E90" s="56"/>
      <c r="F90" s="56"/>
      <c r="G90" s="56"/>
      <c r="H90" s="323" t="s">
        <v>917</v>
      </c>
      <c r="I90" s="324"/>
      <c r="J90" s="324"/>
      <c r="K90" s="324"/>
      <c r="L90" s="324"/>
      <c r="M90" s="324"/>
      <c r="N90" s="324"/>
      <c r="O90" s="324"/>
      <c r="P90" s="324"/>
      <c r="Q90" s="329">
        <f>SUM(Q86:S89)</f>
        <v>0</v>
      </c>
      <c r="R90" s="329"/>
      <c r="S90" s="329"/>
      <c r="T90" s="329"/>
      <c r="U90" s="329"/>
      <c r="V90" s="330"/>
      <c r="W90" s="59"/>
      <c r="X90" s="59"/>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row>
    <row r="91" spans="1:49" s="57" customFormat="1" ht="30" customHeight="1" x14ac:dyDescent="0.3">
      <c r="A91" s="56"/>
      <c r="B91" s="56"/>
      <c r="C91" s="56"/>
      <c r="D91" s="56"/>
      <c r="E91" s="56"/>
      <c r="F91" s="56"/>
      <c r="G91" s="56"/>
      <c r="H91" s="59"/>
      <c r="I91" s="59"/>
      <c r="J91" s="59"/>
      <c r="K91" s="59"/>
      <c r="L91" s="59"/>
      <c r="M91" s="59"/>
      <c r="N91" s="59"/>
      <c r="O91" s="59"/>
      <c r="P91" s="59"/>
      <c r="Q91" s="80"/>
      <c r="R91" s="80"/>
      <c r="S91" s="80"/>
      <c r="T91" s="80"/>
      <c r="U91" s="80"/>
      <c r="V91" s="80"/>
      <c r="W91" s="59"/>
      <c r="X91" s="59"/>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row>
    <row r="92" spans="1:49" s="57" customFormat="1" ht="30" customHeight="1" x14ac:dyDescent="0.3">
      <c r="A92" s="56"/>
      <c r="B92" s="56"/>
      <c r="C92" s="56"/>
      <c r="D92" s="56"/>
      <c r="E92" s="56"/>
      <c r="F92" s="56"/>
      <c r="G92" s="56"/>
      <c r="H92" s="374" t="s">
        <v>937</v>
      </c>
      <c r="I92" s="375"/>
      <c r="J92" s="375"/>
      <c r="K92" s="375"/>
      <c r="L92" s="375"/>
      <c r="M92" s="375"/>
      <c r="N92" s="375"/>
      <c r="O92" s="375"/>
      <c r="P92" s="375"/>
      <c r="Q92" s="376" t="s">
        <v>981</v>
      </c>
      <c r="R92" s="376"/>
      <c r="S92" s="376"/>
      <c r="T92" s="376" t="s">
        <v>982</v>
      </c>
      <c r="U92" s="376"/>
      <c r="V92" s="377"/>
      <c r="W92" s="59"/>
      <c r="X92" s="59"/>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row>
    <row r="93" spans="1:49" s="57" customFormat="1" ht="30" customHeight="1" x14ac:dyDescent="0.3">
      <c r="A93" s="56"/>
      <c r="B93" s="56"/>
      <c r="C93" s="56"/>
      <c r="D93" s="56"/>
      <c r="E93" s="56"/>
      <c r="F93" s="56"/>
      <c r="G93" s="56"/>
      <c r="H93" s="306" t="s">
        <v>938</v>
      </c>
      <c r="I93" s="255"/>
      <c r="J93" s="255"/>
      <c r="K93" s="255"/>
      <c r="L93" s="255"/>
      <c r="M93" s="255"/>
      <c r="N93" s="255"/>
      <c r="O93" s="255"/>
      <c r="P93" s="256"/>
      <c r="Q93" s="258">
        <f>SUMIFS(Input[Unreal G/L E&amp;G],Input[Type],$Z$2)+SUMIFS(Input[Unreal G/L Desg],Input[Type],$Z$2)+SUMIFS(Input[Unreal G/L Aux],Input[Type],$Z$2)+SUMIFS(Input[Unreal G/L R Exp],Input[Type],$Z$2)+SUMIFS(Input[Unreal G/L Loan],Input[Type],$Z$2)+SUMIFS(Input[Unreal G/L Annuity],Input[Type],$Z$2)+SUMIFS(Input[Unreal G/L Unexp],Input[Type],$Z$2)+SUMIFS(Input[Unreal G/L R of Ind],Input[Type],$Z$2)+SUMIFS(Input[Unreal G/L Inv in P],Input[Type],$Z$2)</f>
        <v>0</v>
      </c>
      <c r="R93" s="258"/>
      <c r="S93" s="258"/>
      <c r="T93" s="258">
        <f>IFERROR(ROUND(Q93/$Z$1,0),0)</f>
        <v>0</v>
      </c>
      <c r="U93" s="258"/>
      <c r="V93" s="357"/>
      <c r="W93" s="59"/>
      <c r="X93" s="59"/>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row>
    <row r="94" spans="1:49" s="57" customFormat="1" ht="30" customHeight="1" x14ac:dyDescent="0.3">
      <c r="A94" s="56"/>
      <c r="B94" s="56"/>
      <c r="C94" s="56"/>
      <c r="D94" s="56"/>
      <c r="E94" s="56"/>
      <c r="F94" s="56"/>
      <c r="G94" s="56"/>
      <c r="H94" s="306" t="s">
        <v>939</v>
      </c>
      <c r="I94" s="255"/>
      <c r="J94" s="255"/>
      <c r="K94" s="255"/>
      <c r="L94" s="255"/>
      <c r="M94" s="255"/>
      <c r="N94" s="255"/>
      <c r="O94" s="255"/>
      <c r="P94" s="256"/>
      <c r="Q94" s="260">
        <f>SUMIFS(Input[Add End E&amp;G],Input[Type],$Z$2)+SUMIFS(Input[Add End Desg],Input[Type],$Z$2)+SUMIFS(Input[Add End Aux],Input[Type],$Z$2)+SUMIFS(Input[Add End R Exp],Input[Type],$Z$2)+SUMIFS(Input[Add End Loan],Input[Type],$Z$2)+SUMIFS(Input[Add End Annuity],Input[Type],$Z$2)+SUMIFS(Input[Add End Unexp],Input[Type],$Z$2)+SUMIFS(Input[Add End R of Ind],Input[Type],$Z$2)+SUMIFS(Input[Add End Inv in P],Input[Type],$Z$2)</f>
        <v>0</v>
      </c>
      <c r="R94" s="260"/>
      <c r="S94" s="260"/>
      <c r="T94" s="458">
        <f>IFERROR(ROUND(Q94/$Z$1,0),0)</f>
        <v>0</v>
      </c>
      <c r="U94" s="459"/>
      <c r="V94" s="460"/>
      <c r="W94" s="59"/>
      <c r="X94" s="59"/>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row>
    <row r="95" spans="1:49" s="57" customFormat="1" ht="30" customHeight="1" x14ac:dyDescent="0.3">
      <c r="A95" s="56"/>
      <c r="B95" s="56"/>
      <c r="C95" s="56"/>
      <c r="D95" s="56"/>
      <c r="E95" s="56"/>
      <c r="F95" s="56"/>
      <c r="G95" s="56"/>
      <c r="H95" s="323" t="s">
        <v>917</v>
      </c>
      <c r="I95" s="324"/>
      <c r="J95" s="324"/>
      <c r="K95" s="324"/>
      <c r="L95" s="324"/>
      <c r="M95" s="324"/>
      <c r="N95" s="324"/>
      <c r="O95" s="324"/>
      <c r="P95" s="324"/>
      <c r="Q95" s="329">
        <f>SUM(Q93:S94)</f>
        <v>0</v>
      </c>
      <c r="R95" s="329"/>
      <c r="S95" s="329"/>
      <c r="T95" s="329">
        <f>SUM(T93:V94)</f>
        <v>0</v>
      </c>
      <c r="U95" s="329"/>
      <c r="V95" s="330"/>
      <c r="W95" s="59"/>
      <c r="X95" s="59"/>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row>
    <row r="96" spans="1:49" s="57" customFormat="1" ht="30" customHeight="1" x14ac:dyDescent="0.3">
      <c r="A96" s="56"/>
      <c r="B96" s="56"/>
      <c r="C96" s="56"/>
      <c r="D96" s="56"/>
      <c r="E96" s="56"/>
      <c r="F96" s="56"/>
      <c r="G96" s="56"/>
      <c r="H96" s="59"/>
      <c r="I96" s="59"/>
      <c r="J96" s="59"/>
      <c r="K96" s="59"/>
      <c r="L96" s="59"/>
      <c r="M96" s="59"/>
      <c r="N96" s="59"/>
      <c r="O96" s="59"/>
      <c r="P96" s="59"/>
      <c r="Q96" s="80"/>
      <c r="R96" s="80"/>
      <c r="S96" s="80"/>
      <c r="T96" s="80"/>
      <c r="U96" s="80"/>
      <c r="V96" s="80"/>
      <c r="W96" s="59"/>
      <c r="X96" s="59"/>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row>
    <row r="97" spans="1:50" s="57" customFormat="1" ht="30" customHeight="1" x14ac:dyDescent="0.3">
      <c r="A97" s="56"/>
      <c r="B97" s="56"/>
      <c r="C97" s="56"/>
      <c r="D97" s="56"/>
      <c r="E97" s="56"/>
      <c r="F97" s="56"/>
      <c r="G97" s="56"/>
      <c r="H97" s="369" t="s">
        <v>940</v>
      </c>
      <c r="I97" s="370"/>
      <c r="J97" s="370"/>
      <c r="K97" s="370"/>
      <c r="L97" s="370"/>
      <c r="M97" s="370"/>
      <c r="N97" s="370"/>
      <c r="O97" s="370"/>
      <c r="P97" s="370"/>
      <c r="Q97" s="367">
        <f>Q67-Q83+Q90+Q95</f>
        <v>0</v>
      </c>
      <c r="R97" s="367"/>
      <c r="S97" s="367"/>
      <c r="T97" s="367">
        <f>T67-T83+T90+T95</f>
        <v>0</v>
      </c>
      <c r="U97" s="367"/>
      <c r="V97" s="368"/>
      <c r="W97" s="59"/>
      <c r="X97" s="59"/>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row>
    <row r="98" spans="1:50" s="57" customFormat="1" ht="30" customHeight="1" x14ac:dyDescent="0.3">
      <c r="A98" s="56"/>
      <c r="B98" s="56"/>
      <c r="C98" s="56"/>
      <c r="D98" s="56"/>
      <c r="E98" s="56"/>
      <c r="F98" s="56"/>
      <c r="G98" s="56"/>
      <c r="H98" s="59"/>
      <c r="I98" s="59"/>
      <c r="J98" s="59"/>
      <c r="K98" s="59"/>
      <c r="L98" s="59"/>
      <c r="M98" s="59"/>
      <c r="N98" s="59"/>
      <c r="O98" s="59"/>
      <c r="P98" s="59"/>
      <c r="Q98" s="80"/>
      <c r="R98" s="80"/>
      <c r="S98" s="80"/>
      <c r="T98" s="80"/>
      <c r="U98" s="80"/>
      <c r="V98" s="80"/>
      <c r="W98" s="59"/>
      <c r="X98" s="59"/>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row>
    <row r="99" spans="1:50" s="57" customFormat="1" ht="30" customHeight="1" x14ac:dyDescent="0.3">
      <c r="A99" s="56"/>
      <c r="B99" s="56"/>
      <c r="C99" s="56"/>
      <c r="D99" s="56"/>
      <c r="E99" s="56"/>
      <c r="F99" s="56"/>
      <c r="G99" s="56"/>
      <c r="H99" s="374"/>
      <c r="I99" s="375"/>
      <c r="J99" s="375"/>
      <c r="K99" s="375"/>
      <c r="L99" s="375"/>
      <c r="M99" s="375"/>
      <c r="N99" s="375"/>
      <c r="O99" s="375"/>
      <c r="P99" s="375"/>
      <c r="Q99" s="376" t="s">
        <v>981</v>
      </c>
      <c r="R99" s="376"/>
      <c r="S99" s="376"/>
      <c r="T99" s="376" t="s">
        <v>982</v>
      </c>
      <c r="U99" s="376"/>
      <c r="V99" s="377"/>
      <c r="W99" s="59"/>
      <c r="X99" s="59"/>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row>
    <row r="100" spans="1:50" s="57" customFormat="1" ht="30" customHeight="1" x14ac:dyDescent="0.3">
      <c r="A100" s="56"/>
      <c r="B100" s="56"/>
      <c r="C100" s="56"/>
      <c r="D100" s="56"/>
      <c r="E100" s="56"/>
      <c r="F100" s="56"/>
      <c r="G100" s="56"/>
      <c r="H100" s="306" t="s">
        <v>941</v>
      </c>
      <c r="I100" s="255"/>
      <c r="J100" s="255"/>
      <c r="K100" s="255"/>
      <c r="L100" s="255"/>
      <c r="M100" s="255"/>
      <c r="N100" s="255"/>
      <c r="O100" s="255"/>
      <c r="P100" s="256"/>
      <c r="Q100" s="258">
        <f>SUMIFS(Input[Bond Proceeds E&amp;G],Input[Type],$Z$2)+SUMIFS(Input[Bond Proceeds Desg],Input[Type],$Z$2)+SUMIFS(Input[Bond Proceeds Aux],Input[Type],$Z$2)+SUMIFS(Input[Bond Proceeds R Exp],Input[Type],$Z$2)+SUMIFS(Input[Bond Proceeds Loan],Input[Type],$Z$2)+SUMIFS(Input[Bond Proceeds Annuity],Input[Type],$Z$2)+SUMIFS(Input[Bond Proceeds Unexp],Input[Type],$Z$2)+SUMIFS(Input[Bond Proceeds R of Ind],Input[Type],$Z$2)+SUMIFS(Input[Bond Proceeds Inv in P],Input[Type],$Z$2)</f>
        <v>0</v>
      </c>
      <c r="R100" s="258"/>
      <c r="S100" s="258"/>
      <c r="T100" s="258">
        <f t="shared" ref="T100:T105" si="6">IFERROR(ROUND(Q100/$Z$1,0),0)</f>
        <v>0</v>
      </c>
      <c r="U100" s="258"/>
      <c r="V100" s="357"/>
      <c r="W100" s="59"/>
      <c r="X100" s="59"/>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row>
    <row r="101" spans="1:50" s="57" customFormat="1" ht="30" customHeight="1" x14ac:dyDescent="0.3">
      <c r="A101" s="56"/>
      <c r="B101" s="56"/>
      <c r="C101" s="56"/>
      <c r="D101" s="56"/>
      <c r="E101" s="56"/>
      <c r="F101" s="56"/>
      <c r="G101" s="56"/>
      <c r="H101" s="306" t="s">
        <v>942</v>
      </c>
      <c r="I101" s="255"/>
      <c r="J101" s="255"/>
      <c r="K101" s="255"/>
      <c r="L101" s="255"/>
      <c r="M101" s="255"/>
      <c r="N101" s="255"/>
      <c r="O101" s="255"/>
      <c r="P101" s="256"/>
      <c r="Q101" s="260">
        <f>SUMIFS(Input[Dep Exp E&amp;G],Input[Type],$Z$2)+SUMIFS(Input[Dep Exp Desg],Input[Type],$Z$2)+SUMIFS(Input[Dep Exp Aux],Input[Type],$Z$2)+SUMIFS(Input[Dep Exp R Exp],Input[Type],$Z$2)+SUMIFS(Input[Dep Exp Loan],Input[Type],$Z$2)+SUMIFS(Input[Dep Exp Annuity],Input[Type],$Z$2)+SUMIFS(Input[Dep Exp Unexp],Input[Type],$Z$2)+SUMIFS(Input[Dep Exp R of Ind],Input[Type],$Z$2)+SUMIFS(Input[Dep Exp Inv in P],Input[Type],$Z$2)</f>
        <v>0</v>
      </c>
      <c r="R101" s="260"/>
      <c r="S101" s="260"/>
      <c r="T101" s="260">
        <f t="shared" si="6"/>
        <v>0</v>
      </c>
      <c r="U101" s="260"/>
      <c r="V101" s="308"/>
      <c r="W101" s="59"/>
      <c r="X101" s="59"/>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row>
    <row r="102" spans="1:50" s="57" customFormat="1" ht="30" customHeight="1" x14ac:dyDescent="0.3">
      <c r="A102" s="56"/>
      <c r="B102" s="56"/>
      <c r="C102" s="56"/>
      <c r="D102" s="56"/>
      <c r="E102" s="56"/>
      <c r="F102" s="56"/>
      <c r="G102" s="56"/>
      <c r="H102" s="306" t="s">
        <v>943</v>
      </c>
      <c r="I102" s="255"/>
      <c r="J102" s="255"/>
      <c r="K102" s="255"/>
      <c r="L102" s="255"/>
      <c r="M102" s="255"/>
      <c r="N102" s="255"/>
      <c r="O102" s="255"/>
      <c r="P102" s="256"/>
      <c r="Q102" s="260">
        <f>SUMIFS(Input[Xfr Cap Sys E&amp;G],Input[Type],$Z$2)+SUMIFS(Input[Xfr Cap Sys Desg],Input[Type],$Z$2)+SUMIFS(Input[Xfr Cap Sys Aux],Input[Type],$Z$2)+SUMIFS(Input[Xfr Cap Sys R Exp],Input[Type],$Z$2)+SUMIFS(Input[Xfr Cap Sys Loan],Input[Type],$Z$2)+SUMIFS(Input[Xfr Cap Sys Annuity],Input[Type],$Z$2)+SUMIFS(Input[Xfr Cap Sys Unexp],Input[Type],$Z$2)+SUMIFS(Input[Xfr Cap Sys R of Ind],Input[Type],$Z$2)+SUMIFS(Input[Xfr Cap Sys Inv in P],Input[Type],$Z$2)</f>
        <v>0</v>
      </c>
      <c r="R102" s="260"/>
      <c r="S102" s="260"/>
      <c r="T102" s="260">
        <f t="shared" si="6"/>
        <v>0</v>
      </c>
      <c r="U102" s="260"/>
      <c r="V102" s="308"/>
      <c r="W102" s="59"/>
      <c r="X102" s="59"/>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row>
    <row r="103" spans="1:50" s="57" customFormat="1" ht="30" customHeight="1" x14ac:dyDescent="0.3">
      <c r="A103" s="56"/>
      <c r="B103" s="56"/>
      <c r="C103" s="56"/>
      <c r="D103" s="56"/>
      <c r="E103" s="56"/>
      <c r="F103" s="56"/>
      <c r="G103" s="56"/>
      <c r="H103" s="306" t="s">
        <v>944</v>
      </c>
      <c r="I103" s="255"/>
      <c r="J103" s="255"/>
      <c r="K103" s="255"/>
      <c r="L103" s="255"/>
      <c r="M103" s="255"/>
      <c r="N103" s="255"/>
      <c r="O103" s="255"/>
      <c r="P103" s="256"/>
      <c r="Q103" s="260">
        <f>SUMIFS(Input[OPEB Exp E&amp;G],Input[Type],$Z$2)+SUMIFS(Input[OPEB Exp Desg],Input[Type],$Z$2)+SUMIFS(Input[OPEB Exp Aux],Input[Type],$Z$2)+SUMIFS(Input[OPEB Exp R Exp],Input[Type],$Z$2)+SUMIFS(Input[OPEB Exp Loan],Input[Type],$Z$2)+SUMIFS(Input[OPEB Exp Annuity],Input[Type],$Z$2)+SUMIFS(Input[OPEB Exp Unexp],Input[Type],$Z$2)+SUMIFS(Input[OPEB Exp R of Ind],Input[Type],$Z$2)+SUMIFS(Input[OPEB Exp Inv in P],Input[Type],$Z$2)</f>
        <v>0</v>
      </c>
      <c r="R103" s="260"/>
      <c r="S103" s="260"/>
      <c r="T103" s="455">
        <f t="shared" si="6"/>
        <v>0</v>
      </c>
      <c r="U103" s="456"/>
      <c r="V103" s="457"/>
      <c r="W103" s="59"/>
      <c r="X103" s="59"/>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row>
    <row r="104" spans="1:50" s="57" customFormat="1" ht="30" customHeight="1" x14ac:dyDescent="0.3">
      <c r="A104" s="56"/>
      <c r="B104" s="56"/>
      <c r="C104" s="56"/>
      <c r="D104" s="56"/>
      <c r="E104" s="56"/>
      <c r="F104" s="56"/>
      <c r="G104" s="56"/>
      <c r="H104" s="306" t="s">
        <v>945</v>
      </c>
      <c r="I104" s="255"/>
      <c r="J104" s="255"/>
      <c r="K104" s="255"/>
      <c r="L104" s="255"/>
      <c r="M104" s="255"/>
      <c r="N104" s="255"/>
      <c r="O104" s="255"/>
      <c r="P104" s="256"/>
      <c r="Q104" s="260">
        <f>SUMIFS(Input[Non-Cash Cap E&amp;G],Input[Type],$Z$2)+SUMIFS(Input[Non-Cash Cap Desg],Input[Type],$Z$2)+SUMIFS(Input[Non-Cash Cap Aux],Input[Type],$Z$2)+SUMIFS(Input[Non-Cash Cap R Exp],Input[Type],$Z$2)+SUMIFS(Input[Non-Cash Cap Loan],Input[Type],$Z$2)+SUMIFS(Input[Non-Cash Cap Annuity],Input[Type],$Z$2)+SUMIFS(Input[Non-Cash Cap Unexp],Input[Type],$Z$2)+SUMIFS(Input[Non-Cash Cap R of Ind],Input[Type],$Z$2)+SUMIFS(Input[Non-Cash Cap Inv in P],Input[Type],$Z$2)</f>
        <v>0</v>
      </c>
      <c r="R104" s="260"/>
      <c r="S104" s="260"/>
      <c r="T104" s="455">
        <f t="shared" si="6"/>
        <v>0</v>
      </c>
      <c r="U104" s="456"/>
      <c r="V104" s="457"/>
      <c r="W104" s="59"/>
      <c r="X104" s="59"/>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row>
    <row r="105" spans="1:50" s="57" customFormat="1" ht="30" customHeight="1" x14ac:dyDescent="0.3">
      <c r="A105" s="56"/>
      <c r="B105" s="56"/>
      <c r="C105" s="56"/>
      <c r="D105" s="56"/>
      <c r="E105" s="56"/>
      <c r="F105" s="56"/>
      <c r="G105" s="56"/>
      <c r="H105" s="306" t="s">
        <v>946</v>
      </c>
      <c r="I105" s="255"/>
      <c r="J105" s="255"/>
      <c r="K105" s="255"/>
      <c r="L105" s="255"/>
      <c r="M105" s="255"/>
      <c r="N105" s="255"/>
      <c r="O105" s="255"/>
      <c r="P105" s="256"/>
      <c r="Q105" s="260">
        <f>SUMIFS(Input[Cap Out E&amp;G],Input[Type],$Z$2)+SUMIFS(Input[Cap Out Desg],Input[Type],$Z$2)+SUMIFS(Input[Cap Out Aux],Input[Type],$Z$2)+SUMIFS(Input[Cap Out R Exp],Input[Type],$Z$2)+SUMIFS(Input[Cap Out Loan],Input[Type],$Z$2)+SUMIFS(Input[Cap Out Annuity],Input[Type],$Z$2)+SUMIFS(Input[Cap Out Unexp],Input[Type],$Z$2)+SUMIFS(Input[Cap Out R of Ind],Input[Type],$Z$2)+SUMIFS(Input[Cap Out Inv in P],Input[Type],$Z$2)</f>
        <v>0</v>
      </c>
      <c r="R105" s="260"/>
      <c r="S105" s="260"/>
      <c r="T105" s="458">
        <f t="shared" si="6"/>
        <v>0</v>
      </c>
      <c r="U105" s="459"/>
      <c r="V105" s="460"/>
      <c r="W105" s="59"/>
      <c r="X105" s="59"/>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row>
    <row r="106" spans="1:50" s="57" customFormat="1" ht="30" customHeight="1" x14ac:dyDescent="0.3">
      <c r="A106" s="56"/>
      <c r="B106" s="56"/>
      <c r="C106" s="56"/>
      <c r="D106" s="56"/>
      <c r="E106" s="56"/>
      <c r="F106" s="56"/>
      <c r="G106" s="56"/>
      <c r="H106" s="323"/>
      <c r="I106" s="324"/>
      <c r="J106" s="324"/>
      <c r="K106" s="324"/>
      <c r="L106" s="324"/>
      <c r="M106" s="324"/>
      <c r="N106" s="324"/>
      <c r="O106" s="324"/>
      <c r="P106" s="324"/>
      <c r="Q106" s="329">
        <f>SUM(Q97,Q100:S105)</f>
        <v>0</v>
      </c>
      <c r="R106" s="329"/>
      <c r="S106" s="329"/>
      <c r="T106" s="329">
        <f>SUM(T97,T100:V105)</f>
        <v>0</v>
      </c>
      <c r="U106" s="329"/>
      <c r="V106" s="330"/>
      <c r="W106" s="59"/>
      <c r="X106" s="59"/>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row>
    <row r="107" spans="1:50" s="57" customFormat="1" ht="30" customHeight="1" x14ac:dyDescent="0.3">
      <c r="A107" s="56"/>
      <c r="B107" s="56"/>
      <c r="C107" s="56"/>
      <c r="D107" s="56"/>
      <c r="E107" s="56"/>
      <c r="F107" s="56"/>
      <c r="G107" s="56"/>
      <c r="H107" s="78"/>
      <c r="I107" s="78"/>
      <c r="J107" s="78"/>
      <c r="K107" s="78"/>
      <c r="L107" s="78"/>
      <c r="M107" s="78"/>
      <c r="N107" s="78"/>
      <c r="O107" s="78"/>
      <c r="P107" s="78"/>
      <c r="Q107" s="79"/>
      <c r="R107" s="79"/>
      <c r="S107" s="79"/>
      <c r="T107" s="79"/>
      <c r="U107" s="79"/>
      <c r="V107" s="79"/>
      <c r="W107" s="59"/>
      <c r="X107" s="59"/>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row>
    <row r="108" spans="1:50" ht="30" customHeight="1" x14ac:dyDescent="0.3">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row>
  </sheetData>
  <sheetProtection algorithmName="SHA-512" hashValue="4W3LYhYRhxQaEjuEl9tCyg2pcOkEF+e7icC44sc7pVLDccudgF0+m0DhrMHHwulH3hN/6HNuqpAvbnIWwsQDnw==" saltValue="DatyOihzMhOK8OECDqjaJw==" spinCount="100000" sheet="1" objects="1" scenarios="1" formatCells="0" formatColumns="0" formatRows="0"/>
  <mergeCells count="382">
    <mergeCell ref="H1:V1"/>
    <mergeCell ref="Z1:AB1"/>
    <mergeCell ref="AC1:AE1"/>
    <mergeCell ref="H2:V2"/>
    <mergeCell ref="H3:V3"/>
    <mergeCell ref="H5:V7"/>
    <mergeCell ref="H10:P10"/>
    <mergeCell ref="Q10:S10"/>
    <mergeCell ref="T10:V10"/>
    <mergeCell ref="X10:AD10"/>
    <mergeCell ref="AE10:AG10"/>
    <mergeCell ref="Z2:AB2"/>
    <mergeCell ref="AH10:AJ10"/>
    <mergeCell ref="H8:V8"/>
    <mergeCell ref="X8:AJ8"/>
    <mergeCell ref="H9:P9"/>
    <mergeCell ref="Q9:S9"/>
    <mergeCell ref="T9:V9"/>
    <mergeCell ref="X9:AD9"/>
    <mergeCell ref="AE9:AG9"/>
    <mergeCell ref="AH9:AJ9"/>
    <mergeCell ref="H12:P12"/>
    <mergeCell ref="Q12:S12"/>
    <mergeCell ref="T12:V12"/>
    <mergeCell ref="X12:AD12"/>
    <mergeCell ref="AE12:AG12"/>
    <mergeCell ref="AH12:AJ12"/>
    <mergeCell ref="H11:P11"/>
    <mergeCell ref="Q11:S11"/>
    <mergeCell ref="T11:V11"/>
    <mergeCell ref="X11:AD11"/>
    <mergeCell ref="AE11:AG11"/>
    <mergeCell ref="AH11:AJ11"/>
    <mergeCell ref="X14:AD14"/>
    <mergeCell ref="AE14:AG14"/>
    <mergeCell ref="AH14:AJ14"/>
    <mergeCell ref="H13:P13"/>
    <mergeCell ref="Q13:S13"/>
    <mergeCell ref="T13:V13"/>
    <mergeCell ref="X13:AD13"/>
    <mergeCell ref="AE13:AG13"/>
    <mergeCell ref="AH13:AJ13"/>
    <mergeCell ref="T21:V21"/>
    <mergeCell ref="H16:P16"/>
    <mergeCell ref="Q16:S16"/>
    <mergeCell ref="T16:V16"/>
    <mergeCell ref="H17:P17"/>
    <mergeCell ref="Q17:S17"/>
    <mergeCell ref="T17:V17"/>
    <mergeCell ref="H14:P14"/>
    <mergeCell ref="Q14:S14"/>
    <mergeCell ref="T14:V14"/>
    <mergeCell ref="T30:V30"/>
    <mergeCell ref="H20:P20"/>
    <mergeCell ref="Q20:S20"/>
    <mergeCell ref="T20:V20"/>
    <mergeCell ref="X35:AD35"/>
    <mergeCell ref="AE35:AG35"/>
    <mergeCell ref="X32:AG32"/>
    <mergeCell ref="H18:V18"/>
    <mergeCell ref="X33:AD33"/>
    <mergeCell ref="AE33:AG33"/>
    <mergeCell ref="H19:P19"/>
    <mergeCell ref="Q19:S19"/>
    <mergeCell ref="T19:V19"/>
    <mergeCell ref="X34:AD34"/>
    <mergeCell ref="AE34:AG34"/>
    <mergeCell ref="H23:P23"/>
    <mergeCell ref="Q23:S23"/>
    <mergeCell ref="T23:V23"/>
    <mergeCell ref="H24:V24"/>
    <mergeCell ref="H25:P25"/>
    <mergeCell ref="Q25:S25"/>
    <mergeCell ref="T25:V25"/>
    <mergeCell ref="H21:P21"/>
    <mergeCell ref="Q21:S21"/>
    <mergeCell ref="AL39:AR39"/>
    <mergeCell ref="AS39:AU39"/>
    <mergeCell ref="AL40:AR40"/>
    <mergeCell ref="H22:P22"/>
    <mergeCell ref="Q22:S22"/>
    <mergeCell ref="T22:V22"/>
    <mergeCell ref="H27:P27"/>
    <mergeCell ref="Q27:S27"/>
    <mergeCell ref="T27:V27"/>
    <mergeCell ref="X40:AD40"/>
    <mergeCell ref="AE40:AG40"/>
    <mergeCell ref="AH40:AJ40"/>
    <mergeCell ref="H26:P26"/>
    <mergeCell ref="Q26:S26"/>
    <mergeCell ref="T26:V26"/>
    <mergeCell ref="X39:AJ39"/>
    <mergeCell ref="H29:P29"/>
    <mergeCell ref="Q29:S29"/>
    <mergeCell ref="T29:V29"/>
    <mergeCell ref="H28:P28"/>
    <mergeCell ref="Q28:S28"/>
    <mergeCell ref="T28:V28"/>
    <mergeCell ref="H30:P30"/>
    <mergeCell ref="Q30:S30"/>
    <mergeCell ref="AE49:AG49"/>
    <mergeCell ref="AH49:AJ49"/>
    <mergeCell ref="AE42:AG42"/>
    <mergeCell ref="AH42:AJ42"/>
    <mergeCell ref="X41:AD41"/>
    <mergeCell ref="AE41:AG41"/>
    <mergeCell ref="AH41:AJ41"/>
    <mergeCell ref="H32:P32"/>
    <mergeCell ref="Q32:S32"/>
    <mergeCell ref="T32:V32"/>
    <mergeCell ref="X45:AD45"/>
    <mergeCell ref="AE45:AG45"/>
    <mergeCell ref="AH45:AJ45"/>
    <mergeCell ref="Q36:S36"/>
    <mergeCell ref="T36:V36"/>
    <mergeCell ref="H35:P35"/>
    <mergeCell ref="Q35:S35"/>
    <mergeCell ref="T35:V35"/>
    <mergeCell ref="X43:AD43"/>
    <mergeCell ref="AE43:AG43"/>
    <mergeCell ref="AH43:AJ43"/>
    <mergeCell ref="X42:AD42"/>
    <mergeCell ref="H33:V33"/>
    <mergeCell ref="X46:AD46"/>
    <mergeCell ref="AE46:AG46"/>
    <mergeCell ref="AH46:AJ46"/>
    <mergeCell ref="H34:P34"/>
    <mergeCell ref="Q34:S34"/>
    <mergeCell ref="T34:V34"/>
    <mergeCell ref="X47:AD47"/>
    <mergeCell ref="AE47:AG47"/>
    <mergeCell ref="X44:AD44"/>
    <mergeCell ref="AE44:AG44"/>
    <mergeCell ref="AH44:AJ44"/>
    <mergeCell ref="H36:P36"/>
    <mergeCell ref="X51:AD51"/>
    <mergeCell ref="AE51:AG51"/>
    <mergeCell ref="AH51:AJ51"/>
    <mergeCell ref="H37:P37"/>
    <mergeCell ref="Q37:S37"/>
    <mergeCell ref="T37:V37"/>
    <mergeCell ref="X50:AD50"/>
    <mergeCell ref="AE50:AG50"/>
    <mergeCell ref="AH50:AJ50"/>
    <mergeCell ref="H41:P41"/>
    <mergeCell ref="Q41:S41"/>
    <mergeCell ref="T41:V41"/>
    <mergeCell ref="T43:V43"/>
    <mergeCell ref="H50:P50"/>
    <mergeCell ref="Q50:S50"/>
    <mergeCell ref="T50:V50"/>
    <mergeCell ref="AH47:AJ47"/>
    <mergeCell ref="X48:AD48"/>
    <mergeCell ref="AE48:AG48"/>
    <mergeCell ref="AH48:AJ48"/>
    <mergeCell ref="H38:P38"/>
    <mergeCell ref="Q38:S38"/>
    <mergeCell ref="T38:V38"/>
    <mergeCell ref="X49:AD49"/>
    <mergeCell ref="X54:AD54"/>
    <mergeCell ref="AE54:AG54"/>
    <mergeCell ref="AH54:AJ54"/>
    <mergeCell ref="H39:V39"/>
    <mergeCell ref="X52:AD52"/>
    <mergeCell ref="AE52:AG52"/>
    <mergeCell ref="AH52:AJ52"/>
    <mergeCell ref="H40:P40"/>
    <mergeCell ref="Q40:S40"/>
    <mergeCell ref="T40:V40"/>
    <mergeCell ref="X53:AD53"/>
    <mergeCell ref="AE53:AG53"/>
    <mergeCell ref="AH53:AJ53"/>
    <mergeCell ref="H44:P44"/>
    <mergeCell ref="Q44:S44"/>
    <mergeCell ref="T44:V44"/>
    <mergeCell ref="H45:P45"/>
    <mergeCell ref="Q45:S45"/>
    <mergeCell ref="T45:V45"/>
    <mergeCell ref="H42:P42"/>
    <mergeCell ref="Q42:S42"/>
    <mergeCell ref="T42:V42"/>
    <mergeCell ref="H43:P43"/>
    <mergeCell ref="Q43:S43"/>
    <mergeCell ref="H52:P52"/>
    <mergeCell ref="Q52:S52"/>
    <mergeCell ref="T52:V52"/>
    <mergeCell ref="H47:P47"/>
    <mergeCell ref="Q47:S47"/>
    <mergeCell ref="T47:V47"/>
    <mergeCell ref="H49:P49"/>
    <mergeCell ref="Q49:S49"/>
    <mergeCell ref="T49:V49"/>
    <mergeCell ref="H56:P56"/>
    <mergeCell ref="Q56:S56"/>
    <mergeCell ref="T56:V56"/>
    <mergeCell ref="H58:P58"/>
    <mergeCell ref="Q58:S58"/>
    <mergeCell ref="T58:V58"/>
    <mergeCell ref="H53:P53"/>
    <mergeCell ref="Q53:S53"/>
    <mergeCell ref="T53:V53"/>
    <mergeCell ref="H55:P55"/>
    <mergeCell ref="Q55:S55"/>
    <mergeCell ref="T55:V55"/>
    <mergeCell ref="H61:P61"/>
    <mergeCell ref="Q61:S61"/>
    <mergeCell ref="T61:V61"/>
    <mergeCell ref="H62:P62"/>
    <mergeCell ref="Q62:S62"/>
    <mergeCell ref="T62:V62"/>
    <mergeCell ref="H59:P59"/>
    <mergeCell ref="Q59:S59"/>
    <mergeCell ref="T59:V59"/>
    <mergeCell ref="H60:P60"/>
    <mergeCell ref="Q60:S60"/>
    <mergeCell ref="T60:V60"/>
    <mergeCell ref="H65:P65"/>
    <mergeCell ref="Q65:S65"/>
    <mergeCell ref="T65:V65"/>
    <mergeCell ref="H67:P67"/>
    <mergeCell ref="Q67:S67"/>
    <mergeCell ref="T67:V67"/>
    <mergeCell ref="H63:P63"/>
    <mergeCell ref="Q63:S63"/>
    <mergeCell ref="T63:V63"/>
    <mergeCell ref="H64:P64"/>
    <mergeCell ref="Q64:S64"/>
    <mergeCell ref="T64:V64"/>
    <mergeCell ref="H70:P70"/>
    <mergeCell ref="Q70:S70"/>
    <mergeCell ref="T70:V70"/>
    <mergeCell ref="X70:AD70"/>
    <mergeCell ref="AE70:AG70"/>
    <mergeCell ref="AH70:AJ70"/>
    <mergeCell ref="H73:P73"/>
    <mergeCell ref="Q73:S73"/>
    <mergeCell ref="T73:V73"/>
    <mergeCell ref="X73:AD73"/>
    <mergeCell ref="AE73:AG73"/>
    <mergeCell ref="AH73:AJ73"/>
    <mergeCell ref="H72:P72"/>
    <mergeCell ref="Q72:S72"/>
    <mergeCell ref="T72:V72"/>
    <mergeCell ref="X72:AD72"/>
    <mergeCell ref="AE72:AG72"/>
    <mergeCell ref="AH72:AJ72"/>
    <mergeCell ref="H75:P75"/>
    <mergeCell ref="Q75:S75"/>
    <mergeCell ref="T75:V75"/>
    <mergeCell ref="X75:AD75"/>
    <mergeCell ref="AE75:AG75"/>
    <mergeCell ref="AH75:AJ75"/>
    <mergeCell ref="H71:P71"/>
    <mergeCell ref="Q71:S71"/>
    <mergeCell ref="T71:V71"/>
    <mergeCell ref="X71:AD71"/>
    <mergeCell ref="AE71:AG71"/>
    <mergeCell ref="AH71:AJ71"/>
    <mergeCell ref="H74:P74"/>
    <mergeCell ref="Q74:S74"/>
    <mergeCell ref="T74:V74"/>
    <mergeCell ref="X74:AD74"/>
    <mergeCell ref="AE74:AG74"/>
    <mergeCell ref="AH74:AJ74"/>
    <mergeCell ref="H77:P77"/>
    <mergeCell ref="Q77:S77"/>
    <mergeCell ref="T77:V77"/>
    <mergeCell ref="X77:AD77"/>
    <mergeCell ref="AE77:AG77"/>
    <mergeCell ref="AH77:AJ77"/>
    <mergeCell ref="H76:P76"/>
    <mergeCell ref="Q76:S76"/>
    <mergeCell ref="T76:V76"/>
    <mergeCell ref="X76:AD76"/>
    <mergeCell ref="AE76:AG76"/>
    <mergeCell ref="AH76:AJ76"/>
    <mergeCell ref="H79:P79"/>
    <mergeCell ref="Q79:S79"/>
    <mergeCell ref="T79:V79"/>
    <mergeCell ref="X79:AD79"/>
    <mergeCell ref="AE79:AG79"/>
    <mergeCell ref="AH79:AJ79"/>
    <mergeCell ref="H78:P78"/>
    <mergeCell ref="Q78:S78"/>
    <mergeCell ref="T78:V78"/>
    <mergeCell ref="X78:AD78"/>
    <mergeCell ref="AE78:AG78"/>
    <mergeCell ref="AH78:AJ78"/>
    <mergeCell ref="AE80:AG80"/>
    <mergeCell ref="AH80:AJ80"/>
    <mergeCell ref="H82:P82"/>
    <mergeCell ref="Q82:S82"/>
    <mergeCell ref="T82:V82"/>
    <mergeCell ref="H83:P83"/>
    <mergeCell ref="Q83:S83"/>
    <mergeCell ref="T83:V83"/>
    <mergeCell ref="H81:P81"/>
    <mergeCell ref="Q81:S81"/>
    <mergeCell ref="T81:V81"/>
    <mergeCell ref="X81:AD81"/>
    <mergeCell ref="AE81:AG81"/>
    <mergeCell ref="AH81:AJ81"/>
    <mergeCell ref="H80:P80"/>
    <mergeCell ref="H85:P85"/>
    <mergeCell ref="Q85:S85"/>
    <mergeCell ref="T85:V85"/>
    <mergeCell ref="H86:P86"/>
    <mergeCell ref="Q86:S86"/>
    <mergeCell ref="T86:V86"/>
    <mergeCell ref="Q80:S80"/>
    <mergeCell ref="T80:V80"/>
    <mergeCell ref="X80:AD80"/>
    <mergeCell ref="T93:V93"/>
    <mergeCell ref="H89:P89"/>
    <mergeCell ref="Q89:S89"/>
    <mergeCell ref="T89:V89"/>
    <mergeCell ref="H90:P90"/>
    <mergeCell ref="Q90:S90"/>
    <mergeCell ref="T90:V90"/>
    <mergeCell ref="H87:P87"/>
    <mergeCell ref="Q87:S87"/>
    <mergeCell ref="T87:V87"/>
    <mergeCell ref="H88:P88"/>
    <mergeCell ref="Q88:S88"/>
    <mergeCell ref="T88:V88"/>
    <mergeCell ref="X29:AI29"/>
    <mergeCell ref="AM8:AV9"/>
    <mergeCell ref="AM10:AV38"/>
    <mergeCell ref="H104:P104"/>
    <mergeCell ref="Q104:S104"/>
    <mergeCell ref="T104:V104"/>
    <mergeCell ref="H105:P105"/>
    <mergeCell ref="Q105:S105"/>
    <mergeCell ref="T105:V105"/>
    <mergeCell ref="H102:P102"/>
    <mergeCell ref="Q102:S102"/>
    <mergeCell ref="T102:V102"/>
    <mergeCell ref="H103:P103"/>
    <mergeCell ref="Q103:S103"/>
    <mergeCell ref="T103:V103"/>
    <mergeCell ref="H100:P100"/>
    <mergeCell ref="Q100:S100"/>
    <mergeCell ref="T100:V100"/>
    <mergeCell ref="H101:P101"/>
    <mergeCell ref="Q101:S101"/>
    <mergeCell ref="T101:V101"/>
    <mergeCell ref="H97:P97"/>
    <mergeCell ref="Q97:S97"/>
    <mergeCell ref="AS71:AU71"/>
    <mergeCell ref="AS72:AU72"/>
    <mergeCell ref="AS73:AU73"/>
    <mergeCell ref="AS74:AU74"/>
    <mergeCell ref="AS75:AU75"/>
    <mergeCell ref="H69:V69"/>
    <mergeCell ref="X69:AJ69"/>
    <mergeCell ref="H106:P106"/>
    <mergeCell ref="Q106:S106"/>
    <mergeCell ref="T106:V106"/>
    <mergeCell ref="T97:V97"/>
    <mergeCell ref="H99:P99"/>
    <mergeCell ref="Q99:S99"/>
    <mergeCell ref="T99:V99"/>
    <mergeCell ref="H94:P94"/>
    <mergeCell ref="Q94:S94"/>
    <mergeCell ref="T94:V94"/>
    <mergeCell ref="H95:P95"/>
    <mergeCell ref="Q95:S95"/>
    <mergeCell ref="T95:V95"/>
    <mergeCell ref="H92:P92"/>
    <mergeCell ref="Q92:S92"/>
    <mergeCell ref="T92:V92"/>
    <mergeCell ref="H93:P93"/>
    <mergeCell ref="Q93:S93"/>
    <mergeCell ref="AS40:AU40"/>
    <mergeCell ref="AS41:AU41"/>
    <mergeCell ref="AS42:AU42"/>
    <mergeCell ref="AS43:AU43"/>
    <mergeCell ref="AS44:AU44"/>
    <mergeCell ref="AS45:AU45"/>
    <mergeCell ref="AL69:AU69"/>
    <mergeCell ref="AL70:AR70"/>
    <mergeCell ref="AS70:AU70"/>
  </mergeCells>
  <conditionalFormatting sqref="H2:V2">
    <cfRule type="containsText" dxfId="6" priority="1" operator="containsText" text="▲">
      <formula>NOT(ISERROR(SEARCH("▲",H2)))</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22609185-53CD-4B63-BA5A-4A8E73A6AEDC}">
            <xm:f>NOT(ISERROR(SEARCH("Select",H1)))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H1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09B7D1B-6D50-4031-B54F-AF03074BFDE8}">
          <x14:formula1>
            <xm:f>Hidden!$G$26:$G$30</xm:f>
          </x14:formula1>
          <xm:sqref>H1:V1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9DDE7-072E-4966-8B0C-C157E49C098B}">
  <sheetPr codeName="Sheet10">
    <tabColor theme="6"/>
  </sheetPr>
  <dimension ref="A1:BE109"/>
  <sheetViews>
    <sheetView zoomScale="80" zoomScaleNormal="80" workbookViewId="0"/>
  </sheetViews>
  <sheetFormatPr defaultColWidth="8.1640625" defaultRowHeight="13.8" x14ac:dyDescent="0.3"/>
  <cols>
    <col min="1" max="57" width="6.6640625" style="28" customWidth="1"/>
    <col min="58" max="16384" width="8.1640625" style="28"/>
  </cols>
  <sheetData>
    <row r="1" spans="1:57" s="57" customFormat="1" ht="30" customHeight="1" x14ac:dyDescent="0.3">
      <c r="A1" s="56"/>
      <c r="B1" s="56"/>
      <c r="C1" s="56"/>
      <c r="D1" s="56"/>
      <c r="E1" s="56"/>
      <c r="F1" s="56"/>
      <c r="G1" s="56"/>
      <c r="H1" s="238"/>
      <c r="I1" s="239"/>
      <c r="J1" s="239"/>
      <c r="K1" s="239"/>
      <c r="L1" s="239"/>
      <c r="M1" s="239"/>
      <c r="N1" s="239"/>
      <c r="O1" s="239"/>
      <c r="P1" s="239"/>
      <c r="Q1" s="239"/>
      <c r="R1" s="239"/>
      <c r="S1" s="239"/>
      <c r="T1" s="239"/>
      <c r="U1" s="239"/>
      <c r="V1" s="240"/>
      <c r="W1" s="56"/>
      <c r="X1" s="238"/>
      <c r="Y1" s="239"/>
      <c r="Z1" s="239"/>
      <c r="AA1" s="239"/>
      <c r="AB1" s="239"/>
      <c r="AC1" s="239"/>
      <c r="AD1" s="239"/>
      <c r="AE1" s="239"/>
      <c r="AF1" s="239"/>
      <c r="AG1" s="239"/>
      <c r="AH1" s="239"/>
      <c r="AI1" s="239"/>
      <c r="AJ1" s="239"/>
      <c r="AK1" s="239"/>
      <c r="AL1" s="240"/>
      <c r="AM1" s="56"/>
      <c r="AN1" s="238"/>
      <c r="AO1" s="239"/>
      <c r="AP1" s="239"/>
      <c r="AQ1" s="239"/>
      <c r="AR1" s="239"/>
      <c r="AS1" s="239"/>
      <c r="AT1" s="239"/>
      <c r="AU1" s="239"/>
      <c r="AV1" s="239"/>
      <c r="AW1" s="239"/>
      <c r="AX1" s="239"/>
      <c r="AY1" s="239"/>
      <c r="AZ1" s="239"/>
      <c r="BA1" s="239"/>
      <c r="BB1" s="240"/>
      <c r="BC1" s="56"/>
      <c r="BD1" s="56"/>
      <c r="BE1" s="56"/>
    </row>
    <row r="2" spans="1:57" s="57" customFormat="1" ht="30" customHeight="1" x14ac:dyDescent="0.3">
      <c r="A2" s="56"/>
      <c r="B2" s="56"/>
      <c r="C2" s="56"/>
      <c r="D2" s="56"/>
      <c r="E2" s="56"/>
      <c r="F2" s="56"/>
      <c r="G2" s="56"/>
      <c r="H2" s="534" t="str">
        <f>IF(ISBLANK($H$1),"▲ Select institution name from dropdown ▲",VLOOKUP($H$1,Index[],2,FALSE))</f>
        <v>▲ Select institution name from dropdown ▲</v>
      </c>
      <c r="I2" s="535"/>
      <c r="J2" s="535"/>
      <c r="K2" s="535"/>
      <c r="L2" s="535"/>
      <c r="M2" s="535"/>
      <c r="N2" s="535"/>
      <c r="O2" s="535"/>
      <c r="P2" s="535"/>
      <c r="Q2" s="535"/>
      <c r="R2" s="535"/>
      <c r="S2" s="535"/>
      <c r="T2" s="535"/>
      <c r="U2" s="535"/>
      <c r="V2" s="536"/>
      <c r="W2" s="56"/>
      <c r="X2" s="534" t="str">
        <f>IF(ISBLANK($X$1),"▲ Select institution name from dropdown ▲",VLOOKUP($X$1,Index[],2,FALSE))</f>
        <v>▲ Select institution name from dropdown ▲</v>
      </c>
      <c r="Y2" s="535"/>
      <c r="Z2" s="535"/>
      <c r="AA2" s="535"/>
      <c r="AB2" s="535"/>
      <c r="AC2" s="535"/>
      <c r="AD2" s="535"/>
      <c r="AE2" s="535"/>
      <c r="AF2" s="535"/>
      <c r="AG2" s="535"/>
      <c r="AH2" s="535"/>
      <c r="AI2" s="535"/>
      <c r="AJ2" s="535"/>
      <c r="AK2" s="535"/>
      <c r="AL2" s="536"/>
      <c r="AM2" s="56"/>
      <c r="AN2" s="534" t="str">
        <f>IF(ISBLANK($AN$1),"▲ Select institution name from dropdown ▲",VLOOKUP($AN$1,Index[],2,FALSE))</f>
        <v>▲ Select institution name from dropdown ▲</v>
      </c>
      <c r="AO2" s="535"/>
      <c r="AP2" s="535"/>
      <c r="AQ2" s="535"/>
      <c r="AR2" s="535"/>
      <c r="AS2" s="535"/>
      <c r="AT2" s="535"/>
      <c r="AU2" s="535"/>
      <c r="AV2" s="535"/>
      <c r="AW2" s="535"/>
      <c r="AX2" s="535"/>
      <c r="AY2" s="535"/>
      <c r="AZ2" s="535"/>
      <c r="BA2" s="535"/>
      <c r="BB2" s="536"/>
      <c r="BC2" s="56"/>
      <c r="BD2" s="56"/>
      <c r="BE2" s="56"/>
    </row>
    <row r="3" spans="1:57" s="57" customFormat="1" ht="30" customHeight="1" x14ac:dyDescent="0.3">
      <c r="A3" s="56"/>
      <c r="B3" s="56"/>
      <c r="C3" s="56"/>
      <c r="D3" s="56"/>
      <c r="E3" s="56"/>
      <c r="F3" s="56"/>
      <c r="G3" s="56"/>
      <c r="H3" s="244" t="s">
        <v>68</v>
      </c>
      <c r="I3" s="245"/>
      <c r="J3" s="245"/>
      <c r="K3" s="245"/>
      <c r="L3" s="245"/>
      <c r="M3" s="245"/>
      <c r="N3" s="245"/>
      <c r="O3" s="245"/>
      <c r="P3" s="245"/>
      <c r="Q3" s="245"/>
      <c r="R3" s="245"/>
      <c r="S3" s="245"/>
      <c r="T3" s="245"/>
      <c r="U3" s="245"/>
      <c r="V3" s="245"/>
      <c r="W3" s="56"/>
      <c r="X3" s="244" t="s">
        <v>68</v>
      </c>
      <c r="Y3" s="245"/>
      <c r="Z3" s="245"/>
      <c r="AA3" s="245"/>
      <c r="AB3" s="245"/>
      <c r="AC3" s="245"/>
      <c r="AD3" s="245"/>
      <c r="AE3" s="245"/>
      <c r="AF3" s="245"/>
      <c r="AG3" s="245"/>
      <c r="AH3" s="245"/>
      <c r="AI3" s="245"/>
      <c r="AJ3" s="245"/>
      <c r="AK3" s="245"/>
      <c r="AL3" s="245"/>
      <c r="AM3" s="56"/>
      <c r="AN3" s="244" t="s">
        <v>68</v>
      </c>
      <c r="AO3" s="245"/>
      <c r="AP3" s="245"/>
      <c r="AQ3" s="245"/>
      <c r="AR3" s="245"/>
      <c r="AS3" s="245"/>
      <c r="AT3" s="245"/>
      <c r="AU3" s="245"/>
      <c r="AV3" s="245"/>
      <c r="AW3" s="245"/>
      <c r="AX3" s="245"/>
      <c r="AY3" s="245"/>
      <c r="AZ3" s="245"/>
      <c r="BA3" s="245"/>
      <c r="BB3" s="245"/>
      <c r="BC3" s="56"/>
      <c r="BD3" s="56"/>
      <c r="BE3" s="56"/>
    </row>
    <row r="4" spans="1:57" s="57" customFormat="1" ht="30" customHeight="1" x14ac:dyDescent="0.4">
      <c r="A4" s="56"/>
      <c r="B4" s="56"/>
      <c r="C4" s="56"/>
      <c r="D4" s="56"/>
      <c r="E4" s="56"/>
      <c r="F4" s="56"/>
      <c r="G4" s="56"/>
      <c r="H4" s="58"/>
      <c r="I4" s="58"/>
      <c r="J4" s="58"/>
      <c r="K4" s="58"/>
      <c r="L4" s="58"/>
      <c r="M4" s="58"/>
      <c r="N4" s="58"/>
      <c r="O4" s="58"/>
      <c r="P4" s="58"/>
      <c r="Q4" s="58"/>
      <c r="R4" s="58"/>
      <c r="S4" s="58"/>
      <c r="T4" s="58"/>
      <c r="U4" s="58"/>
      <c r="V4" s="58"/>
      <c r="W4" s="56"/>
      <c r="X4" s="58"/>
      <c r="Y4" s="58"/>
      <c r="Z4" s="58"/>
      <c r="AA4" s="58"/>
      <c r="AB4" s="58"/>
      <c r="AC4" s="58"/>
      <c r="AD4" s="58"/>
      <c r="AE4" s="58"/>
      <c r="AF4" s="58"/>
      <c r="AG4" s="58"/>
      <c r="AH4" s="58"/>
      <c r="AI4" s="58"/>
      <c r="AJ4" s="58"/>
      <c r="AK4" s="58"/>
      <c r="AL4" s="58"/>
      <c r="AM4" s="56"/>
      <c r="AN4" s="58"/>
      <c r="AO4" s="58"/>
      <c r="AP4" s="58"/>
      <c r="AQ4" s="58"/>
      <c r="AR4" s="58"/>
      <c r="AS4" s="58"/>
      <c r="AT4" s="58"/>
      <c r="AU4" s="58"/>
      <c r="AV4" s="58"/>
      <c r="AW4" s="58"/>
      <c r="AX4" s="58"/>
      <c r="AY4" s="58"/>
      <c r="AZ4" s="58"/>
      <c r="BA4" s="58"/>
      <c r="BB4" s="58"/>
      <c r="BC4" s="56"/>
      <c r="BD4" s="56"/>
      <c r="BE4" s="56"/>
    </row>
    <row r="5" spans="1:57" s="57" customFormat="1" ht="30" customHeight="1" x14ac:dyDescent="0.4">
      <c r="A5" s="56"/>
      <c r="B5" s="56"/>
      <c r="C5" s="56"/>
      <c r="D5" s="56"/>
      <c r="E5" s="56"/>
      <c r="F5" s="56"/>
      <c r="G5" s="56"/>
      <c r="H5" s="58"/>
      <c r="I5" s="58"/>
      <c r="J5" s="58"/>
      <c r="K5" s="58"/>
      <c r="L5" s="58"/>
      <c r="M5" s="58"/>
      <c r="N5" s="58"/>
      <c r="O5" s="58"/>
      <c r="P5" s="58"/>
      <c r="Q5" s="58"/>
      <c r="R5" s="58"/>
      <c r="S5" s="58"/>
      <c r="T5" s="58"/>
      <c r="U5" s="58"/>
      <c r="V5" s="58"/>
      <c r="W5" s="56"/>
      <c r="X5" s="58"/>
      <c r="Y5" s="58"/>
      <c r="Z5" s="58"/>
      <c r="AA5" s="58"/>
      <c r="AB5" s="58"/>
      <c r="AC5" s="58"/>
      <c r="AD5" s="58"/>
      <c r="AE5" s="58"/>
      <c r="AF5" s="58"/>
      <c r="AG5" s="58"/>
      <c r="AH5" s="58"/>
      <c r="AI5" s="58"/>
      <c r="AJ5" s="58"/>
      <c r="AK5" s="58"/>
      <c r="AL5" s="58"/>
      <c r="AM5" s="56"/>
      <c r="AN5" s="58"/>
      <c r="AO5" s="58"/>
      <c r="AP5" s="58"/>
      <c r="AQ5" s="58"/>
      <c r="AR5" s="58"/>
      <c r="AS5" s="58"/>
      <c r="AT5" s="58"/>
      <c r="AU5" s="58"/>
      <c r="AV5" s="58"/>
      <c r="AW5" s="58"/>
      <c r="AX5" s="58"/>
      <c r="AY5" s="58"/>
      <c r="AZ5" s="58"/>
      <c r="BA5" s="58"/>
      <c r="BB5" s="58"/>
      <c r="BC5" s="56"/>
      <c r="BD5" s="56"/>
      <c r="BE5" s="56"/>
    </row>
    <row r="6" spans="1:57" s="57" customFormat="1" ht="30" customHeight="1" x14ac:dyDescent="0.4">
      <c r="A6" s="56"/>
      <c r="B6" s="56"/>
      <c r="C6" s="56"/>
      <c r="D6" s="56"/>
      <c r="E6" s="56"/>
      <c r="F6" s="56"/>
      <c r="G6" s="56"/>
      <c r="H6" s="58"/>
      <c r="I6" s="58"/>
      <c r="J6" s="58"/>
      <c r="K6" s="58"/>
      <c r="L6" s="58"/>
      <c r="M6" s="58"/>
      <c r="N6" s="58"/>
      <c r="O6" s="58"/>
      <c r="P6" s="58"/>
      <c r="Q6" s="558">
        <f>SUMIFS(Input[FTSE],Input[Institution Name],$H$1)</f>
        <v>0</v>
      </c>
      <c r="R6" s="558"/>
      <c r="S6" s="558"/>
      <c r="T6" s="559" t="s">
        <v>737</v>
      </c>
      <c r="U6" s="559"/>
      <c r="V6" s="559"/>
      <c r="W6" s="56"/>
      <c r="X6" s="58"/>
      <c r="Y6" s="58"/>
      <c r="Z6" s="58"/>
      <c r="AA6" s="58"/>
      <c r="AB6" s="58"/>
      <c r="AC6" s="58"/>
      <c r="AD6" s="58"/>
      <c r="AE6" s="58"/>
      <c r="AF6" s="58"/>
      <c r="AG6" s="558">
        <f>SUMIFS(Input[FTSE],Input[Institution Name],$X$1)</f>
        <v>0</v>
      </c>
      <c r="AH6" s="558"/>
      <c r="AI6" s="558"/>
      <c r="AJ6" s="559" t="s">
        <v>737</v>
      </c>
      <c r="AK6" s="559"/>
      <c r="AL6" s="559"/>
      <c r="AM6" s="56"/>
      <c r="AN6" s="58"/>
      <c r="AO6" s="58"/>
      <c r="AP6" s="58"/>
      <c r="AQ6" s="58"/>
      <c r="AR6" s="58"/>
      <c r="AS6" s="58"/>
      <c r="AT6" s="58"/>
      <c r="AU6" s="58"/>
      <c r="AV6" s="58"/>
      <c r="AW6" s="558">
        <f>SUMIFS(Input[FTSE],Input[Institution Name],$AN$1)</f>
        <v>0</v>
      </c>
      <c r="AX6" s="558"/>
      <c r="AY6" s="558"/>
      <c r="AZ6" s="559" t="s">
        <v>737</v>
      </c>
      <c r="BA6" s="559"/>
      <c r="BB6" s="559"/>
      <c r="BC6" s="56"/>
      <c r="BD6" s="56"/>
      <c r="BE6" s="56"/>
    </row>
    <row r="7" spans="1:57" s="57" customFormat="1" ht="30" customHeight="1" x14ac:dyDescent="0.4">
      <c r="A7" s="56"/>
      <c r="B7" s="56"/>
      <c r="C7" s="56"/>
      <c r="D7" s="56"/>
      <c r="E7" s="56"/>
      <c r="F7" s="56"/>
      <c r="G7" s="56"/>
      <c r="H7" s="94"/>
      <c r="I7" s="94"/>
      <c r="J7" s="94"/>
      <c r="K7" s="94"/>
      <c r="L7" s="94"/>
      <c r="M7" s="94"/>
      <c r="N7" s="94"/>
      <c r="O7" s="94"/>
      <c r="P7" s="94"/>
      <c r="Q7" s="94"/>
      <c r="R7" s="94"/>
      <c r="S7" s="94"/>
      <c r="T7" s="94"/>
      <c r="U7" s="94"/>
      <c r="V7" s="94"/>
      <c r="W7" s="56"/>
      <c r="X7" s="94"/>
      <c r="Y7" s="94"/>
      <c r="Z7" s="94"/>
      <c r="AA7" s="94"/>
      <c r="AB7" s="94"/>
      <c r="AC7" s="94"/>
      <c r="AD7" s="94"/>
      <c r="AE7" s="94"/>
      <c r="AF7" s="94"/>
      <c r="AG7" s="94"/>
      <c r="AH7" s="94"/>
      <c r="AI7" s="94"/>
      <c r="AJ7" s="94"/>
      <c r="AK7" s="94"/>
      <c r="AL7" s="94"/>
      <c r="AM7" s="56"/>
      <c r="AN7" s="94"/>
      <c r="AO7" s="94"/>
      <c r="AP7" s="94"/>
      <c r="AQ7" s="94"/>
      <c r="AR7" s="94"/>
      <c r="AS7" s="94"/>
      <c r="AT7" s="94"/>
      <c r="AU7" s="94"/>
      <c r="AV7" s="94"/>
      <c r="AW7" s="94"/>
      <c r="AX7" s="94"/>
      <c r="AY7" s="94"/>
      <c r="AZ7" s="94"/>
      <c r="BA7" s="94"/>
      <c r="BB7" s="94"/>
      <c r="BC7" s="56"/>
      <c r="BD7" s="56"/>
      <c r="BE7" s="56"/>
    </row>
    <row r="8" spans="1:57" s="57" customFormat="1" ht="30" customHeight="1" x14ac:dyDescent="0.3">
      <c r="A8" s="56"/>
      <c r="B8" s="56"/>
      <c r="C8" s="56"/>
      <c r="D8" s="56"/>
      <c r="E8" s="56"/>
      <c r="F8" s="56"/>
      <c r="G8" s="56"/>
      <c r="H8" s="301" t="s">
        <v>875</v>
      </c>
      <c r="I8" s="302"/>
      <c r="J8" s="302"/>
      <c r="K8" s="302"/>
      <c r="L8" s="302"/>
      <c r="M8" s="302"/>
      <c r="N8" s="302"/>
      <c r="O8" s="302"/>
      <c r="P8" s="302"/>
      <c r="Q8" s="302"/>
      <c r="R8" s="302"/>
      <c r="S8" s="302"/>
      <c r="T8" s="302"/>
      <c r="U8" s="302"/>
      <c r="V8" s="303"/>
      <c r="W8" s="56"/>
      <c r="X8" s="301" t="s">
        <v>875</v>
      </c>
      <c r="Y8" s="302"/>
      <c r="Z8" s="302"/>
      <c r="AA8" s="302"/>
      <c r="AB8" s="302"/>
      <c r="AC8" s="302"/>
      <c r="AD8" s="302"/>
      <c r="AE8" s="302"/>
      <c r="AF8" s="302"/>
      <c r="AG8" s="302"/>
      <c r="AH8" s="302"/>
      <c r="AI8" s="302"/>
      <c r="AJ8" s="302"/>
      <c r="AK8" s="302"/>
      <c r="AL8" s="303"/>
      <c r="AM8" s="59"/>
      <c r="AN8" s="301" t="s">
        <v>875</v>
      </c>
      <c r="AO8" s="302"/>
      <c r="AP8" s="302"/>
      <c r="AQ8" s="302"/>
      <c r="AR8" s="302"/>
      <c r="AS8" s="302"/>
      <c r="AT8" s="302"/>
      <c r="AU8" s="302"/>
      <c r="AV8" s="302"/>
      <c r="AW8" s="302"/>
      <c r="AX8" s="302"/>
      <c r="AY8" s="302"/>
      <c r="AZ8" s="302"/>
      <c r="BA8" s="302"/>
      <c r="BB8" s="303"/>
      <c r="BC8" s="56"/>
      <c r="BD8" s="56"/>
      <c r="BE8" s="56"/>
    </row>
    <row r="9" spans="1:57" s="57" customFormat="1" ht="30" customHeight="1" x14ac:dyDescent="0.3">
      <c r="A9" s="56"/>
      <c r="B9" s="56"/>
      <c r="C9" s="56"/>
      <c r="D9" s="56"/>
      <c r="E9" s="56"/>
      <c r="F9" s="56"/>
      <c r="G9" s="56"/>
      <c r="H9" s="554" t="s">
        <v>65</v>
      </c>
      <c r="I9" s="555"/>
      <c r="J9" s="555"/>
      <c r="K9" s="555"/>
      <c r="L9" s="555"/>
      <c r="M9" s="555"/>
      <c r="N9" s="555"/>
      <c r="O9" s="555"/>
      <c r="P9" s="555"/>
      <c r="Q9" s="556" t="s">
        <v>981</v>
      </c>
      <c r="R9" s="556"/>
      <c r="S9" s="556"/>
      <c r="T9" s="556" t="s">
        <v>982</v>
      </c>
      <c r="U9" s="556"/>
      <c r="V9" s="557"/>
      <c r="W9" s="56"/>
      <c r="X9" s="554" t="s">
        <v>65</v>
      </c>
      <c r="Y9" s="555"/>
      <c r="Z9" s="555"/>
      <c r="AA9" s="555"/>
      <c r="AB9" s="555"/>
      <c r="AC9" s="555"/>
      <c r="AD9" s="555"/>
      <c r="AE9" s="555"/>
      <c r="AF9" s="555"/>
      <c r="AG9" s="556" t="s">
        <v>981</v>
      </c>
      <c r="AH9" s="556"/>
      <c r="AI9" s="556"/>
      <c r="AJ9" s="556" t="s">
        <v>982</v>
      </c>
      <c r="AK9" s="556"/>
      <c r="AL9" s="557"/>
      <c r="AM9" s="59"/>
      <c r="AN9" s="554" t="s">
        <v>65</v>
      </c>
      <c r="AO9" s="555"/>
      <c r="AP9" s="555"/>
      <c r="AQ9" s="555"/>
      <c r="AR9" s="555"/>
      <c r="AS9" s="555"/>
      <c r="AT9" s="555"/>
      <c r="AU9" s="555"/>
      <c r="AV9" s="555"/>
      <c r="AW9" s="556" t="s">
        <v>981</v>
      </c>
      <c r="AX9" s="556"/>
      <c r="AY9" s="556"/>
      <c r="AZ9" s="556" t="s">
        <v>982</v>
      </c>
      <c r="BA9" s="556"/>
      <c r="BB9" s="557"/>
      <c r="BC9" s="56"/>
      <c r="BD9" s="56"/>
      <c r="BE9" s="56"/>
    </row>
    <row r="10" spans="1:57" s="57" customFormat="1" ht="30" customHeight="1" x14ac:dyDescent="0.3">
      <c r="A10" s="56"/>
      <c r="B10" s="56"/>
      <c r="C10" s="56"/>
      <c r="D10" s="56"/>
      <c r="E10" s="56"/>
      <c r="F10" s="56"/>
      <c r="G10" s="56"/>
      <c r="H10" s="483" t="s">
        <v>885</v>
      </c>
      <c r="I10" s="247"/>
      <c r="J10" s="247"/>
      <c r="K10" s="247"/>
      <c r="L10" s="247"/>
      <c r="M10" s="247"/>
      <c r="N10" s="247"/>
      <c r="O10" s="247"/>
      <c r="P10" s="248"/>
      <c r="Q10" s="258">
        <f>SUMIFS(Input[St. Ap. E &amp; G],Input[Institution Name],$H$1)+SUMIFS(Input[St. Ap. Desg],Input[Institution Name],$H$1)+SUMIFS(Input[St. Ap. Aux],Input[Institution Name],$H$1)+SUMIFS(Input[St. Ap. R Exp],Input[Institution Name],$H$1)+SUMIFS(Input[St. Ap. Loan],Input[Institution Name],$H$1)+SUMIFS(Input[St. Ap. Annuity],Input[Institution Name],$H$1)+SUMIFS(Input[St. Ap. Unexp],Input[Institution Name],$H$1)+SUMIFS(Input[St. Ap. R of Ind],Input[Institution Name],$H$1)+SUMIFS(Input[St. Ap. Inv in P],Input[Institution Name],$H$1)</f>
        <v>0</v>
      </c>
      <c r="R10" s="258"/>
      <c r="S10" s="258"/>
      <c r="T10" s="258">
        <f>IFERROR(ROUND(Q10/$Q$6,0),0)</f>
        <v>0</v>
      </c>
      <c r="U10" s="258"/>
      <c r="V10" s="357"/>
      <c r="W10" s="56"/>
      <c r="X10" s="483" t="s">
        <v>885</v>
      </c>
      <c r="Y10" s="247"/>
      <c r="Z10" s="247"/>
      <c r="AA10" s="247"/>
      <c r="AB10" s="247"/>
      <c r="AC10" s="247"/>
      <c r="AD10" s="247"/>
      <c r="AE10" s="247"/>
      <c r="AF10" s="248"/>
      <c r="AG10" s="258">
        <f>SUMIFS(Input[St. Ap. E &amp; G],Input[Institution Name],$X$1)+SUMIFS(Input[St. Ap. Desg],Input[Institution Name],$X$1)+SUMIFS(Input[St. Ap. Aux],Input[Institution Name],$X$1)+SUMIFS(Input[St. Ap. R Exp],Input[Institution Name],$X$1)+SUMIFS(Input[St. Ap. Loan],Input[Institution Name],$X$1)+SUMIFS(Input[St. Ap. Annuity],Input[Institution Name],$X$1)+SUMIFS(Input[St. Ap. Unexp],Input[Institution Name],$X$1)+SUMIFS(Input[St. Ap. R of Ind],Input[Institution Name],$X$1)+SUMIFS(Input[St. Ap. Inv in P],Input[Institution Name],$X$1)</f>
        <v>0</v>
      </c>
      <c r="AH10" s="258"/>
      <c r="AI10" s="258"/>
      <c r="AJ10" s="258">
        <f>IFERROR(ROUND(AG10/$AG$6,0),0)</f>
        <v>0</v>
      </c>
      <c r="AK10" s="258"/>
      <c r="AL10" s="357"/>
      <c r="AM10" s="59"/>
      <c r="AN10" s="483" t="s">
        <v>885</v>
      </c>
      <c r="AO10" s="247"/>
      <c r="AP10" s="247"/>
      <c r="AQ10" s="247"/>
      <c r="AR10" s="247"/>
      <c r="AS10" s="247"/>
      <c r="AT10" s="247"/>
      <c r="AU10" s="247"/>
      <c r="AV10" s="248"/>
      <c r="AW10" s="258">
        <f>SUMIFS(Input[St. Ap. E &amp; G],Input[Institution Name],$AN$1)+SUMIFS(Input[St. Ap. Desg],Input[Institution Name],$AN$1)+SUMIFS(Input[St. Ap. Aux],Input[Institution Name],$AN$1)+SUMIFS(Input[St. Ap. R Exp],Input[Institution Name],$AN$1)+SUMIFS(Input[St. Ap. Loan],Input[Institution Name],$AN$1)+SUMIFS(Input[St. Ap. Annuity],Input[Institution Name],$AN$1)+SUMIFS(Input[St. Ap. Unexp],Input[Institution Name],$AN$1)+SUMIFS(Input[St. Ap. R of Ind],Input[Institution Name],$AN$1)+SUMIFS(Input[St. Ap. Inv in P],Input[Institution Name],$AN$1)</f>
        <v>0</v>
      </c>
      <c r="AX10" s="258"/>
      <c r="AY10" s="258"/>
      <c r="AZ10" s="258">
        <f>IFERROR(ROUND(AW10/$AW$6,0),0)</f>
        <v>0</v>
      </c>
      <c r="BA10" s="258"/>
      <c r="BB10" s="357"/>
      <c r="BC10" s="56"/>
      <c r="BD10" s="56"/>
      <c r="BE10" s="56"/>
    </row>
    <row r="11" spans="1:57" s="57" customFormat="1" ht="30" customHeight="1" x14ac:dyDescent="0.3">
      <c r="A11" s="56"/>
      <c r="B11" s="56"/>
      <c r="C11" s="56"/>
      <c r="D11" s="56"/>
      <c r="E11" s="56"/>
      <c r="F11" s="56"/>
      <c r="G11" s="56"/>
      <c r="H11" s="306" t="s">
        <v>886</v>
      </c>
      <c r="I11" s="255"/>
      <c r="J11" s="255"/>
      <c r="K11" s="255"/>
      <c r="L11" s="255"/>
      <c r="M11" s="255"/>
      <c r="N11" s="255"/>
      <c r="O11" s="255"/>
      <c r="P11" s="256"/>
      <c r="Q11" s="260">
        <f>SUMIFS(Input[St. C&amp;G E&amp;G],Input[Institution Name],$H$1)+SUMIFS(Input[St. C&amp;G Desg],Input[Institution Name],$H$1)+SUMIFS(Input[St. C&amp;G Aux],Input[Institution Name],$H$1)+SUMIFS(Input[St. C&amp;G R Exp],Input[Institution Name],$H$1)+SUMIFS(Input[St. C&amp;G Loan],Input[Institution Name],$H$1)+SUMIFS(Input[St. C&amp;G Annuity],Input[Institution Name],$H$1)+SUMIFS(Input[St. C&amp;G Unexp],Input[Institution Name],$H$1)+SUMIFS(Input[St. C&amp;G R of Ind],Input[Institution Name],$H$1)+SUMIFS(Input[St. C&amp;G Inv in P],Input[Institution Name],$H$1)</f>
        <v>0</v>
      </c>
      <c r="R11" s="260"/>
      <c r="S11" s="260"/>
      <c r="T11" s="260">
        <f>IFERROR(ROUND(Q11/$Q$6,0),0)</f>
        <v>0</v>
      </c>
      <c r="U11" s="260"/>
      <c r="V11" s="308"/>
      <c r="W11" s="56"/>
      <c r="X11" s="306" t="s">
        <v>886</v>
      </c>
      <c r="Y11" s="255"/>
      <c r="Z11" s="255"/>
      <c r="AA11" s="255"/>
      <c r="AB11" s="255"/>
      <c r="AC11" s="255"/>
      <c r="AD11" s="255"/>
      <c r="AE11" s="255"/>
      <c r="AF11" s="256"/>
      <c r="AG11" s="260">
        <f>SUMIFS(Input[St. C&amp;G E&amp;G],Input[Institution Name],$X$1)+SUMIFS(Input[St. C&amp;G Desg],Input[Institution Name],$X$1)+SUMIFS(Input[St. C&amp;G Aux],Input[Institution Name],$X$1)+SUMIFS(Input[St. C&amp;G R Exp],Input[Institution Name],$X$1)+SUMIFS(Input[St. C&amp;G Loan],Input[Institution Name],$X$1)+SUMIFS(Input[St. C&amp;G Annuity],Input[Institution Name],$X$1)+SUMIFS(Input[St. C&amp;G Unexp],Input[Institution Name],$X$1)+SUMIFS(Input[St. C&amp;G R of Ind],Input[Institution Name],$X$1)+SUMIFS(Input[St. C&amp;G Inv in P],Input[Institution Name],$X$1)</f>
        <v>0</v>
      </c>
      <c r="AH11" s="260"/>
      <c r="AI11" s="260"/>
      <c r="AJ11" s="260">
        <f>IFERROR(ROUND(AG11/$AG$6,0),0)</f>
        <v>0</v>
      </c>
      <c r="AK11" s="260"/>
      <c r="AL11" s="308"/>
      <c r="AM11" s="59"/>
      <c r="AN11" s="306" t="s">
        <v>886</v>
      </c>
      <c r="AO11" s="255"/>
      <c r="AP11" s="255"/>
      <c r="AQ11" s="255"/>
      <c r="AR11" s="255"/>
      <c r="AS11" s="255"/>
      <c r="AT11" s="255"/>
      <c r="AU11" s="255"/>
      <c r="AV11" s="256"/>
      <c r="AW11" s="260">
        <f>SUMIFS(Input[St. C&amp;G E&amp;G],Input[Institution Name],$AN$1)+SUMIFS(Input[St. C&amp;G Desg],Input[Institution Name],$AN$1)+SUMIFS(Input[St. C&amp;G Aux],Input[Institution Name],$AN$1)+SUMIFS(Input[St. C&amp;G R Exp],Input[Institution Name],$AN$1)+SUMIFS(Input[St. C&amp;G Loan],Input[Institution Name],$AN$1)+SUMIFS(Input[St. C&amp;G Annuity],Input[Institution Name],$AN$1)+SUMIFS(Input[St. C&amp;G Unexp],Input[Institution Name],$AN$1)+SUMIFS(Input[St. C&amp;G R of Ind],Input[Institution Name],$AN$1)+SUMIFS(Input[St. C&amp;G Inv in P],Input[Institution Name],$AN$1)</f>
        <v>0</v>
      </c>
      <c r="AX11" s="260"/>
      <c r="AY11" s="260"/>
      <c r="AZ11" s="260">
        <f>IFERROR(ROUND(AW11/$AW$6,0),0)</f>
        <v>0</v>
      </c>
      <c r="BA11" s="260"/>
      <c r="BB11" s="308"/>
      <c r="BC11" s="56"/>
      <c r="BD11" s="56"/>
      <c r="BE11" s="56"/>
    </row>
    <row r="12" spans="1:57" s="57" customFormat="1" ht="30" customHeight="1" x14ac:dyDescent="0.3">
      <c r="A12" s="56"/>
      <c r="B12" s="56"/>
      <c r="C12" s="56"/>
      <c r="D12" s="56"/>
      <c r="E12" s="56"/>
      <c r="F12" s="56"/>
      <c r="G12" s="56"/>
      <c r="H12" s="306" t="s">
        <v>887</v>
      </c>
      <c r="I12" s="255"/>
      <c r="J12" s="255"/>
      <c r="K12" s="255"/>
      <c r="L12" s="255"/>
      <c r="M12" s="255"/>
      <c r="N12" s="255"/>
      <c r="O12" s="255"/>
      <c r="P12" s="256"/>
      <c r="Q12" s="260">
        <f>SUMIFS(Input[HEF E&amp;G],Input[Institution Name],$H$1)+SUMIFS(Input[HEF Desg],Input[Institution Name],$H$1)+SUMIFS(Input[HEF Aux],Input[Institution Name],$H$1)+SUMIFS(Input[HEF R Exp],Input[Institution Name],$H$1)+SUMIFS(Input[HEF Loan],Input[Institution Name],$H$1)+SUMIFS(Input[HEF Annuity],Input[Institution Name],$H$1)+SUMIFS(Input[HEF Unexp],Input[Institution Name],$H$1)+SUMIFS(Input[HEF R of Ind],Input[Institution Name],$H$1)+SUMIFS(Input[HEF Inv in P],Input[Institution Name],$H$1)</f>
        <v>0</v>
      </c>
      <c r="R12" s="260"/>
      <c r="S12" s="260"/>
      <c r="T12" s="260">
        <f>IFERROR(ROUND(Q12/$Q$6,0),0)</f>
        <v>0</v>
      </c>
      <c r="U12" s="260"/>
      <c r="V12" s="308"/>
      <c r="W12" s="56"/>
      <c r="X12" s="306" t="s">
        <v>887</v>
      </c>
      <c r="Y12" s="255"/>
      <c r="Z12" s="255"/>
      <c r="AA12" s="255"/>
      <c r="AB12" s="255"/>
      <c r="AC12" s="255"/>
      <c r="AD12" s="255"/>
      <c r="AE12" s="255"/>
      <c r="AF12" s="256"/>
      <c r="AG12" s="260">
        <f>SUMIFS(Input[HEF E&amp;G],Input[Institution Name],$X$1)+SUMIFS(Input[HEF Desg],Input[Institution Name],$X$1)+SUMIFS(Input[HEF Aux],Input[Institution Name],$X$1)+SUMIFS(Input[HEF R Exp],Input[Institution Name],$X$1)+SUMIFS(Input[HEF Loan],Input[Institution Name],$X$1)+SUMIFS(Input[HEF Annuity],Input[Institution Name],$X$1)+SUMIFS(Input[HEF Unexp],Input[Institution Name],$X$1)+SUMIFS(Input[HEF R of Ind],Input[Institution Name],$X$1)+SUMIFS(Input[HEF Inv in P],Input[Institution Name],$X$1)</f>
        <v>0</v>
      </c>
      <c r="AH12" s="260"/>
      <c r="AI12" s="260"/>
      <c r="AJ12" s="260">
        <f>IFERROR(ROUND(AG12/$AG$6,0),0)</f>
        <v>0</v>
      </c>
      <c r="AK12" s="260"/>
      <c r="AL12" s="308"/>
      <c r="AM12" s="59"/>
      <c r="AN12" s="306" t="s">
        <v>887</v>
      </c>
      <c r="AO12" s="255"/>
      <c r="AP12" s="255"/>
      <c r="AQ12" s="255"/>
      <c r="AR12" s="255"/>
      <c r="AS12" s="255"/>
      <c r="AT12" s="255"/>
      <c r="AU12" s="255"/>
      <c r="AV12" s="256"/>
      <c r="AW12" s="260">
        <f>SUMIFS(Input[HEF E&amp;G],Input[Institution Name],$AN$1)+SUMIFS(Input[HEF Desg],Input[Institution Name],$AN$1)+SUMIFS(Input[HEF Aux],Input[Institution Name],$AN$1)+SUMIFS(Input[HEF R Exp],Input[Institution Name],$AN$1)+SUMIFS(Input[HEF Loan],Input[Institution Name],$AN$1)+SUMIFS(Input[HEF Annuity],Input[Institution Name],$AN$1)+SUMIFS(Input[HEF Unexp],Input[Institution Name],$AN$1)+SUMIFS(Input[HEF R of Ind],Input[Institution Name],$AN$1)+SUMIFS(Input[HEF Inv in P],Input[Institution Name],$AN$1)</f>
        <v>0</v>
      </c>
      <c r="AX12" s="260"/>
      <c r="AY12" s="260"/>
      <c r="AZ12" s="260">
        <f>IFERROR(ROUND(AW12/$AW$6,0),0)</f>
        <v>0</v>
      </c>
      <c r="BA12" s="260"/>
      <c r="BB12" s="308"/>
      <c r="BC12" s="56"/>
      <c r="BD12" s="56"/>
      <c r="BE12" s="56"/>
    </row>
    <row r="13" spans="1:57" s="57" customFormat="1" ht="30" customHeight="1" x14ac:dyDescent="0.3">
      <c r="A13" s="56"/>
      <c r="B13" s="56"/>
      <c r="C13" s="56"/>
      <c r="D13" s="56"/>
      <c r="E13" s="56"/>
      <c r="F13" s="56"/>
      <c r="G13" s="56"/>
      <c r="H13" s="326" t="s">
        <v>888</v>
      </c>
      <c r="I13" s="266"/>
      <c r="J13" s="266"/>
      <c r="K13" s="266"/>
      <c r="L13" s="266"/>
      <c r="M13" s="266"/>
      <c r="N13" s="266"/>
      <c r="O13" s="266"/>
      <c r="P13" s="267"/>
      <c r="Q13" s="260">
        <f>SUMIFS(Input[Available E&amp;G],Input[Institution Name],$H$1)+SUMIFS(Input[Available Desg],Input[Institution Name],$H$1)+SUMIFS(Input[Available Aux],Input[Institution Name],$H$1)+SUMIFS(Input[Available R Exp],Input[Institution Name],$H$1)+SUMIFS(Input[Available Loan],Input[Institution Name],$H$1)+SUMIFS(Input[Available Annuity],Input[Institution Name],$H$1)+SUMIFS(Input[Available Unexp],Input[Institution Name],$H$1)+SUMIFS(Input[Available R of Ind],Input[Institution Name],$H$1)+SUMIFS(Input[Available Inv in P],Input[Institution Name],$H$1)</f>
        <v>0</v>
      </c>
      <c r="R13" s="260"/>
      <c r="S13" s="260"/>
      <c r="T13" s="260">
        <f>IFERROR(ROUND(Q13/$Q$6,0),0)</f>
        <v>0</v>
      </c>
      <c r="U13" s="260"/>
      <c r="V13" s="308"/>
      <c r="W13" s="56"/>
      <c r="X13" s="326" t="s">
        <v>888</v>
      </c>
      <c r="Y13" s="266"/>
      <c r="Z13" s="266"/>
      <c r="AA13" s="266"/>
      <c r="AB13" s="266"/>
      <c r="AC13" s="266"/>
      <c r="AD13" s="266"/>
      <c r="AE13" s="266"/>
      <c r="AF13" s="267"/>
      <c r="AG13" s="260">
        <f>SUMIFS(Input[Available E&amp;G],Input[Institution Name],$X$1)+SUMIFS(Input[Available Desg],Input[Institution Name],$X$1)+SUMIFS(Input[Available Aux],Input[Institution Name],$X$1)+SUMIFS(Input[Available R Exp],Input[Institution Name],$X$1)+SUMIFS(Input[Available Loan],Input[Institution Name],$X$1)+SUMIFS(Input[Available Annuity],Input[Institution Name],$X$1)+SUMIFS(Input[Available Unexp],Input[Institution Name],$X$1)+SUMIFS(Input[Available R of Ind],Input[Institution Name],$X$1)+SUMIFS(Input[Available Inv in P],Input[Institution Name],$X$1)</f>
        <v>0</v>
      </c>
      <c r="AH13" s="260"/>
      <c r="AI13" s="260"/>
      <c r="AJ13" s="260">
        <f>IFERROR(ROUND(AG13/$AG$6,0),0)</f>
        <v>0</v>
      </c>
      <c r="AK13" s="260"/>
      <c r="AL13" s="308"/>
      <c r="AM13" s="59"/>
      <c r="AN13" s="326" t="s">
        <v>888</v>
      </c>
      <c r="AO13" s="266"/>
      <c r="AP13" s="266"/>
      <c r="AQ13" s="266"/>
      <c r="AR13" s="266"/>
      <c r="AS13" s="266"/>
      <c r="AT13" s="266"/>
      <c r="AU13" s="266"/>
      <c r="AV13" s="267"/>
      <c r="AW13" s="260">
        <f>SUMIFS(Input[Available E&amp;G],Input[Institution Name],$AN$1)+SUMIFS(Input[Available Desg],Input[Institution Name],$AN$1)+SUMIFS(Input[Available Aux],Input[Institution Name],$AN$1)+SUMIFS(Input[Available R Exp],Input[Institution Name],$AN$1)+SUMIFS(Input[Available Loan],Input[Institution Name],$AN$1)+SUMIFS(Input[Available Annuity],Input[Institution Name],$AN$1)+SUMIFS(Input[Available Unexp],Input[Institution Name],$AN$1)+SUMIFS(Input[Available R of Ind],Input[Institution Name],$AN$1)+SUMIFS(Input[Available Inv in P],Input[Institution Name],$AN$1)</f>
        <v>0</v>
      </c>
      <c r="AX13" s="260"/>
      <c r="AY13" s="260"/>
      <c r="AZ13" s="260">
        <f>IFERROR(ROUND(AW13/$AW$6,0),0)</f>
        <v>0</v>
      </c>
      <c r="BA13" s="260"/>
      <c r="BB13" s="308"/>
      <c r="BC13" s="56"/>
      <c r="BD13" s="56"/>
      <c r="BE13" s="56"/>
    </row>
    <row r="14" spans="1:57" s="57" customFormat="1" ht="30" customHeight="1" x14ac:dyDescent="0.3">
      <c r="A14" s="56"/>
      <c r="B14" s="56"/>
      <c r="C14" s="56"/>
      <c r="D14" s="56"/>
      <c r="E14" s="56"/>
      <c r="F14" s="56"/>
      <c r="G14" s="56"/>
      <c r="H14" s="323" t="s">
        <v>889</v>
      </c>
      <c r="I14" s="324"/>
      <c r="J14" s="324"/>
      <c r="K14" s="324"/>
      <c r="L14" s="324"/>
      <c r="M14" s="324"/>
      <c r="N14" s="324"/>
      <c r="O14" s="324"/>
      <c r="P14" s="324"/>
      <c r="Q14" s="329">
        <f>SUM(Q10:S13)</f>
        <v>0</v>
      </c>
      <c r="R14" s="329"/>
      <c r="S14" s="329"/>
      <c r="T14" s="329">
        <f>SUM(T10:V13)</f>
        <v>0</v>
      </c>
      <c r="U14" s="329"/>
      <c r="V14" s="330"/>
      <c r="W14" s="56"/>
      <c r="X14" s="323" t="s">
        <v>889</v>
      </c>
      <c r="Y14" s="324"/>
      <c r="Z14" s="324"/>
      <c r="AA14" s="324"/>
      <c r="AB14" s="324"/>
      <c r="AC14" s="324"/>
      <c r="AD14" s="324"/>
      <c r="AE14" s="324"/>
      <c r="AF14" s="324"/>
      <c r="AG14" s="329">
        <f>SUM(AG10:AI13)</f>
        <v>0</v>
      </c>
      <c r="AH14" s="329"/>
      <c r="AI14" s="329"/>
      <c r="AJ14" s="329">
        <f>SUM(AJ10:AL13)</f>
        <v>0</v>
      </c>
      <c r="AK14" s="329"/>
      <c r="AL14" s="330"/>
      <c r="AM14" s="59"/>
      <c r="AN14" s="323" t="s">
        <v>889</v>
      </c>
      <c r="AO14" s="324"/>
      <c r="AP14" s="324"/>
      <c r="AQ14" s="324"/>
      <c r="AR14" s="324"/>
      <c r="AS14" s="324"/>
      <c r="AT14" s="324"/>
      <c r="AU14" s="324"/>
      <c r="AV14" s="324"/>
      <c r="AW14" s="329">
        <f>SUM(AW10:AY13)</f>
        <v>0</v>
      </c>
      <c r="AX14" s="329"/>
      <c r="AY14" s="329"/>
      <c r="AZ14" s="329">
        <f>SUM(AZ10:BB13)</f>
        <v>0</v>
      </c>
      <c r="BA14" s="329"/>
      <c r="BB14" s="330"/>
      <c r="BC14" s="56"/>
      <c r="BD14" s="56"/>
      <c r="BE14" s="56"/>
    </row>
    <row r="15" spans="1:57" s="57" customFormat="1" ht="30" customHeight="1" x14ac:dyDescent="0.3">
      <c r="A15" s="56"/>
      <c r="B15" s="56"/>
      <c r="C15" s="56"/>
      <c r="D15" s="56"/>
      <c r="E15" s="56"/>
      <c r="F15" s="56"/>
      <c r="G15" s="56"/>
      <c r="H15" s="60"/>
      <c r="I15" s="60"/>
      <c r="J15" s="60"/>
      <c r="K15" s="60"/>
      <c r="L15" s="60"/>
      <c r="M15" s="60"/>
      <c r="N15" s="60"/>
      <c r="O15" s="60"/>
      <c r="P15" s="60"/>
      <c r="Q15" s="61"/>
      <c r="R15" s="61"/>
      <c r="S15" s="61"/>
      <c r="T15" s="61"/>
      <c r="U15" s="61"/>
      <c r="V15" s="61"/>
      <c r="W15" s="56"/>
      <c r="X15" s="60"/>
      <c r="Y15" s="60"/>
      <c r="Z15" s="60"/>
      <c r="AA15" s="60"/>
      <c r="AB15" s="60"/>
      <c r="AC15" s="60"/>
      <c r="AD15" s="60"/>
      <c r="AE15" s="60"/>
      <c r="AF15" s="60"/>
      <c r="AG15" s="61"/>
      <c r="AH15" s="61"/>
      <c r="AI15" s="61"/>
      <c r="AJ15" s="61"/>
      <c r="AK15" s="61"/>
      <c r="AL15" s="61"/>
      <c r="AM15" s="59"/>
      <c r="AN15" s="60"/>
      <c r="AO15" s="60"/>
      <c r="AP15" s="60"/>
      <c r="AQ15" s="60"/>
      <c r="AR15" s="60"/>
      <c r="AS15" s="60"/>
      <c r="AT15" s="60"/>
      <c r="AU15" s="60"/>
      <c r="AV15" s="60"/>
      <c r="AW15" s="61"/>
      <c r="AX15" s="61"/>
      <c r="AY15" s="61"/>
      <c r="AZ15" s="61"/>
      <c r="BA15" s="61"/>
      <c r="BB15" s="61"/>
      <c r="BC15" s="56"/>
      <c r="BD15" s="56"/>
      <c r="BE15" s="56"/>
    </row>
    <row r="16" spans="1:57" s="57" customFormat="1" ht="30" customHeight="1" x14ac:dyDescent="0.3">
      <c r="A16" s="56"/>
      <c r="B16" s="56"/>
      <c r="C16" s="56"/>
      <c r="D16" s="56"/>
      <c r="E16" s="56"/>
      <c r="F16" s="56"/>
      <c r="G16" s="56"/>
      <c r="H16" s="560" t="s">
        <v>890</v>
      </c>
      <c r="I16" s="561"/>
      <c r="J16" s="561"/>
      <c r="K16" s="561"/>
      <c r="L16" s="561"/>
      <c r="M16" s="561"/>
      <c r="N16" s="561"/>
      <c r="O16" s="561"/>
      <c r="P16" s="561"/>
      <c r="Q16" s="562" t="s">
        <v>981</v>
      </c>
      <c r="R16" s="562"/>
      <c r="S16" s="562"/>
      <c r="T16" s="562" t="s">
        <v>982</v>
      </c>
      <c r="U16" s="562"/>
      <c r="V16" s="563"/>
      <c r="W16" s="56"/>
      <c r="X16" s="560" t="s">
        <v>890</v>
      </c>
      <c r="Y16" s="561"/>
      <c r="Z16" s="561"/>
      <c r="AA16" s="561"/>
      <c r="AB16" s="561"/>
      <c r="AC16" s="561"/>
      <c r="AD16" s="561"/>
      <c r="AE16" s="561"/>
      <c r="AF16" s="561"/>
      <c r="AG16" s="562" t="s">
        <v>981</v>
      </c>
      <c r="AH16" s="562"/>
      <c r="AI16" s="562"/>
      <c r="AJ16" s="562" t="s">
        <v>982</v>
      </c>
      <c r="AK16" s="562"/>
      <c r="AL16" s="563"/>
      <c r="AM16" s="59"/>
      <c r="AN16" s="560" t="s">
        <v>890</v>
      </c>
      <c r="AO16" s="561"/>
      <c r="AP16" s="561"/>
      <c r="AQ16" s="561"/>
      <c r="AR16" s="561"/>
      <c r="AS16" s="561"/>
      <c r="AT16" s="561"/>
      <c r="AU16" s="561"/>
      <c r="AV16" s="561"/>
      <c r="AW16" s="562" t="s">
        <v>981</v>
      </c>
      <c r="AX16" s="562"/>
      <c r="AY16" s="562"/>
      <c r="AZ16" s="562" t="s">
        <v>982</v>
      </c>
      <c r="BA16" s="562"/>
      <c r="BB16" s="563"/>
      <c r="BC16" s="56"/>
      <c r="BD16" s="56"/>
      <c r="BE16" s="56"/>
    </row>
    <row r="17" spans="1:57" s="57" customFormat="1" ht="30" customHeight="1" x14ac:dyDescent="0.3">
      <c r="A17" s="56"/>
      <c r="B17" s="56"/>
      <c r="C17" s="56"/>
      <c r="D17" s="56"/>
      <c r="E17" s="56"/>
      <c r="F17" s="56"/>
      <c r="G17" s="56"/>
      <c r="H17" s="509" t="s">
        <v>891</v>
      </c>
      <c r="I17" s="510"/>
      <c r="J17" s="510"/>
      <c r="K17" s="510"/>
      <c r="L17" s="510"/>
      <c r="M17" s="510"/>
      <c r="N17" s="510"/>
      <c r="O17" s="510"/>
      <c r="P17" s="511"/>
      <c r="Q17" s="269" cm="1">
        <f t="array" ref="Q17">SUM(Q23:S23,-Q19:S22)</f>
        <v>0</v>
      </c>
      <c r="R17" s="269"/>
      <c r="S17" s="269"/>
      <c r="T17" s="258">
        <f>IFERROR(ROUND(Q17/$Q$6,0),0)</f>
        <v>0</v>
      </c>
      <c r="U17" s="258"/>
      <c r="V17" s="357"/>
      <c r="W17" s="56"/>
      <c r="X17" s="509" t="s">
        <v>891</v>
      </c>
      <c r="Y17" s="510"/>
      <c r="Z17" s="510"/>
      <c r="AA17" s="510"/>
      <c r="AB17" s="510"/>
      <c r="AC17" s="510"/>
      <c r="AD17" s="510"/>
      <c r="AE17" s="510"/>
      <c r="AF17" s="511"/>
      <c r="AG17" s="269" cm="1">
        <f t="array" ref="AG17">SUM(AG23:AI23,-AG19:AI22)</f>
        <v>0</v>
      </c>
      <c r="AH17" s="269"/>
      <c r="AI17" s="269"/>
      <c r="AJ17" s="258">
        <f>IFERROR(ROUND(AG17/$AG$6,0),0)</f>
        <v>0</v>
      </c>
      <c r="AK17" s="258"/>
      <c r="AL17" s="357"/>
      <c r="AM17" s="59"/>
      <c r="AN17" s="509" t="s">
        <v>891</v>
      </c>
      <c r="AO17" s="510"/>
      <c r="AP17" s="510"/>
      <c r="AQ17" s="510"/>
      <c r="AR17" s="510"/>
      <c r="AS17" s="510"/>
      <c r="AT17" s="510"/>
      <c r="AU17" s="510"/>
      <c r="AV17" s="511"/>
      <c r="AW17" s="269" cm="1">
        <f t="array" ref="AW17">SUM(AW23:AY23,-AW19:AY22)</f>
        <v>0</v>
      </c>
      <c r="AX17" s="269"/>
      <c r="AY17" s="269"/>
      <c r="AZ17" s="258">
        <f>IFERROR(ROUND(AW17/$AW$6,0),0)</f>
        <v>0</v>
      </c>
      <c r="BA17" s="258"/>
      <c r="BB17" s="357"/>
      <c r="BC17" s="56"/>
      <c r="BD17" s="56"/>
      <c r="BE17" s="56"/>
    </row>
    <row r="18" spans="1:57" s="57" customFormat="1" ht="30" customHeight="1" x14ac:dyDescent="0.3">
      <c r="A18" s="56"/>
      <c r="B18" s="56"/>
      <c r="C18" s="56"/>
      <c r="D18" s="56"/>
      <c r="E18" s="56"/>
      <c r="F18" s="56"/>
      <c r="G18" s="56"/>
      <c r="H18" s="487" t="s">
        <v>1119</v>
      </c>
      <c r="I18" s="274"/>
      <c r="J18" s="274"/>
      <c r="K18" s="274"/>
      <c r="L18" s="274"/>
      <c r="M18" s="274"/>
      <c r="N18" s="274"/>
      <c r="O18" s="274"/>
      <c r="P18" s="274"/>
      <c r="Q18" s="274"/>
      <c r="R18" s="274"/>
      <c r="S18" s="274"/>
      <c r="T18" s="274"/>
      <c r="U18" s="274"/>
      <c r="V18" s="488"/>
      <c r="W18" s="56"/>
      <c r="X18" s="487" t="s">
        <v>1119</v>
      </c>
      <c r="Y18" s="274"/>
      <c r="Z18" s="274"/>
      <c r="AA18" s="274"/>
      <c r="AB18" s="274"/>
      <c r="AC18" s="274"/>
      <c r="AD18" s="274"/>
      <c r="AE18" s="274"/>
      <c r="AF18" s="274"/>
      <c r="AG18" s="274"/>
      <c r="AH18" s="274"/>
      <c r="AI18" s="274"/>
      <c r="AJ18" s="274"/>
      <c r="AK18" s="274"/>
      <c r="AL18" s="488"/>
      <c r="AM18" s="59"/>
      <c r="AN18" s="487" t="s">
        <v>1119</v>
      </c>
      <c r="AO18" s="274"/>
      <c r="AP18" s="274"/>
      <c r="AQ18" s="274"/>
      <c r="AR18" s="274"/>
      <c r="AS18" s="274"/>
      <c r="AT18" s="274"/>
      <c r="AU18" s="274"/>
      <c r="AV18" s="274"/>
      <c r="AW18" s="274"/>
      <c r="AX18" s="274"/>
      <c r="AY18" s="274"/>
      <c r="AZ18" s="274"/>
      <c r="BA18" s="274"/>
      <c r="BB18" s="488"/>
      <c r="BC18" s="56"/>
      <c r="BD18" s="56"/>
      <c r="BE18" s="56"/>
    </row>
    <row r="19" spans="1:57" s="57" customFormat="1" ht="30" customHeight="1" x14ac:dyDescent="0.3">
      <c r="A19" s="56"/>
      <c r="B19" s="56"/>
      <c r="C19" s="56"/>
      <c r="D19" s="56"/>
      <c r="E19" s="56"/>
      <c r="F19" s="56"/>
      <c r="G19" s="56"/>
      <c r="H19" s="483" t="s">
        <v>892</v>
      </c>
      <c r="I19" s="247"/>
      <c r="J19" s="247"/>
      <c r="K19" s="247"/>
      <c r="L19" s="247"/>
      <c r="M19" s="247"/>
      <c r="N19" s="247"/>
      <c r="O19" s="247"/>
      <c r="P19" s="248"/>
      <c r="Q19" s="258">
        <f>SUMIFS(Input[T. W. - Stat (NR AFR) E&amp;G],Input[Institution Name],$H$1)+SUMIFS(Input[T. W. - Stat (NR AFR) Desg],Input[Institution Name],$H$1)+SUMIFS(Input[T. W. - Stat (NR AFR) Aux],Input[Institution Name],$H$1)+SUMIFS(Input[T. W. - Stat (NR AFR) R Exp],Input[Institution Name],$H$1)+SUMIFS(Input[T. W. - Stat (NR AFR) Loan],Input[Institution Name],$H$1)+SUMIFS(Input[T. W. - Stat (NR AFR) Annuity],Input[Institution Name],$H$1)+SUMIFS(Input[T. W. - Stat (NR AFR) Unexp],Input[Institution Name],$H$1)+SUMIFS(Input[T. W. - Stat (NR AFR) R of Ind],Input[Institution Name],$H$1)+SUMIFS(Input[T. W. - Stat (NR AFR) Inv in P],Input[Institution Name],$H$1)</f>
        <v>0</v>
      </c>
      <c r="R19" s="258"/>
      <c r="S19" s="258"/>
      <c r="T19" s="258">
        <f>IFERROR(ROUND(Q19/$Q$6,0),0)</f>
        <v>0</v>
      </c>
      <c r="U19" s="258"/>
      <c r="V19" s="357"/>
      <c r="W19" s="56"/>
      <c r="X19" s="483" t="s">
        <v>892</v>
      </c>
      <c r="Y19" s="247"/>
      <c r="Z19" s="247"/>
      <c r="AA19" s="247"/>
      <c r="AB19" s="247"/>
      <c r="AC19" s="247"/>
      <c r="AD19" s="247"/>
      <c r="AE19" s="247"/>
      <c r="AF19" s="248"/>
      <c r="AG19" s="258">
        <f>SUMIFS(Input[T. W. - Stat (NR AFR) E&amp;G],Input[Institution Name],$X$1)+SUMIFS(Input[T. W. - Stat (NR AFR) Desg],Input[Institution Name],$X$1)+SUMIFS(Input[T. W. - Stat (NR AFR) Aux],Input[Institution Name],$X$1)+SUMIFS(Input[T. W. - Stat (NR AFR) R Exp],Input[Institution Name],$X$1)+SUMIFS(Input[T. W. - Stat (NR AFR) Loan],Input[Institution Name],$X$1)+SUMIFS(Input[T. W. - Stat (NR AFR) Annuity],Input[Institution Name],$X$1)+SUMIFS(Input[T. W. - Stat (NR AFR) Unexp],Input[Institution Name],$X$1)+SUMIFS(Input[T. W. - Stat (NR AFR) R of Ind],Input[Institution Name],$X$1)+SUMIFS(Input[T. W. - Stat (NR AFR) Inv in P],Input[Institution Name],$X$1)</f>
        <v>0</v>
      </c>
      <c r="AH19" s="258"/>
      <c r="AI19" s="258"/>
      <c r="AJ19" s="258">
        <f>IFERROR(ROUND(AG19/$AG$6,0),0)</f>
        <v>0</v>
      </c>
      <c r="AK19" s="258"/>
      <c r="AL19" s="357"/>
      <c r="AM19" s="59"/>
      <c r="AN19" s="483" t="s">
        <v>892</v>
      </c>
      <c r="AO19" s="247"/>
      <c r="AP19" s="247"/>
      <c r="AQ19" s="247"/>
      <c r="AR19" s="247"/>
      <c r="AS19" s="247"/>
      <c r="AT19" s="247"/>
      <c r="AU19" s="247"/>
      <c r="AV19" s="248"/>
      <c r="AW19" s="258">
        <f>SUMIFS(Input[T. W. - Stat (NR AFR) E&amp;G],Input[Institution Name],$AN$1)+SUMIFS(Input[T. W. - Stat (NR AFR) Desg],Input[Institution Name],$AN$1)+SUMIFS(Input[T. W. - Stat (NR AFR) Aux],Input[Institution Name],$AN$1)+SUMIFS(Input[T. W. - Stat (NR AFR) R Exp],Input[Institution Name],$AN$1)+SUMIFS(Input[T. W. - Stat (NR AFR) Loan],Input[Institution Name],$AN$1)+SUMIFS(Input[T. W. - Stat (NR AFR) Annuity],Input[Institution Name],$AN$1)+SUMIFS(Input[T. W. - Stat (NR AFR) Unexp],Input[Institution Name],$AN$1)+SUMIFS(Input[T. W. - Stat (NR AFR) R of Ind],Input[Institution Name],$AN$1)+SUMIFS(Input[T. W. - Stat (NR AFR) Inv in P],Input[Institution Name],$AN$1)</f>
        <v>0</v>
      </c>
      <c r="AX19" s="258"/>
      <c r="AY19" s="258"/>
      <c r="AZ19" s="258">
        <f>IFERROR(ROUND(AW19/$AW$6,0),0)</f>
        <v>0</v>
      </c>
      <c r="BA19" s="258"/>
      <c r="BB19" s="357"/>
      <c r="BC19" s="56"/>
      <c r="BD19" s="56"/>
      <c r="BE19" s="56"/>
    </row>
    <row r="20" spans="1:57" s="57" customFormat="1" ht="30" customHeight="1" x14ac:dyDescent="0.3">
      <c r="A20" s="56"/>
      <c r="B20" s="56"/>
      <c r="C20" s="56"/>
      <c r="D20" s="56"/>
      <c r="E20" s="56"/>
      <c r="F20" s="56"/>
      <c r="G20" s="56"/>
      <c r="H20" s="306" t="s">
        <v>893</v>
      </c>
      <c r="I20" s="255"/>
      <c r="J20" s="255"/>
      <c r="K20" s="255"/>
      <c r="L20" s="255"/>
      <c r="M20" s="255"/>
      <c r="N20" s="255"/>
      <c r="O20" s="255"/>
      <c r="P20" s="256"/>
      <c r="Q20" s="260">
        <f>SUMIFS(Input[T. W. - Inst. (NR AFR) E&amp;G],Input[Institution Name],$H$1)+SUMIFS(Input[T. W. - Inst. (NR AFR) Desg],Input[Institution Name],$H$1)+SUMIFS(Input[T. W. - Inst. (NR AFR) Aux],Input[Institution Name],$H$1)+SUMIFS(Input[T. W. - Inst. (NR AFR) R Exp],Input[Institution Name],$H$1)+SUMIFS(Input[T. W. - Inst. (NR AFR) Loan],Input[Institution Name],$H$1)+SUMIFS(Input[T. W. - Inst. (NR AFR) Annuity],Input[Institution Name],$H$1)+SUMIFS(Input[T. W. - Inst. (NR AFR) Unexp],Input[Institution Name],$H$1)+SUMIFS(Input[T. W. - Inst. (NR AFR) R of Ind],Input[Institution Name],$H$1)+SUMIFS(Input[T. W. - Inst. (NR AFR) Inv in P],Input[Institution Name],$H$1)</f>
        <v>0</v>
      </c>
      <c r="R20" s="260"/>
      <c r="S20" s="260"/>
      <c r="T20" s="260">
        <f>IFERROR(ROUND(Q20/$Q$6,0),0)</f>
        <v>0</v>
      </c>
      <c r="U20" s="260"/>
      <c r="V20" s="308"/>
      <c r="W20" s="56"/>
      <c r="X20" s="306" t="s">
        <v>893</v>
      </c>
      <c r="Y20" s="255"/>
      <c r="Z20" s="255"/>
      <c r="AA20" s="255"/>
      <c r="AB20" s="255"/>
      <c r="AC20" s="255"/>
      <c r="AD20" s="255"/>
      <c r="AE20" s="255"/>
      <c r="AF20" s="256"/>
      <c r="AG20" s="260">
        <f>SUMIFS(Input[T. W. - Inst. (NR AFR) E&amp;G],Input[Institution Name],$X$1)+SUMIFS(Input[T. W. - Inst. (NR AFR) Desg],Input[Institution Name],$X$1)+SUMIFS(Input[T. W. - Inst. (NR AFR) Aux],Input[Institution Name],$X$1)+SUMIFS(Input[T. W. - Inst. (NR AFR) R Exp],Input[Institution Name],$X$1)+SUMIFS(Input[T. W. - Inst. (NR AFR) Loan],Input[Institution Name],$X$1)+SUMIFS(Input[T. W. - Inst. (NR AFR) Annuity],Input[Institution Name],$X$1)+SUMIFS(Input[T. W. - Inst. (NR AFR) Unexp],Input[Institution Name],$X$1)+SUMIFS(Input[T. W. - Inst. (NR AFR) R of Ind],Input[Institution Name],$X$1)+SUMIFS(Input[T. W. - Inst. (NR AFR) Inv in P],Input[Institution Name],$X$1)</f>
        <v>0</v>
      </c>
      <c r="AH20" s="260"/>
      <c r="AI20" s="260"/>
      <c r="AJ20" s="260">
        <f>IFERROR(ROUND(AG20/$AG$6,0),0)</f>
        <v>0</v>
      </c>
      <c r="AK20" s="260"/>
      <c r="AL20" s="308"/>
      <c r="AM20" s="59"/>
      <c r="AN20" s="306" t="s">
        <v>893</v>
      </c>
      <c r="AO20" s="255"/>
      <c r="AP20" s="255"/>
      <c r="AQ20" s="255"/>
      <c r="AR20" s="255"/>
      <c r="AS20" s="255"/>
      <c r="AT20" s="255"/>
      <c r="AU20" s="255"/>
      <c r="AV20" s="256"/>
      <c r="AW20" s="260">
        <f>SUMIFS(Input[T. W. - Inst. (NR AFR) E&amp;G],Input[Institution Name],$AN$1)+SUMIFS(Input[T. W. - Inst. (NR AFR) Desg],Input[Institution Name],$AN$1)+SUMIFS(Input[T. W. - Inst. (NR AFR) Aux],Input[Institution Name],$AN$1)+SUMIFS(Input[T. W. - Inst. (NR AFR) R Exp],Input[Institution Name],$AN$1)+SUMIFS(Input[T. W. - Inst. (NR AFR) Loan],Input[Institution Name],$AN$1)+SUMIFS(Input[T. W. - Inst. (NR AFR) Annuity],Input[Institution Name],$AN$1)+SUMIFS(Input[T. W. - Inst. (NR AFR) Unexp],Input[Institution Name],$AN$1)+SUMIFS(Input[T. W. - Inst. (NR AFR) R of Ind],Input[Institution Name],$AN$1)+SUMIFS(Input[T. W. - Inst. (NR AFR) Inv in P],Input[Institution Name],$AN$1)</f>
        <v>0</v>
      </c>
      <c r="AX20" s="260"/>
      <c r="AY20" s="260"/>
      <c r="AZ20" s="260">
        <f>IFERROR(ROUND(AW20/$AW$6,0),0)</f>
        <v>0</v>
      </c>
      <c r="BA20" s="260"/>
      <c r="BB20" s="308"/>
      <c r="BC20" s="56"/>
      <c r="BD20" s="56"/>
      <c r="BE20" s="56"/>
    </row>
    <row r="21" spans="1:57" s="57" customFormat="1" ht="30" customHeight="1" x14ac:dyDescent="0.3">
      <c r="A21" s="56"/>
      <c r="B21" s="56"/>
      <c r="C21" s="56"/>
      <c r="D21" s="56"/>
      <c r="E21" s="56"/>
      <c r="F21" s="56"/>
      <c r="G21" s="56"/>
      <c r="H21" s="306" t="s">
        <v>894</v>
      </c>
      <c r="I21" s="255"/>
      <c r="J21" s="255"/>
      <c r="K21" s="255"/>
      <c r="L21" s="255"/>
      <c r="M21" s="255"/>
      <c r="N21" s="255"/>
      <c r="O21" s="255"/>
      <c r="P21" s="256"/>
      <c r="Q21" s="260">
        <f>SUMIFS(Input[T. Exp. - Stat (NR AFR) E&amp;G],Input[Institution Name],$H$1)+SUMIFS(Input[T. Exp. - Stat (NR AFR) Desg],Input[Institution Name],$H$1)+SUMIFS(Input[T. Exp. - Stat (NR AFR) Aux],Input[Institution Name],$H$1)+SUMIFS(Input[T. Exp. - Stat (NR AFR) R Exp],Input[Institution Name],$H$1)+SUMIFS(Input[T. Exp. - Stat (NR AFR) Loan],Input[Institution Name],$H$1)+SUMIFS(Input[T. Exp. - Stat (NR AFR) Annuity],Input[Institution Name],$H$1)+SUMIFS(Input[T. Exp. - Stat (NR AFR) Unexp],Input[Institution Name],$H$1)+SUMIFS(Input[T. Exp. - Stat (NR AFR) R of Ind],Input[Institution Name],$H$1)+SUMIFS(Input[T. Exp. - Stat (NR AFR) Inv in P],Input[Institution Name],$H$1)</f>
        <v>0</v>
      </c>
      <c r="R21" s="260"/>
      <c r="S21" s="260"/>
      <c r="T21" s="260">
        <f>IFERROR(ROUND(Q21/$Q$6,0),0)</f>
        <v>0</v>
      </c>
      <c r="U21" s="260"/>
      <c r="V21" s="308"/>
      <c r="W21" s="56"/>
      <c r="X21" s="306" t="s">
        <v>894</v>
      </c>
      <c r="Y21" s="255"/>
      <c r="Z21" s="255"/>
      <c r="AA21" s="255"/>
      <c r="AB21" s="255"/>
      <c r="AC21" s="255"/>
      <c r="AD21" s="255"/>
      <c r="AE21" s="255"/>
      <c r="AF21" s="256"/>
      <c r="AG21" s="260">
        <f>SUMIFS(Input[T. Exp. - Stat (NR AFR) E&amp;G],Input[Institution Name],$X$1)+SUMIFS(Input[T. Exp. - Stat (NR AFR) Desg],Input[Institution Name],$X$1)+SUMIFS(Input[T. Exp. - Stat (NR AFR) Aux],Input[Institution Name],$X$1)+SUMIFS(Input[T. Exp. - Stat (NR AFR) R Exp],Input[Institution Name],$X$1)+SUMIFS(Input[T. Exp. - Stat (NR AFR) Loan],Input[Institution Name],$X$1)+SUMIFS(Input[T. Exp. - Stat (NR AFR) Annuity],Input[Institution Name],$X$1)+SUMIFS(Input[T. Exp. - Stat (NR AFR) Unexp],Input[Institution Name],$X$1)+SUMIFS(Input[T. Exp. - Stat (NR AFR) R of Ind],Input[Institution Name],$X$1)+SUMIFS(Input[T. Exp. - Stat (NR AFR) Inv in P],Input[Institution Name],$X$1)</f>
        <v>0</v>
      </c>
      <c r="AH21" s="260"/>
      <c r="AI21" s="260"/>
      <c r="AJ21" s="260">
        <f>IFERROR(ROUND(AG21/$AG$6,0),0)</f>
        <v>0</v>
      </c>
      <c r="AK21" s="260"/>
      <c r="AL21" s="308"/>
      <c r="AM21" s="59"/>
      <c r="AN21" s="306" t="s">
        <v>894</v>
      </c>
      <c r="AO21" s="255"/>
      <c r="AP21" s="255"/>
      <c r="AQ21" s="255"/>
      <c r="AR21" s="255"/>
      <c r="AS21" s="255"/>
      <c r="AT21" s="255"/>
      <c r="AU21" s="255"/>
      <c r="AV21" s="256"/>
      <c r="AW21" s="260">
        <f>SUMIFS(Input[T. Exp. - Stat (NR AFR) E&amp;G],Input[Institution Name],$AN$1)+SUMIFS(Input[T. Exp. - Stat (NR AFR) Desg],Input[Institution Name],$AN$1)+SUMIFS(Input[T. Exp. - Stat (NR AFR) Aux],Input[Institution Name],$AN$1)+SUMIFS(Input[T. Exp. - Stat (NR AFR) R Exp],Input[Institution Name],$AN$1)+SUMIFS(Input[T. Exp. - Stat (NR AFR) Loan],Input[Institution Name],$AN$1)+SUMIFS(Input[T. Exp. - Stat (NR AFR) Annuity],Input[Institution Name],$AN$1)+SUMIFS(Input[T. Exp. - Stat (NR AFR) Unexp],Input[Institution Name],$AN$1)+SUMIFS(Input[T. Exp. - Stat (NR AFR) R of Ind],Input[Institution Name],$AN$1)+SUMIFS(Input[T. Exp. - Stat (NR AFR) Inv in P],Input[Institution Name],$AN$1)</f>
        <v>0</v>
      </c>
      <c r="AX21" s="260"/>
      <c r="AY21" s="260"/>
      <c r="AZ21" s="260">
        <f>IFERROR(ROUND(AW21/$AW$6,0),0)</f>
        <v>0</v>
      </c>
      <c r="BA21" s="260"/>
      <c r="BB21" s="308"/>
      <c r="BC21" s="56"/>
      <c r="BD21" s="56"/>
      <c r="BE21" s="56"/>
    </row>
    <row r="22" spans="1:57" s="57" customFormat="1" ht="30" customHeight="1" x14ac:dyDescent="0.3">
      <c r="A22" s="56"/>
      <c r="B22" s="56"/>
      <c r="C22" s="56"/>
      <c r="D22" s="56"/>
      <c r="E22" s="56"/>
      <c r="F22" s="56"/>
      <c r="G22" s="56"/>
      <c r="H22" s="306" t="s">
        <v>895</v>
      </c>
      <c r="I22" s="255"/>
      <c r="J22" s="255"/>
      <c r="K22" s="255"/>
      <c r="L22" s="255"/>
      <c r="M22" s="255"/>
      <c r="N22" s="255"/>
      <c r="O22" s="255"/>
      <c r="P22" s="256"/>
      <c r="Q22" s="260">
        <f>SUMIFS(Input[T. Exp. - Inst. (NR AFR) E&amp;G],Input[Institution Name],$H$1)+SUMIFS(Input[T. Exp. - Inst. (NR AFR) Desg],Input[Institution Name],$H$1)+SUMIFS(Input[T. Exp. - Inst. (NR AFR) Aux],Input[Institution Name],$H$1)+SUMIFS(Input[T. Exp. - Inst. (NR AFR) R Exp],Input[Institution Name],$H$1)+SUMIFS(Input[T. Exp. - Inst. (NR AFR) Loan],Input[Institution Name],$H$1)+SUMIFS(Input[T. Exp. - Inst. (NR AFR) Annuity],Input[Institution Name],$H$1)+SUMIFS(Input[T. Exp. - Inst. (NR AFR) Unexp],Input[Institution Name],$H$1)+SUMIFS(Input[T. Exp. - Inst. (NR AFR) R of Ind],Input[Institution Name],$H$1)+SUMIFS(Input[T. Exp. - Inst. (NR AFR) Inv in P],Input[Institution Name],$H$1)</f>
        <v>0</v>
      </c>
      <c r="R22" s="260"/>
      <c r="S22" s="260"/>
      <c r="T22" s="260">
        <f>IFERROR(ROUND(Q22/$Q$6,0),0)</f>
        <v>0</v>
      </c>
      <c r="U22" s="260"/>
      <c r="V22" s="308"/>
      <c r="W22" s="56"/>
      <c r="X22" s="306" t="s">
        <v>895</v>
      </c>
      <c r="Y22" s="255"/>
      <c r="Z22" s="255"/>
      <c r="AA22" s="255"/>
      <c r="AB22" s="255"/>
      <c r="AC22" s="255"/>
      <c r="AD22" s="255"/>
      <c r="AE22" s="255"/>
      <c r="AF22" s="256"/>
      <c r="AG22" s="260">
        <f>SUMIFS(Input[T. Exp. - Inst. (NR AFR) E&amp;G],Input[Institution Name],$X$1)+SUMIFS(Input[T. Exp. - Inst. (NR AFR) Desg],Input[Institution Name],$X$1)+SUMIFS(Input[T. Exp. - Inst. (NR AFR) Aux],Input[Institution Name],$X$1)+SUMIFS(Input[T. Exp. - Inst. (NR AFR) R Exp],Input[Institution Name],$X$1)+SUMIFS(Input[T. Exp. - Inst. (NR AFR) Loan],Input[Institution Name],$X$1)+SUMIFS(Input[T. Exp. - Inst. (NR AFR) Annuity],Input[Institution Name],$X$1)+SUMIFS(Input[T. Exp. - Inst. (NR AFR) Unexp],Input[Institution Name],$X$1)+SUMIFS(Input[T. Exp. - Inst. (NR AFR) R of Ind],Input[Institution Name],$X$1)+SUMIFS(Input[T. Exp. - Inst. (NR AFR) Inv in P],Input[Institution Name],$X$1)</f>
        <v>0</v>
      </c>
      <c r="AH22" s="260"/>
      <c r="AI22" s="260"/>
      <c r="AJ22" s="260">
        <f>IFERROR(ROUND(AG22/$AG$6,0),0)</f>
        <v>0</v>
      </c>
      <c r="AK22" s="260"/>
      <c r="AL22" s="308"/>
      <c r="AM22" s="59"/>
      <c r="AN22" s="306" t="s">
        <v>895</v>
      </c>
      <c r="AO22" s="255"/>
      <c r="AP22" s="255"/>
      <c r="AQ22" s="255"/>
      <c r="AR22" s="255"/>
      <c r="AS22" s="255"/>
      <c r="AT22" s="255"/>
      <c r="AU22" s="255"/>
      <c r="AV22" s="256"/>
      <c r="AW22" s="260">
        <f>SUMIFS(Input[T. Exp. - Inst. (NR AFR) E&amp;G],Input[Institution Name],$AN$1)+SUMIFS(Input[T. Exp. - Inst. (NR AFR) Desg],Input[Institution Name],$AN$1)+SUMIFS(Input[T. Exp. - Inst. (NR AFR) Aux],Input[Institution Name],$AN$1)+SUMIFS(Input[T. Exp. - Inst. (NR AFR) R Exp],Input[Institution Name],$AN$1)+SUMIFS(Input[T. Exp. - Inst. (NR AFR) Loan],Input[Institution Name],$AN$1)+SUMIFS(Input[T. Exp. - Inst. (NR AFR) Annuity],Input[Institution Name],$AN$1)+SUMIFS(Input[T. Exp. - Inst. (NR AFR) Unexp],Input[Institution Name],$AN$1)+SUMIFS(Input[T. Exp. - Inst. (NR AFR) R of Ind],Input[Institution Name],$AN$1)+SUMIFS(Input[T. Exp. - Inst. (NR AFR) Inv in P],Input[Institution Name],$AN$1)</f>
        <v>0</v>
      </c>
      <c r="AX22" s="260"/>
      <c r="AY22" s="260"/>
      <c r="AZ22" s="260">
        <f>IFERROR(ROUND(AW22/$AW$6,0),0)</f>
        <v>0</v>
      </c>
      <c r="BA22" s="260"/>
      <c r="BB22" s="308"/>
      <c r="BC22" s="56"/>
      <c r="BD22" s="56"/>
      <c r="BE22" s="56"/>
    </row>
    <row r="23" spans="1:57" s="57" customFormat="1" ht="30" customHeight="1" x14ac:dyDescent="0.3">
      <c r="A23" s="56"/>
      <c r="B23" s="56"/>
      <c r="C23" s="56"/>
      <c r="D23" s="56"/>
      <c r="E23" s="56"/>
      <c r="F23" s="56"/>
      <c r="G23" s="56"/>
      <c r="H23" s="306" t="s">
        <v>896</v>
      </c>
      <c r="I23" s="255"/>
      <c r="J23" s="255"/>
      <c r="K23" s="255"/>
      <c r="L23" s="255"/>
      <c r="M23" s="255"/>
      <c r="N23" s="255"/>
      <c r="O23" s="255"/>
      <c r="P23" s="256"/>
      <c r="Q23" s="260">
        <f>SUMIFS(Input[T. - Gross E&amp;G],Input[Institution Name],$H$1)+SUMIFS(Input[T. - Gross Desg],Input[Institution Name],$H$1)+SUMIFS(Input[T. - Gross Aux],Input[Institution Name],$H$1)+SUMIFS(Input[T. - Gross R Exp],Input[Institution Name],$H$1)+SUMIFS(Input[T. - Gross Loan],Input[Institution Name],$H$1)+SUMIFS(Input[T. - Gross Annuity],Input[Institution Name],$H$1)+SUMIFS(Input[T. - Gross Unexp],Input[Institution Name],$H$1)+SUMIFS(Input[T. - Gross R of Ind],Input[Institution Name],$H$1)+SUMIFS(Input[T. - Gross Inv in P],Input[Institution Name],$H$1)</f>
        <v>0</v>
      </c>
      <c r="R23" s="260"/>
      <c r="S23" s="260"/>
      <c r="T23" s="260">
        <f>IFERROR(ROUND(Q23/$Q$6,0),0)</f>
        <v>0</v>
      </c>
      <c r="U23" s="260"/>
      <c r="V23" s="308"/>
      <c r="W23" s="56"/>
      <c r="X23" s="306" t="s">
        <v>896</v>
      </c>
      <c r="Y23" s="255"/>
      <c r="Z23" s="255"/>
      <c r="AA23" s="255"/>
      <c r="AB23" s="255"/>
      <c r="AC23" s="255"/>
      <c r="AD23" s="255"/>
      <c r="AE23" s="255"/>
      <c r="AF23" s="256"/>
      <c r="AG23" s="260">
        <f>SUMIFS(Input[T. - Gross E&amp;G],Input[Institution Name],$X$1)+SUMIFS(Input[T. - Gross Desg],Input[Institution Name],$X$1)+SUMIFS(Input[T. - Gross Aux],Input[Institution Name],$X$1)+SUMIFS(Input[T. - Gross R Exp],Input[Institution Name],$X$1)+SUMIFS(Input[T. - Gross Loan],Input[Institution Name],$X$1)+SUMIFS(Input[T. - Gross Annuity],Input[Institution Name],$X$1)+SUMIFS(Input[T. - Gross Unexp],Input[Institution Name],$X$1)+SUMIFS(Input[T. - Gross R of Ind],Input[Institution Name],$X$1)+SUMIFS(Input[T. - Gross Inv in P],Input[Institution Name],$X$1)</f>
        <v>0</v>
      </c>
      <c r="AH23" s="260"/>
      <c r="AI23" s="260"/>
      <c r="AJ23" s="260">
        <f>IFERROR(ROUND(AG23/$AG$6,0),0)</f>
        <v>0</v>
      </c>
      <c r="AK23" s="260"/>
      <c r="AL23" s="308"/>
      <c r="AM23" s="59"/>
      <c r="AN23" s="306" t="s">
        <v>896</v>
      </c>
      <c r="AO23" s="255"/>
      <c r="AP23" s="255"/>
      <c r="AQ23" s="255"/>
      <c r="AR23" s="255"/>
      <c r="AS23" s="255"/>
      <c r="AT23" s="255"/>
      <c r="AU23" s="255"/>
      <c r="AV23" s="256"/>
      <c r="AW23" s="260">
        <f>SUMIFS(Input[T. - Gross E&amp;G],Input[Institution Name],$AN$1)+SUMIFS(Input[T. - Gross Desg],Input[Institution Name],$AN$1)+SUMIFS(Input[T. - Gross Aux],Input[Institution Name],$AN$1)+SUMIFS(Input[T. - Gross R Exp],Input[Institution Name],$AN$1)+SUMIFS(Input[T. - Gross Loan],Input[Institution Name],$AN$1)+SUMIFS(Input[T. - Gross Annuity],Input[Institution Name],$AN$1)+SUMIFS(Input[T. - Gross Unexp],Input[Institution Name],$AN$1)+SUMIFS(Input[T. - Gross R of Ind],Input[Institution Name],$AN$1)+SUMIFS(Input[T. - Gross Inv in P],Input[Institution Name],$AN$1)</f>
        <v>0</v>
      </c>
      <c r="AX23" s="260"/>
      <c r="AY23" s="260"/>
      <c r="AZ23" s="260">
        <f>IFERROR(ROUND(AW23/$AW$6,0),0)</f>
        <v>0</v>
      </c>
      <c r="BA23" s="260"/>
      <c r="BB23" s="308"/>
      <c r="BC23" s="56"/>
      <c r="BD23" s="56"/>
      <c r="BE23" s="56"/>
    </row>
    <row r="24" spans="1:57" s="57" customFormat="1" ht="30" customHeight="1" x14ac:dyDescent="0.3">
      <c r="A24" s="56"/>
      <c r="B24" s="56"/>
      <c r="C24" s="56"/>
      <c r="D24" s="56"/>
      <c r="E24" s="56"/>
      <c r="F24" s="56"/>
      <c r="G24" s="56"/>
      <c r="H24" s="487" t="s">
        <v>897</v>
      </c>
      <c r="I24" s="274"/>
      <c r="J24" s="274"/>
      <c r="K24" s="274"/>
      <c r="L24" s="274"/>
      <c r="M24" s="274"/>
      <c r="N24" s="274"/>
      <c r="O24" s="274"/>
      <c r="P24" s="274"/>
      <c r="Q24" s="274"/>
      <c r="R24" s="274"/>
      <c r="S24" s="274"/>
      <c r="T24" s="274"/>
      <c r="U24" s="274"/>
      <c r="V24" s="488"/>
      <c r="W24" s="56"/>
      <c r="X24" s="487" t="s">
        <v>897</v>
      </c>
      <c r="Y24" s="274"/>
      <c r="Z24" s="274"/>
      <c r="AA24" s="274"/>
      <c r="AB24" s="274"/>
      <c r="AC24" s="274"/>
      <c r="AD24" s="274"/>
      <c r="AE24" s="274"/>
      <c r="AF24" s="274"/>
      <c r="AG24" s="274"/>
      <c r="AH24" s="274"/>
      <c r="AI24" s="274"/>
      <c r="AJ24" s="274"/>
      <c r="AK24" s="274"/>
      <c r="AL24" s="488"/>
      <c r="AM24" s="59"/>
      <c r="AN24" s="487" t="s">
        <v>897</v>
      </c>
      <c r="AO24" s="274"/>
      <c r="AP24" s="274"/>
      <c r="AQ24" s="274"/>
      <c r="AR24" s="274"/>
      <c r="AS24" s="274"/>
      <c r="AT24" s="274"/>
      <c r="AU24" s="274"/>
      <c r="AV24" s="274"/>
      <c r="AW24" s="274"/>
      <c r="AX24" s="274"/>
      <c r="AY24" s="274"/>
      <c r="AZ24" s="274"/>
      <c r="BA24" s="274"/>
      <c r="BB24" s="488"/>
      <c r="BC24" s="56"/>
      <c r="BD24" s="56"/>
      <c r="BE24" s="56"/>
    </row>
    <row r="25" spans="1:57" s="57" customFormat="1" ht="30" customHeight="1" x14ac:dyDescent="0.3">
      <c r="A25" s="56"/>
      <c r="B25" s="56"/>
      <c r="C25" s="56"/>
      <c r="D25" s="56"/>
      <c r="E25" s="56"/>
      <c r="F25" s="56"/>
      <c r="G25" s="56"/>
      <c r="H25" s="483" t="s">
        <v>892</v>
      </c>
      <c r="I25" s="247"/>
      <c r="J25" s="247"/>
      <c r="K25" s="247"/>
      <c r="L25" s="247"/>
      <c r="M25" s="247"/>
      <c r="N25" s="247"/>
      <c r="O25" s="247"/>
      <c r="P25" s="248"/>
      <c r="Q25" s="258">
        <f>SUMIFS(Input[T. W. - Stat (R AFR) E&amp;G],Input[Institution Name],$H$1)+SUMIFS(Input[T. W. - Stat (R AFR) Desg],Input[Institution Name],$H$1)+SUMIFS(Input[T. W. - Stat (R AFR) Aux],Input[Institution Name],$H$1)+SUMIFS(Input[T. W. - Stat (R AFR) R Exp],Input[Institution Name],$H$1)+SUMIFS(Input[T. W. - Stat (R AFR) Loan],Input[Institution Name],$H$1)+SUMIFS(Input[T. W. - Stat (R AFR) Annuity],Input[Institution Name],$H$1)+SUMIFS(Input[T. W. - Stat (R AFR) Unexp],Input[Institution Name],$H$1)+SUMIFS(Input[T. W. - Stat (R AFR) R of Ind],Input[Institution Name],$H$1)+SUMIFS(Input[T. W. - Stat (R AFR) Inv in P],Input[Institution Name],$H$1)</f>
        <v>0</v>
      </c>
      <c r="R25" s="258"/>
      <c r="S25" s="258"/>
      <c r="T25" s="258">
        <f>IFERROR(ROUND(Q25/$Q$6,0),0)</f>
        <v>0</v>
      </c>
      <c r="U25" s="258"/>
      <c r="V25" s="357"/>
      <c r="W25" s="56"/>
      <c r="X25" s="483" t="s">
        <v>892</v>
      </c>
      <c r="Y25" s="247"/>
      <c r="Z25" s="247"/>
      <c r="AA25" s="247"/>
      <c r="AB25" s="247"/>
      <c r="AC25" s="247"/>
      <c r="AD25" s="247"/>
      <c r="AE25" s="247"/>
      <c r="AF25" s="248"/>
      <c r="AG25" s="258">
        <f>SUMIFS(Input[T. W. - Stat (R AFR) E&amp;G],Input[Institution Name],$X$1)+SUMIFS(Input[T. W. - Stat (R AFR) Desg],Input[Institution Name],$X$1)+SUMIFS(Input[T. W. - Stat (R AFR) Aux],Input[Institution Name],$X$1)+SUMIFS(Input[T. W. - Stat (R AFR) R Exp],Input[Institution Name],$X$1)+SUMIFS(Input[T. W. - Stat (R AFR) Loan],Input[Institution Name],$X$1)+SUMIFS(Input[T. W. - Stat (R AFR) Annuity],Input[Institution Name],$X$1)+SUMIFS(Input[T. W. - Stat (R AFR) Unexp],Input[Institution Name],$X$1)+SUMIFS(Input[T. W. - Stat (R AFR) R of Ind],Input[Institution Name],$X$1)+SUMIFS(Input[T. W. - Stat (R AFR) Inv in P],Input[Institution Name],$X$1)</f>
        <v>0</v>
      </c>
      <c r="AH25" s="258"/>
      <c r="AI25" s="258"/>
      <c r="AJ25" s="258">
        <f>IFERROR(ROUND(AG25/$AG$6,0),0)</f>
        <v>0</v>
      </c>
      <c r="AK25" s="258"/>
      <c r="AL25" s="357"/>
      <c r="AM25" s="59"/>
      <c r="AN25" s="483" t="s">
        <v>892</v>
      </c>
      <c r="AO25" s="247"/>
      <c r="AP25" s="247"/>
      <c r="AQ25" s="247"/>
      <c r="AR25" s="247"/>
      <c r="AS25" s="247"/>
      <c r="AT25" s="247"/>
      <c r="AU25" s="247"/>
      <c r="AV25" s="248"/>
      <c r="AW25" s="258">
        <f>SUMIFS(Input[T. W. - Stat (R AFR) E&amp;G],Input[Institution Name],$AN$1)+SUMIFS(Input[T. W. - Stat (R AFR) Desg],Input[Institution Name],$AN$1)+SUMIFS(Input[T. W. - Stat (R AFR) Aux],Input[Institution Name],$AN$1)+SUMIFS(Input[T. W. - Stat (R AFR) R Exp],Input[Institution Name],$AN$1)+SUMIFS(Input[T. W. - Stat (R AFR) Loan],Input[Institution Name],$AN$1)+SUMIFS(Input[T. W. - Stat (R AFR) Annuity],Input[Institution Name],$AN$1)+SUMIFS(Input[T. W. - Stat (R AFR) Unexp],Input[Institution Name],$AN$1)+SUMIFS(Input[T. W. - Stat (R AFR) R of Ind],Input[Institution Name],$AN$1)+SUMIFS(Input[T. W. - Stat (R AFR) Inv in P],Input[Institution Name],$AN$1)</f>
        <v>0</v>
      </c>
      <c r="AX25" s="258"/>
      <c r="AY25" s="258"/>
      <c r="AZ25" s="258">
        <f>IFERROR(ROUND(AW25/$AW$6,0),0)</f>
        <v>0</v>
      </c>
      <c r="BA25" s="258"/>
      <c r="BB25" s="357"/>
      <c r="BC25" s="56"/>
      <c r="BD25" s="56"/>
      <c r="BE25" s="56"/>
    </row>
    <row r="26" spans="1:57" s="57" customFormat="1" ht="30" customHeight="1" x14ac:dyDescent="0.3">
      <c r="A26" s="56"/>
      <c r="B26" s="56"/>
      <c r="C26" s="56"/>
      <c r="D26" s="56"/>
      <c r="E26" s="56"/>
      <c r="F26" s="56"/>
      <c r="G26" s="56"/>
      <c r="H26" s="306" t="s">
        <v>893</v>
      </c>
      <c r="I26" s="255"/>
      <c r="J26" s="255"/>
      <c r="K26" s="255"/>
      <c r="L26" s="255"/>
      <c r="M26" s="255"/>
      <c r="N26" s="255"/>
      <c r="O26" s="255"/>
      <c r="P26" s="256"/>
      <c r="Q26" s="260">
        <f>SUMIFS(Input[T. W. - Inst. (R AFR) E&amp;G],Input[Institution Name],$H$1)+SUMIFS(Input[T. W. - Inst. (R AFR) Desg],Input[Institution Name],$H$1)+SUMIFS(Input[T. W. - Inst. (R AFR) Aux],Input[Institution Name],$H$1)+SUMIFS(Input[T. W. - Inst. (R AFR) R Exp],Input[Institution Name],$H$1)+SUMIFS(Input[T. W. - Inst. (R AFR) Loan],Input[Institution Name],$H$1)+SUMIFS(Input[T. W. - Inst. (R AFR) Annuity],Input[Institution Name],$H$1)+SUMIFS(Input[T. W. - Inst. (R AFR) Unexp],Input[Institution Name],$H$1)+SUMIFS(Input[T. W. - Inst. (R AFR) R of Ind],Input[Institution Name],$H$1)+SUMIFS(Input[T. W. - Inst. (R AFR) Inv in P],Input[Institution Name],$H$1)</f>
        <v>0</v>
      </c>
      <c r="R26" s="260"/>
      <c r="S26" s="260"/>
      <c r="T26" s="260">
        <f>IFERROR(ROUND(Q26/$Q$6,0),0)</f>
        <v>0</v>
      </c>
      <c r="U26" s="260"/>
      <c r="V26" s="308"/>
      <c r="W26" s="56"/>
      <c r="X26" s="306" t="s">
        <v>893</v>
      </c>
      <c r="Y26" s="255"/>
      <c r="Z26" s="255"/>
      <c r="AA26" s="255"/>
      <c r="AB26" s="255"/>
      <c r="AC26" s="255"/>
      <c r="AD26" s="255"/>
      <c r="AE26" s="255"/>
      <c r="AF26" s="256"/>
      <c r="AG26" s="260">
        <f>SUMIFS(Input[T. W. - Inst. (R AFR) E&amp;G],Input[Institution Name],$X$1)+SUMIFS(Input[T. W. - Inst. (R AFR) Desg],Input[Institution Name],$X$1)+SUMIFS(Input[T. W. - Inst. (R AFR) Aux],Input[Institution Name],$X$1)+SUMIFS(Input[T. W. - Inst. (R AFR) R Exp],Input[Institution Name],$X$1)+SUMIFS(Input[T. W. - Inst. (R AFR) Loan],Input[Institution Name],$X$1)+SUMIFS(Input[T. W. - Inst. (R AFR) Annuity],Input[Institution Name],$X$1)+SUMIFS(Input[T. W. - Inst. (R AFR) Unexp],Input[Institution Name],$X$1)+SUMIFS(Input[T. W. - Inst. (R AFR) R of Ind],Input[Institution Name],$X$1)+SUMIFS(Input[T. W. - Inst. (R AFR) Inv in P],Input[Institution Name],$X$1)</f>
        <v>0</v>
      </c>
      <c r="AH26" s="260"/>
      <c r="AI26" s="260"/>
      <c r="AJ26" s="260">
        <f>IFERROR(ROUND(AG26/$AG$6,0),0)</f>
        <v>0</v>
      </c>
      <c r="AK26" s="260"/>
      <c r="AL26" s="308"/>
      <c r="AM26" s="59"/>
      <c r="AN26" s="306" t="s">
        <v>893</v>
      </c>
      <c r="AO26" s="255"/>
      <c r="AP26" s="255"/>
      <c r="AQ26" s="255"/>
      <c r="AR26" s="255"/>
      <c r="AS26" s="255"/>
      <c r="AT26" s="255"/>
      <c r="AU26" s="255"/>
      <c r="AV26" s="256"/>
      <c r="AW26" s="260">
        <f>SUMIFS(Input[T. W. - Inst. (R AFR) E&amp;G],Input[Institution Name],$AN$1)+SUMIFS(Input[T. W. - Inst. (R AFR) Desg],Input[Institution Name],$AN$1)+SUMIFS(Input[T. W. - Inst. (R AFR) Aux],Input[Institution Name],$AN$1)+SUMIFS(Input[T. W. - Inst. (R AFR) R Exp],Input[Institution Name],$AN$1)+SUMIFS(Input[T. W. - Inst. (R AFR) Loan],Input[Institution Name],$AN$1)+SUMIFS(Input[T. W. - Inst. (R AFR) Annuity],Input[Institution Name],$AN$1)+SUMIFS(Input[T. W. - Inst. (R AFR) Unexp],Input[Institution Name],$AN$1)+SUMIFS(Input[T. W. - Inst. (R AFR) R of Ind],Input[Institution Name],$AN$1)+SUMIFS(Input[T. W. - Inst. (R AFR) Inv in P],Input[Institution Name],$AN$1)</f>
        <v>0</v>
      </c>
      <c r="AX26" s="260"/>
      <c r="AY26" s="260"/>
      <c r="AZ26" s="260">
        <f>IFERROR(ROUND(AW26/$AW$6,0),0)</f>
        <v>0</v>
      </c>
      <c r="BA26" s="260"/>
      <c r="BB26" s="308"/>
      <c r="BC26" s="56"/>
      <c r="BD26" s="56"/>
      <c r="BE26" s="56"/>
    </row>
    <row r="27" spans="1:57" s="57" customFormat="1" ht="30" customHeight="1" x14ac:dyDescent="0.3">
      <c r="A27" s="56"/>
      <c r="B27" s="56"/>
      <c r="C27" s="56"/>
      <c r="D27" s="56"/>
      <c r="E27" s="56"/>
      <c r="F27" s="56"/>
      <c r="G27" s="56"/>
      <c r="H27" s="306" t="s">
        <v>894</v>
      </c>
      <c r="I27" s="255"/>
      <c r="J27" s="255"/>
      <c r="K27" s="255"/>
      <c r="L27" s="255"/>
      <c r="M27" s="255"/>
      <c r="N27" s="255"/>
      <c r="O27" s="255"/>
      <c r="P27" s="256"/>
      <c r="Q27" s="260">
        <f>SUMIFS(Input[T. Exp. - Stat (R AFR) E&amp;G],Input[Institution Name],$H$1)+SUMIFS(Input[T. Exp. - Stat (R AFR) Desg],Input[Institution Name],$H$1)+SUMIFS(Input[T. Exp. - Stat (R AFR) Aux],Input[Institution Name],$H$1)+SUMIFS(Input[T. Exp. - Stat (R AFR) R Exp],Input[Institution Name],$H$1)+SUMIFS(Input[T. Exp. - Stat (R AFR) Loan],Input[Institution Name],$H$1)+SUMIFS(Input[T. Exp. - Stat (R AFR) Annuity],Input[Institution Name],$H$1)+SUMIFS(Input[T. Exp. - Stat (R AFR) Unexp],Input[Institution Name],$H$1)+SUMIFS(Input[T. Exp. - Stat (R AFR) R of Ind],Input[Institution Name],$H$1)+SUMIFS(Input[T. Exp. - Stat (R AFR) Inv in P],Input[Institution Name],$H$1)</f>
        <v>0</v>
      </c>
      <c r="R27" s="260"/>
      <c r="S27" s="260"/>
      <c r="T27" s="260">
        <f>IFERROR(ROUND(Q27/$Q$6,0),0)</f>
        <v>0</v>
      </c>
      <c r="U27" s="260"/>
      <c r="V27" s="308"/>
      <c r="W27" s="56"/>
      <c r="X27" s="306" t="s">
        <v>894</v>
      </c>
      <c r="Y27" s="255"/>
      <c r="Z27" s="255"/>
      <c r="AA27" s="255"/>
      <c r="AB27" s="255"/>
      <c r="AC27" s="255"/>
      <c r="AD27" s="255"/>
      <c r="AE27" s="255"/>
      <c r="AF27" s="256"/>
      <c r="AG27" s="260">
        <f>SUMIFS(Input[T. Exp. - Stat (R AFR) E&amp;G],Input[Institution Name],$X$1)+SUMIFS(Input[T. Exp. - Stat (R AFR) Desg],Input[Institution Name],$X$1)+SUMIFS(Input[T. Exp. - Stat (R AFR) Aux],Input[Institution Name],$X$1)+SUMIFS(Input[T. Exp. - Stat (R AFR) R Exp],Input[Institution Name],$X$1)+SUMIFS(Input[T. Exp. - Stat (R AFR) Loan],Input[Institution Name],$X$1)+SUMIFS(Input[T. Exp. - Stat (R AFR) Annuity],Input[Institution Name],$X$1)+SUMIFS(Input[T. Exp. - Stat (R AFR) Unexp],Input[Institution Name],$X$1)+SUMIFS(Input[T. Exp. - Stat (R AFR) R of Ind],Input[Institution Name],$X$1)+SUMIFS(Input[T. Exp. - Stat (R AFR) Inv in P],Input[Institution Name],$X$1)</f>
        <v>0</v>
      </c>
      <c r="AH27" s="260"/>
      <c r="AI27" s="260"/>
      <c r="AJ27" s="260">
        <f>IFERROR(ROUND(AG27/$AG$6,0),0)</f>
        <v>0</v>
      </c>
      <c r="AK27" s="260"/>
      <c r="AL27" s="308"/>
      <c r="AM27" s="59"/>
      <c r="AN27" s="306" t="s">
        <v>894</v>
      </c>
      <c r="AO27" s="255"/>
      <c r="AP27" s="255"/>
      <c r="AQ27" s="255"/>
      <c r="AR27" s="255"/>
      <c r="AS27" s="255"/>
      <c r="AT27" s="255"/>
      <c r="AU27" s="255"/>
      <c r="AV27" s="256"/>
      <c r="AW27" s="260">
        <f>SUMIFS(Input[T. Exp. - Stat (R AFR) E&amp;G],Input[Institution Name],$AN$1)+SUMIFS(Input[T. Exp. - Stat (R AFR) Desg],Input[Institution Name],$AN$1)+SUMIFS(Input[T. Exp. - Stat (R AFR) Aux],Input[Institution Name],$AN$1)+SUMIFS(Input[T. Exp. - Stat (R AFR) R Exp],Input[Institution Name],$AN$1)+SUMIFS(Input[T. Exp. - Stat (R AFR) Loan],Input[Institution Name],$AN$1)+SUMIFS(Input[T. Exp. - Stat (R AFR) Annuity],Input[Institution Name],$AN$1)+SUMIFS(Input[T. Exp. - Stat (R AFR) Unexp],Input[Institution Name],$AN$1)+SUMIFS(Input[T. Exp. - Stat (R AFR) R of Ind],Input[Institution Name],$AN$1)+SUMIFS(Input[T. Exp. - Stat (R AFR) Inv in P],Input[Institution Name],$AN$1)</f>
        <v>0</v>
      </c>
      <c r="AX27" s="260"/>
      <c r="AY27" s="260"/>
      <c r="AZ27" s="260">
        <f>IFERROR(ROUND(AW27/$AW$6,0),0)</f>
        <v>0</v>
      </c>
      <c r="BA27" s="260"/>
      <c r="BB27" s="308"/>
      <c r="BC27" s="56"/>
      <c r="BD27" s="56"/>
      <c r="BE27" s="56"/>
    </row>
    <row r="28" spans="1:57" s="57" customFormat="1" ht="30" customHeight="1" x14ac:dyDescent="0.3">
      <c r="A28" s="56"/>
      <c r="B28" s="56"/>
      <c r="C28" s="56"/>
      <c r="D28" s="56"/>
      <c r="E28" s="56"/>
      <c r="F28" s="56"/>
      <c r="G28" s="56"/>
      <c r="H28" s="306" t="s">
        <v>895</v>
      </c>
      <c r="I28" s="255"/>
      <c r="J28" s="255"/>
      <c r="K28" s="255"/>
      <c r="L28" s="255"/>
      <c r="M28" s="255"/>
      <c r="N28" s="255"/>
      <c r="O28" s="255"/>
      <c r="P28" s="256"/>
      <c r="Q28" s="260">
        <f>SUMIFS(Input[T. Exp. - Inst. (R AFR) E&amp;G],Input[Institution Name],$H$1)+SUMIFS(Input[T. Exp. - Inst. (R AFR) Desg],Input[Institution Name],$H$1)+SUMIFS(Input[T. Exp. - Inst. (R AFR) Aux],Input[Institution Name],$H$1)+SUMIFS(Input[T. Exp. - Inst. (R AFR) R Exp],Input[Institution Name],$H$1)+SUMIFS(Input[T. Exp. - Inst. (R AFR) Loan],Input[Institution Name],$H$1)+SUMIFS(Input[T. Exp. - Inst. (R AFR) Annuity],Input[Institution Name],$H$1)+SUMIFS(Input[T. Exp. - Inst. (R AFR) Unexp],Input[Institution Name],$H$1)+SUMIFS(Input[T. Exp. - Inst. (R AFR) R of Ind],Input[Institution Name],$H$1)+SUMIFS(Input[T. Exp. - Inst. (R AFR) Inv in P],Input[Institution Name],$H$1)</f>
        <v>0</v>
      </c>
      <c r="R28" s="260"/>
      <c r="S28" s="260"/>
      <c r="T28" s="260">
        <f>IFERROR(ROUND(Q28/$Q$6,0),0)</f>
        <v>0</v>
      </c>
      <c r="U28" s="260"/>
      <c r="V28" s="308"/>
      <c r="W28" s="56"/>
      <c r="X28" s="306" t="s">
        <v>895</v>
      </c>
      <c r="Y28" s="255"/>
      <c r="Z28" s="255"/>
      <c r="AA28" s="255"/>
      <c r="AB28" s="255"/>
      <c r="AC28" s="255"/>
      <c r="AD28" s="255"/>
      <c r="AE28" s="255"/>
      <c r="AF28" s="256"/>
      <c r="AG28" s="260">
        <f>SUMIFS(Input[T. Exp. - Inst. (R AFR) E&amp;G],Input[Institution Name],$X$1)+SUMIFS(Input[T. Exp. - Inst. (R AFR) Desg],Input[Institution Name],$X$1)+SUMIFS(Input[T. Exp. - Inst. (R AFR) Aux],Input[Institution Name],$X$1)+SUMIFS(Input[T. Exp. - Inst. (R AFR) R Exp],Input[Institution Name],$X$1)+SUMIFS(Input[T. Exp. - Inst. (R AFR) Loan],Input[Institution Name],$X$1)+SUMIFS(Input[T. Exp. - Inst. (R AFR) Annuity],Input[Institution Name],$X$1)+SUMIFS(Input[T. Exp. - Inst. (R AFR) Unexp],Input[Institution Name],$X$1)+SUMIFS(Input[T. Exp. - Inst. (R AFR) R of Ind],Input[Institution Name],$X$1)+SUMIFS(Input[T. Exp. - Inst. (R AFR) Inv in P],Input[Institution Name],$X$1)</f>
        <v>0</v>
      </c>
      <c r="AH28" s="260"/>
      <c r="AI28" s="260"/>
      <c r="AJ28" s="260">
        <f>IFERROR(ROUND(AG28/$AG$6,0),0)</f>
        <v>0</v>
      </c>
      <c r="AK28" s="260"/>
      <c r="AL28" s="308"/>
      <c r="AM28" s="59"/>
      <c r="AN28" s="306" t="s">
        <v>895</v>
      </c>
      <c r="AO28" s="255"/>
      <c r="AP28" s="255"/>
      <c r="AQ28" s="255"/>
      <c r="AR28" s="255"/>
      <c r="AS28" s="255"/>
      <c r="AT28" s="255"/>
      <c r="AU28" s="255"/>
      <c r="AV28" s="256"/>
      <c r="AW28" s="260">
        <f>SUMIFS(Input[T. Exp. - Inst. (R AFR) E&amp;G],Input[Institution Name],$AN$1)+SUMIFS(Input[T. Exp. - Inst. (R AFR) Desg],Input[Institution Name],$AN$1)+SUMIFS(Input[T. Exp. - Inst. (R AFR) Aux],Input[Institution Name],$AN$1)+SUMIFS(Input[T. Exp. - Inst. (R AFR) R Exp],Input[Institution Name],$AN$1)+SUMIFS(Input[T. Exp. - Inst. (R AFR) Loan],Input[Institution Name],$AN$1)+SUMIFS(Input[T. Exp. - Inst. (R AFR) Annuity],Input[Institution Name],$AN$1)+SUMIFS(Input[T. Exp. - Inst. (R AFR) Unexp],Input[Institution Name],$AN$1)+SUMIFS(Input[T. Exp. - Inst. (R AFR) R of Ind],Input[Institution Name],$AN$1)+SUMIFS(Input[T. Exp. - Inst. (R AFR) Inv in P],Input[Institution Name],$AN$1)</f>
        <v>0</v>
      </c>
      <c r="AX28" s="260"/>
      <c r="AY28" s="260"/>
      <c r="AZ28" s="260">
        <f>IFERROR(ROUND(AW28/$AW$6,0),0)</f>
        <v>0</v>
      </c>
      <c r="BA28" s="260"/>
      <c r="BB28" s="308"/>
      <c r="BC28" s="56"/>
      <c r="BD28" s="56"/>
      <c r="BE28" s="56"/>
    </row>
    <row r="29" spans="1:57" s="57" customFormat="1" ht="30" customHeight="1" x14ac:dyDescent="0.3">
      <c r="A29" s="56"/>
      <c r="B29" s="56"/>
      <c r="C29" s="56"/>
      <c r="D29" s="56"/>
      <c r="E29" s="56"/>
      <c r="F29" s="56"/>
      <c r="G29" s="56"/>
      <c r="H29" s="306" t="s">
        <v>898</v>
      </c>
      <c r="I29" s="255"/>
      <c r="J29" s="255"/>
      <c r="K29" s="255"/>
      <c r="L29" s="255"/>
      <c r="M29" s="255"/>
      <c r="N29" s="255"/>
      <c r="O29" s="255"/>
      <c r="P29" s="256"/>
      <c r="Q29" s="260">
        <f>SUMIFS(Input[T. Schlr E&amp;G],Input[Institution Name],$H$1)+SUMIFS(Input[T. Schlr Desg],Input[Institution Name],$H$1)+SUMIFS(Input[T. Schlr Aux],Input[Institution Name],$H$1)+SUMIFS(Input[T. Schlr R Exp],Input[Institution Name],$H$1)+SUMIFS(Input[T. Schlr Loan],Input[Institution Name],$H$1)+SUMIFS(Input[T. Schlr Annuity],Input[Institution Name],$H$1)+SUMIFS(Input[T. Schlr Unexp],Input[Institution Name],$H$1)+SUMIFS(Input[T. Schlr R of Ind],Input[Institution Name],$H$1)+SUMIFS(Input[T. Schlr Inv in P],Input[Institution Name],$H$1)</f>
        <v>0</v>
      </c>
      <c r="R29" s="260"/>
      <c r="S29" s="260"/>
      <c r="T29" s="260">
        <f>IFERROR(ROUND(Q29/$Q$6,0),0)</f>
        <v>0</v>
      </c>
      <c r="U29" s="260"/>
      <c r="V29" s="308"/>
      <c r="W29" s="56"/>
      <c r="X29" s="306" t="s">
        <v>898</v>
      </c>
      <c r="Y29" s="255"/>
      <c r="Z29" s="255"/>
      <c r="AA29" s="255"/>
      <c r="AB29" s="255"/>
      <c r="AC29" s="255"/>
      <c r="AD29" s="255"/>
      <c r="AE29" s="255"/>
      <c r="AF29" s="256"/>
      <c r="AG29" s="260">
        <f>SUMIFS(Input[T. Schlr E&amp;G],Input[Institution Name],$X$1)+SUMIFS(Input[T. Schlr Desg],Input[Institution Name],$X$1)+SUMIFS(Input[T. Schlr Aux],Input[Institution Name],$X$1)+SUMIFS(Input[T. Schlr R Exp],Input[Institution Name],$X$1)+SUMIFS(Input[T. Schlr Loan],Input[Institution Name],$X$1)+SUMIFS(Input[T. Schlr Annuity],Input[Institution Name],$X$1)+SUMIFS(Input[T. Schlr Unexp],Input[Institution Name],$X$1)+SUMIFS(Input[T. Schlr R of Ind],Input[Institution Name],$X$1)+SUMIFS(Input[T. Schlr Inv in P],Input[Institution Name],$X$1)</f>
        <v>0</v>
      </c>
      <c r="AH29" s="260"/>
      <c r="AI29" s="260"/>
      <c r="AJ29" s="260">
        <f>IFERROR(ROUND(AG29/$AG$6,0),0)</f>
        <v>0</v>
      </c>
      <c r="AK29" s="260"/>
      <c r="AL29" s="308"/>
      <c r="AM29" s="59"/>
      <c r="AN29" s="306" t="s">
        <v>898</v>
      </c>
      <c r="AO29" s="255"/>
      <c r="AP29" s="255"/>
      <c r="AQ29" s="255"/>
      <c r="AR29" s="255"/>
      <c r="AS29" s="255"/>
      <c r="AT29" s="255"/>
      <c r="AU29" s="255"/>
      <c r="AV29" s="256"/>
      <c r="AW29" s="260">
        <f>SUMIFS(Input[T. Schlr E&amp;G],Input[Institution Name],$AN$1)+SUMIFS(Input[T. Schlr Desg],Input[Institution Name],$AN$1)+SUMIFS(Input[T. Schlr Aux],Input[Institution Name],$AN$1)+SUMIFS(Input[T. Schlr R Exp],Input[Institution Name],$AN$1)+SUMIFS(Input[T. Schlr Loan],Input[Institution Name],$AN$1)+SUMIFS(Input[T. Schlr Annuity],Input[Institution Name],$AN$1)+SUMIFS(Input[T. Schlr Unexp],Input[Institution Name],$AN$1)+SUMIFS(Input[T. Schlr R of Ind],Input[Institution Name],$AN$1)+SUMIFS(Input[T. Schlr Inv in P],Input[Institution Name],$AN$1)</f>
        <v>0</v>
      </c>
      <c r="AX29" s="260"/>
      <c r="AY29" s="260"/>
      <c r="AZ29" s="260">
        <f>IFERROR(ROUND(AW29/$AW$6,0),0)</f>
        <v>0</v>
      </c>
      <c r="BA29" s="260"/>
      <c r="BB29" s="308"/>
      <c r="BC29" s="56"/>
      <c r="BD29" s="56"/>
      <c r="BE29" s="56"/>
    </row>
    <row r="30" spans="1:57" s="57" customFormat="1" ht="30" customHeight="1" x14ac:dyDescent="0.3">
      <c r="A30" s="56"/>
      <c r="B30" s="56"/>
      <c r="C30" s="56"/>
      <c r="D30" s="56"/>
      <c r="E30" s="56"/>
      <c r="F30" s="56"/>
      <c r="G30" s="56"/>
      <c r="H30" s="323" t="s">
        <v>899</v>
      </c>
      <c r="I30" s="324"/>
      <c r="J30" s="324"/>
      <c r="K30" s="324"/>
      <c r="L30" s="324"/>
      <c r="M30" s="324"/>
      <c r="N30" s="324"/>
      <c r="O30" s="324"/>
      <c r="P30" s="324"/>
      <c r="Q30" s="329">
        <f>SUM(Q23,Q25:S29)</f>
        <v>0</v>
      </c>
      <c r="R30" s="329"/>
      <c r="S30" s="329"/>
      <c r="T30" s="329">
        <f>SUM(T23,T25:V29)</f>
        <v>0</v>
      </c>
      <c r="U30" s="329"/>
      <c r="V30" s="330"/>
      <c r="W30" s="56"/>
      <c r="X30" s="323" t="s">
        <v>899</v>
      </c>
      <c r="Y30" s="324"/>
      <c r="Z30" s="324"/>
      <c r="AA30" s="324"/>
      <c r="AB30" s="324"/>
      <c r="AC30" s="324"/>
      <c r="AD30" s="324"/>
      <c r="AE30" s="324"/>
      <c r="AF30" s="324"/>
      <c r="AG30" s="329">
        <f>SUM(AG23,AG25:AI29)</f>
        <v>0</v>
      </c>
      <c r="AH30" s="329"/>
      <c r="AI30" s="329"/>
      <c r="AJ30" s="329">
        <f>SUM(AJ23,AJ25:AL29)</f>
        <v>0</v>
      </c>
      <c r="AK30" s="329"/>
      <c r="AL30" s="330"/>
      <c r="AM30" s="59"/>
      <c r="AN30" s="323" t="s">
        <v>899</v>
      </c>
      <c r="AO30" s="324"/>
      <c r="AP30" s="324"/>
      <c r="AQ30" s="324"/>
      <c r="AR30" s="324"/>
      <c r="AS30" s="324"/>
      <c r="AT30" s="324"/>
      <c r="AU30" s="324"/>
      <c r="AV30" s="324"/>
      <c r="AW30" s="329">
        <f>SUM(AW23,AW25:AY29)</f>
        <v>0</v>
      </c>
      <c r="AX30" s="329"/>
      <c r="AY30" s="329"/>
      <c r="AZ30" s="329">
        <f>SUM(AZ23,AZ25:BB29)</f>
        <v>0</v>
      </c>
      <c r="BA30" s="329"/>
      <c r="BB30" s="330"/>
      <c r="BC30" s="56"/>
      <c r="BD30" s="56"/>
      <c r="BE30" s="56"/>
    </row>
    <row r="31" spans="1:57" s="57" customFormat="1" ht="30" customHeight="1" x14ac:dyDescent="0.3">
      <c r="A31" s="56"/>
      <c r="B31" s="56"/>
      <c r="C31" s="56"/>
      <c r="D31" s="56"/>
      <c r="E31" s="56"/>
      <c r="F31" s="56"/>
      <c r="G31" s="56"/>
      <c r="H31" s="59"/>
      <c r="I31" s="59"/>
      <c r="J31" s="59"/>
      <c r="K31" s="59"/>
      <c r="L31" s="59"/>
      <c r="M31" s="59"/>
      <c r="N31" s="59"/>
      <c r="O31" s="59"/>
      <c r="P31" s="59"/>
      <c r="Q31" s="80"/>
      <c r="R31" s="80"/>
      <c r="S31" s="80"/>
      <c r="T31" s="80"/>
      <c r="U31" s="80"/>
      <c r="V31" s="80"/>
      <c r="W31" s="56"/>
      <c r="X31" s="59"/>
      <c r="Y31" s="59"/>
      <c r="Z31" s="59"/>
      <c r="AA31" s="59"/>
      <c r="AB31" s="59"/>
      <c r="AC31" s="59"/>
      <c r="AD31" s="59"/>
      <c r="AE31" s="59"/>
      <c r="AF31" s="59"/>
      <c r="AG31" s="80"/>
      <c r="AH31" s="80"/>
      <c r="AI31" s="80"/>
      <c r="AJ31" s="80"/>
      <c r="AK31" s="80"/>
      <c r="AL31" s="80"/>
      <c r="AM31" s="59"/>
      <c r="AN31" s="59"/>
      <c r="AO31" s="59"/>
      <c r="AP31" s="59"/>
      <c r="AQ31" s="59"/>
      <c r="AR31" s="59"/>
      <c r="AS31" s="59"/>
      <c r="AT31" s="59"/>
      <c r="AU31" s="59"/>
      <c r="AV31" s="59"/>
      <c r="AW31" s="80"/>
      <c r="AX31" s="80"/>
      <c r="AY31" s="80"/>
      <c r="AZ31" s="80"/>
      <c r="BA31" s="80"/>
      <c r="BB31" s="80"/>
      <c r="BC31" s="56"/>
      <c r="BD31" s="56"/>
      <c r="BE31" s="56"/>
    </row>
    <row r="32" spans="1:57" s="57" customFormat="1" ht="30" customHeight="1" x14ac:dyDescent="0.3">
      <c r="A32" s="56"/>
      <c r="B32" s="56"/>
      <c r="C32" s="56"/>
      <c r="D32" s="56"/>
      <c r="E32" s="56"/>
      <c r="F32" s="56"/>
      <c r="G32" s="56"/>
      <c r="H32" s="502" t="s">
        <v>900</v>
      </c>
      <c r="I32" s="503"/>
      <c r="J32" s="503"/>
      <c r="K32" s="503"/>
      <c r="L32" s="503"/>
      <c r="M32" s="503"/>
      <c r="N32" s="503"/>
      <c r="O32" s="503"/>
      <c r="P32" s="504"/>
      <c r="Q32" s="505" cm="1">
        <f t="array" ref="Q32">SUM(Q38:S38,-Q34:S37)</f>
        <v>0</v>
      </c>
      <c r="R32" s="505"/>
      <c r="S32" s="505"/>
      <c r="T32" s="317">
        <f>IFERROR(ROUND(Q32/$Q$6,0),0)</f>
        <v>0</v>
      </c>
      <c r="U32" s="317"/>
      <c r="V32" s="318"/>
      <c r="W32" s="56"/>
      <c r="X32" s="502" t="s">
        <v>900</v>
      </c>
      <c r="Y32" s="503"/>
      <c r="Z32" s="503"/>
      <c r="AA32" s="503"/>
      <c r="AB32" s="503"/>
      <c r="AC32" s="503"/>
      <c r="AD32" s="503"/>
      <c r="AE32" s="503"/>
      <c r="AF32" s="504"/>
      <c r="AG32" s="505" cm="1">
        <f t="array" ref="AG32">SUM(AG38:AI38,-AG34:AI37)</f>
        <v>0</v>
      </c>
      <c r="AH32" s="505"/>
      <c r="AI32" s="505"/>
      <c r="AJ32" s="317">
        <f>IFERROR(ROUND(AG32/$AG$6,0),0)</f>
        <v>0</v>
      </c>
      <c r="AK32" s="317"/>
      <c r="AL32" s="318"/>
      <c r="AM32" s="59"/>
      <c r="AN32" s="502" t="s">
        <v>900</v>
      </c>
      <c r="AO32" s="503"/>
      <c r="AP32" s="503"/>
      <c r="AQ32" s="503"/>
      <c r="AR32" s="503"/>
      <c r="AS32" s="503"/>
      <c r="AT32" s="503"/>
      <c r="AU32" s="503"/>
      <c r="AV32" s="504"/>
      <c r="AW32" s="505" cm="1">
        <f t="array" ref="AW32">SUM(AW38:AY38,-AW34:AY37)</f>
        <v>0</v>
      </c>
      <c r="AX32" s="505"/>
      <c r="AY32" s="505"/>
      <c r="AZ32" s="317">
        <f>IFERROR(ROUND(AW32/$AW$6,0),0)</f>
        <v>0</v>
      </c>
      <c r="BA32" s="317"/>
      <c r="BB32" s="318"/>
      <c r="BC32" s="56"/>
      <c r="BD32" s="56"/>
      <c r="BE32" s="56"/>
    </row>
    <row r="33" spans="1:57" s="57" customFormat="1" ht="30" customHeight="1" x14ac:dyDescent="0.3">
      <c r="A33" s="56"/>
      <c r="B33" s="56"/>
      <c r="C33" s="56"/>
      <c r="D33" s="56"/>
      <c r="E33" s="56"/>
      <c r="F33" s="56"/>
      <c r="G33" s="56"/>
      <c r="H33" s="487" t="s">
        <v>1119</v>
      </c>
      <c r="I33" s="274"/>
      <c r="J33" s="274"/>
      <c r="K33" s="274"/>
      <c r="L33" s="274"/>
      <c r="M33" s="274"/>
      <c r="N33" s="274"/>
      <c r="O33" s="274"/>
      <c r="P33" s="274"/>
      <c r="Q33" s="274"/>
      <c r="R33" s="274"/>
      <c r="S33" s="274"/>
      <c r="T33" s="274"/>
      <c r="U33" s="274"/>
      <c r="V33" s="488"/>
      <c r="W33" s="56"/>
      <c r="X33" s="487" t="s">
        <v>1119</v>
      </c>
      <c r="Y33" s="274"/>
      <c r="Z33" s="274"/>
      <c r="AA33" s="274"/>
      <c r="AB33" s="274"/>
      <c r="AC33" s="274"/>
      <c r="AD33" s="274"/>
      <c r="AE33" s="274"/>
      <c r="AF33" s="274"/>
      <c r="AG33" s="274"/>
      <c r="AH33" s="274"/>
      <c r="AI33" s="274"/>
      <c r="AJ33" s="274"/>
      <c r="AK33" s="274"/>
      <c r="AL33" s="488"/>
      <c r="AM33" s="59"/>
      <c r="AN33" s="487" t="s">
        <v>1119</v>
      </c>
      <c r="AO33" s="274"/>
      <c r="AP33" s="274"/>
      <c r="AQ33" s="274"/>
      <c r="AR33" s="274"/>
      <c r="AS33" s="274"/>
      <c r="AT33" s="274"/>
      <c r="AU33" s="274"/>
      <c r="AV33" s="274"/>
      <c r="AW33" s="274"/>
      <c r="AX33" s="274"/>
      <c r="AY33" s="274"/>
      <c r="AZ33" s="274"/>
      <c r="BA33" s="274"/>
      <c r="BB33" s="488"/>
      <c r="BC33" s="56"/>
      <c r="BD33" s="56"/>
      <c r="BE33" s="56"/>
    </row>
    <row r="34" spans="1:57" s="57" customFormat="1" ht="30" customHeight="1" x14ac:dyDescent="0.3">
      <c r="A34" s="56"/>
      <c r="B34" s="56"/>
      <c r="C34" s="56"/>
      <c r="D34" s="56"/>
      <c r="E34" s="56"/>
      <c r="F34" s="56"/>
      <c r="G34" s="56"/>
      <c r="H34" s="483" t="s">
        <v>892</v>
      </c>
      <c r="I34" s="247"/>
      <c r="J34" s="247"/>
      <c r="K34" s="247"/>
      <c r="L34" s="247"/>
      <c r="M34" s="247"/>
      <c r="N34" s="247"/>
      <c r="O34" s="247"/>
      <c r="P34" s="248"/>
      <c r="Q34" s="258">
        <f>SUMIFS(Input[F. W. - Stat (NR AFR) E&amp;G],Input[Institution Name],$H$1)+SUMIFS(Input[F. W. - Stat (NR AFR) Desg],Input[Institution Name],$H$1)+SUMIFS(Input[F. W. - Stat (NR AFR) Aux],Input[Institution Name],$H$1)+SUMIFS(Input[F. W. - Stat (NR AFR) R Exp],Input[Institution Name],$H$1)+SUMIFS(Input[F. W. - Stat (NR AFR) Loan],Input[Institution Name],$H$1)+SUMIFS(Input[F. W. - Stat (NR AFR) Annuity],Input[Institution Name],$H$1)+SUMIFS(Input[F. W. - Stat (NR AFR) Unexp],Input[Institution Name],$H$1)+SUMIFS(Input[F. W. - Stat (NR AFR) R of Ind],Input[Institution Name],$H$1)+SUMIFS(Input[F. W. - Stat (NR AFR) Inv in P],Input[Institution Name],$H$1)</f>
        <v>0</v>
      </c>
      <c r="R34" s="258"/>
      <c r="S34" s="258"/>
      <c r="T34" s="258">
        <f>IFERROR(ROUND(Q34/$Q$6,0),0)</f>
        <v>0</v>
      </c>
      <c r="U34" s="258"/>
      <c r="V34" s="357"/>
      <c r="W34" s="56"/>
      <c r="X34" s="483" t="s">
        <v>892</v>
      </c>
      <c r="Y34" s="247"/>
      <c r="Z34" s="247"/>
      <c r="AA34" s="247"/>
      <c r="AB34" s="247"/>
      <c r="AC34" s="247"/>
      <c r="AD34" s="247"/>
      <c r="AE34" s="247"/>
      <c r="AF34" s="248"/>
      <c r="AG34" s="258">
        <f>SUMIFS(Input[F. W. - Stat (NR AFR) E&amp;G],Input[Institution Name],$X$1)+SUMIFS(Input[F. W. - Stat (NR AFR) Desg],Input[Institution Name],$X$1)+SUMIFS(Input[F. W. - Stat (NR AFR) Aux],Input[Institution Name],$X$1)+SUMIFS(Input[F. W. - Stat (NR AFR) R Exp],Input[Institution Name],$X$1)+SUMIFS(Input[F. W. - Stat (NR AFR) Loan],Input[Institution Name],$X$1)+SUMIFS(Input[F. W. - Stat (NR AFR) Annuity],Input[Institution Name],$X$1)+SUMIFS(Input[F. W. - Stat (NR AFR) Unexp],Input[Institution Name],$X$1)+SUMIFS(Input[F. W. - Stat (NR AFR) R of Ind],Input[Institution Name],$X$1)+SUMIFS(Input[F. W. - Stat (NR AFR) Inv in P],Input[Institution Name],$X$1)</f>
        <v>0</v>
      </c>
      <c r="AH34" s="258"/>
      <c r="AI34" s="258"/>
      <c r="AJ34" s="258">
        <f>IFERROR(ROUND(AG34/$AG$6,0),0)</f>
        <v>0</v>
      </c>
      <c r="AK34" s="258"/>
      <c r="AL34" s="357"/>
      <c r="AM34" s="59"/>
      <c r="AN34" s="483" t="s">
        <v>892</v>
      </c>
      <c r="AO34" s="247"/>
      <c r="AP34" s="247"/>
      <c r="AQ34" s="247"/>
      <c r="AR34" s="247"/>
      <c r="AS34" s="247"/>
      <c r="AT34" s="247"/>
      <c r="AU34" s="247"/>
      <c r="AV34" s="248"/>
      <c r="AW34" s="258">
        <f>SUMIFS(Input[F. W. - Stat (NR AFR) E&amp;G],Input[Institution Name],$AN$1)+SUMIFS(Input[F. W. - Stat (NR AFR) Desg],Input[Institution Name],$AN$1)+SUMIFS(Input[F. W. - Stat (NR AFR) Aux],Input[Institution Name],$AN$1)+SUMIFS(Input[F. W. - Stat (NR AFR) R Exp],Input[Institution Name],$AN$1)+SUMIFS(Input[F. W. - Stat (NR AFR) Loan],Input[Institution Name],$AN$1)+SUMIFS(Input[F. W. - Stat (NR AFR) Annuity],Input[Institution Name],$AN$1)+SUMIFS(Input[F. W. - Stat (NR AFR) Unexp],Input[Institution Name],$AN$1)+SUMIFS(Input[F. W. - Stat (NR AFR) R of Ind],Input[Institution Name],$AN$1)+SUMIFS(Input[F. W. - Stat (NR AFR) Inv in P],Input[Institution Name],$AN$1)</f>
        <v>0</v>
      </c>
      <c r="AX34" s="258"/>
      <c r="AY34" s="258"/>
      <c r="AZ34" s="258">
        <f>IFERROR(ROUND(AW34/$AW$6,0),0)</f>
        <v>0</v>
      </c>
      <c r="BA34" s="258"/>
      <c r="BB34" s="357"/>
      <c r="BC34" s="56"/>
      <c r="BD34" s="56"/>
      <c r="BE34" s="56"/>
    </row>
    <row r="35" spans="1:57" s="57" customFormat="1" ht="30" customHeight="1" x14ac:dyDescent="0.3">
      <c r="A35" s="56"/>
      <c r="B35" s="56"/>
      <c r="C35" s="56"/>
      <c r="D35" s="56"/>
      <c r="E35" s="56"/>
      <c r="F35" s="56"/>
      <c r="G35" s="56"/>
      <c r="H35" s="306" t="s">
        <v>893</v>
      </c>
      <c r="I35" s="255"/>
      <c r="J35" s="255"/>
      <c r="K35" s="255"/>
      <c r="L35" s="255"/>
      <c r="M35" s="255"/>
      <c r="N35" s="255"/>
      <c r="O35" s="255"/>
      <c r="P35" s="256"/>
      <c r="Q35" s="260">
        <f>SUMIFS(Input[F. W. - Inst. (NR AFR) E&amp;G],Input[Institution Name],$H$1)+SUMIFS(Input[F. W. - Inst. (NR AFR) Desg],Input[Institution Name],$H$1)+SUMIFS(Input[F. W. - Inst. (NR AFR) Aux],Input[Institution Name],$H$1)+SUMIFS(Input[F. W. - Inst. (NR AFR) R Exp],Input[Institution Name],$H$1)+SUMIFS(Input[F. W. - Inst. (NR AFR) Loan],Input[Institution Name],$H$1)+SUMIFS(Input[F. W. - Inst. (NR AFR) Annuity],Input[Institution Name],$H$1)+SUMIFS(Input[F. W. - Inst. (NR AFR) Unexp],Input[Institution Name],$H$1)+SUMIFS(Input[F. W. - Inst. (NR AFR) R of Ind],Input[Institution Name],$H$1)+SUMIFS(Input[F. W. - Inst. (NR AFR) Inv in P],Input[Institution Name],$H$1)</f>
        <v>0</v>
      </c>
      <c r="R35" s="260"/>
      <c r="S35" s="260"/>
      <c r="T35" s="260">
        <f>IFERROR(ROUND(Q35/$Q$6,0),0)</f>
        <v>0</v>
      </c>
      <c r="U35" s="260"/>
      <c r="V35" s="308"/>
      <c r="W35" s="56"/>
      <c r="X35" s="306" t="s">
        <v>893</v>
      </c>
      <c r="Y35" s="255"/>
      <c r="Z35" s="255"/>
      <c r="AA35" s="255"/>
      <c r="AB35" s="255"/>
      <c r="AC35" s="255"/>
      <c r="AD35" s="255"/>
      <c r="AE35" s="255"/>
      <c r="AF35" s="256"/>
      <c r="AG35" s="260">
        <f>SUMIFS(Input[F. W. - Inst. (NR AFR) E&amp;G],Input[Institution Name],$X$1)+SUMIFS(Input[F. W. - Inst. (NR AFR) Desg],Input[Institution Name],$X$1)+SUMIFS(Input[F. W. - Inst. (NR AFR) Aux],Input[Institution Name],$X$1)+SUMIFS(Input[F. W. - Inst. (NR AFR) R Exp],Input[Institution Name],$X$1)+SUMIFS(Input[F. W. - Inst. (NR AFR) Loan],Input[Institution Name],$X$1)+SUMIFS(Input[F. W. - Inst. (NR AFR) Annuity],Input[Institution Name],$X$1)+SUMIFS(Input[F. W. - Inst. (NR AFR) Unexp],Input[Institution Name],$X$1)+SUMIFS(Input[F. W. - Inst. (NR AFR) R of Ind],Input[Institution Name],$X$1)+SUMIFS(Input[F. W. - Inst. (NR AFR) Inv in P],Input[Institution Name],$X$1)</f>
        <v>0</v>
      </c>
      <c r="AH35" s="260"/>
      <c r="AI35" s="260"/>
      <c r="AJ35" s="260">
        <f>IFERROR(ROUND(AG35/$AG$6,0),0)</f>
        <v>0</v>
      </c>
      <c r="AK35" s="260"/>
      <c r="AL35" s="308"/>
      <c r="AM35" s="59"/>
      <c r="AN35" s="306" t="s">
        <v>893</v>
      </c>
      <c r="AO35" s="255"/>
      <c r="AP35" s="255"/>
      <c r="AQ35" s="255"/>
      <c r="AR35" s="255"/>
      <c r="AS35" s="255"/>
      <c r="AT35" s="255"/>
      <c r="AU35" s="255"/>
      <c r="AV35" s="256"/>
      <c r="AW35" s="260">
        <f>SUMIFS(Input[F. W. - Inst. (NR AFR) E&amp;G],Input[Institution Name],$AN$1)+SUMIFS(Input[F. W. - Inst. (NR AFR) Desg],Input[Institution Name],$AN$1)+SUMIFS(Input[F. W. - Inst. (NR AFR) Aux],Input[Institution Name],$AN$1)+SUMIFS(Input[F. W. - Inst. (NR AFR) R Exp],Input[Institution Name],$AN$1)+SUMIFS(Input[F. W. - Inst. (NR AFR) Loan],Input[Institution Name],$AN$1)+SUMIFS(Input[F. W. - Inst. (NR AFR) Annuity],Input[Institution Name],$AN$1)+SUMIFS(Input[F. W. - Inst. (NR AFR) Unexp],Input[Institution Name],$AN$1)+SUMIFS(Input[F. W. - Inst. (NR AFR) R of Ind],Input[Institution Name],$AN$1)+SUMIFS(Input[F. W. - Inst. (NR AFR) Inv in P],Input[Institution Name],$AN$1)</f>
        <v>0</v>
      </c>
      <c r="AX35" s="260"/>
      <c r="AY35" s="260"/>
      <c r="AZ35" s="260">
        <f>IFERROR(ROUND(AW35/$AW$6,0),0)</f>
        <v>0</v>
      </c>
      <c r="BA35" s="260"/>
      <c r="BB35" s="308"/>
      <c r="BC35" s="56"/>
      <c r="BD35" s="56"/>
      <c r="BE35" s="56"/>
    </row>
    <row r="36" spans="1:57" s="57" customFormat="1" ht="30" customHeight="1" x14ac:dyDescent="0.3">
      <c r="A36" s="56"/>
      <c r="B36" s="56"/>
      <c r="C36" s="56"/>
      <c r="D36" s="56"/>
      <c r="E36" s="56"/>
      <c r="F36" s="56"/>
      <c r="G36" s="56"/>
      <c r="H36" s="306" t="s">
        <v>894</v>
      </c>
      <c r="I36" s="255"/>
      <c r="J36" s="255"/>
      <c r="K36" s="255"/>
      <c r="L36" s="255"/>
      <c r="M36" s="255"/>
      <c r="N36" s="255"/>
      <c r="O36" s="255"/>
      <c r="P36" s="256"/>
      <c r="Q36" s="260">
        <f>SUMIFS(Input[F. Exp. - Stat (NR AFR) E&amp;G],Input[Institution Name],$H$1)+SUMIFS(Input[F. Exp. - Stat (NR AFR) Desg],Input[Institution Name],$H$1)+SUMIFS(Input[F. Exp. - Stat (NR AFR) Aux],Input[Institution Name],$H$1)+SUMIFS(Input[F. Exp. - Stat (NR AFR) R Exp],Input[Institution Name],$H$1)+SUMIFS(Input[F. Exp. - Stat (NR AFR) Loan],Input[Institution Name],$H$1)+SUMIFS(Input[F. Exp. - Stat (NR AFR) Annuity],Input[Institution Name],$H$1)+SUMIFS(Input[F. Exp. - Stat (NR AFR) Unexp],Input[Institution Name],$H$1)+SUMIFS(Input[F. Exp. - Stat (NR AFR) R of Ind],Input[Institution Name],$H$1)+SUMIFS(Input[F. Exp. - Stat (NR AFR) Inv in P],Input[Institution Name],$H$1)</f>
        <v>0</v>
      </c>
      <c r="R36" s="260"/>
      <c r="S36" s="260"/>
      <c r="T36" s="260">
        <f>IFERROR(ROUND(Q36/$Q$6,0),0)</f>
        <v>0</v>
      </c>
      <c r="U36" s="260"/>
      <c r="V36" s="308"/>
      <c r="W36" s="56"/>
      <c r="X36" s="306" t="s">
        <v>894</v>
      </c>
      <c r="Y36" s="255"/>
      <c r="Z36" s="255"/>
      <c r="AA36" s="255"/>
      <c r="AB36" s="255"/>
      <c r="AC36" s="255"/>
      <c r="AD36" s="255"/>
      <c r="AE36" s="255"/>
      <c r="AF36" s="256"/>
      <c r="AG36" s="260">
        <f>SUMIFS(Input[F. Exp. - Stat (NR AFR) E&amp;G],Input[Institution Name],$X$1)+SUMIFS(Input[F. Exp. - Stat (NR AFR) Desg],Input[Institution Name],$X$1)+SUMIFS(Input[F. Exp. - Stat (NR AFR) Aux],Input[Institution Name],$X$1)+SUMIFS(Input[F. Exp. - Stat (NR AFR) R Exp],Input[Institution Name],$X$1)+SUMIFS(Input[F. Exp. - Stat (NR AFR) Loan],Input[Institution Name],$X$1)+SUMIFS(Input[F. Exp. - Stat (NR AFR) Annuity],Input[Institution Name],$X$1)+SUMIFS(Input[F. Exp. - Stat (NR AFR) Unexp],Input[Institution Name],$X$1)+SUMIFS(Input[F. Exp. - Stat (NR AFR) R of Ind],Input[Institution Name],$X$1)+SUMIFS(Input[F. Exp. - Stat (NR AFR) Inv in P],Input[Institution Name],$X$1)</f>
        <v>0</v>
      </c>
      <c r="AH36" s="260"/>
      <c r="AI36" s="260"/>
      <c r="AJ36" s="260">
        <f>IFERROR(ROUND(AG36/$AG$6,0),0)</f>
        <v>0</v>
      </c>
      <c r="AK36" s="260"/>
      <c r="AL36" s="308"/>
      <c r="AM36" s="59"/>
      <c r="AN36" s="306" t="s">
        <v>894</v>
      </c>
      <c r="AO36" s="255"/>
      <c r="AP36" s="255"/>
      <c r="AQ36" s="255"/>
      <c r="AR36" s="255"/>
      <c r="AS36" s="255"/>
      <c r="AT36" s="255"/>
      <c r="AU36" s="255"/>
      <c r="AV36" s="256"/>
      <c r="AW36" s="260">
        <f>SUMIFS(Input[F. Exp. - Stat (NR AFR) E&amp;G],Input[Institution Name],$AN$1)+SUMIFS(Input[F. Exp. - Stat (NR AFR) Desg],Input[Institution Name],$AN$1)+SUMIFS(Input[F. Exp. - Stat (NR AFR) Aux],Input[Institution Name],$AN$1)+SUMIFS(Input[F. Exp. - Stat (NR AFR) R Exp],Input[Institution Name],$AN$1)+SUMIFS(Input[F. Exp. - Stat (NR AFR) Loan],Input[Institution Name],$AN$1)+SUMIFS(Input[F. Exp. - Stat (NR AFR) Annuity],Input[Institution Name],$AN$1)+SUMIFS(Input[F. Exp. - Stat (NR AFR) Unexp],Input[Institution Name],$AN$1)+SUMIFS(Input[F. Exp. - Stat (NR AFR) R of Ind],Input[Institution Name],$AN$1)+SUMIFS(Input[F. Exp. - Stat (NR AFR) Inv in P],Input[Institution Name],$AN$1)</f>
        <v>0</v>
      </c>
      <c r="AX36" s="260"/>
      <c r="AY36" s="260"/>
      <c r="AZ36" s="260">
        <f>IFERROR(ROUND(AW36/$AW$6,0),0)</f>
        <v>0</v>
      </c>
      <c r="BA36" s="260"/>
      <c r="BB36" s="308"/>
      <c r="BC36" s="56"/>
      <c r="BD36" s="56"/>
      <c r="BE36" s="56"/>
    </row>
    <row r="37" spans="1:57" s="57" customFormat="1" ht="30" customHeight="1" x14ac:dyDescent="0.3">
      <c r="A37" s="56"/>
      <c r="B37" s="56"/>
      <c r="C37" s="56"/>
      <c r="D37" s="56"/>
      <c r="E37" s="56"/>
      <c r="F37" s="56"/>
      <c r="G37" s="56"/>
      <c r="H37" s="306" t="s">
        <v>895</v>
      </c>
      <c r="I37" s="255"/>
      <c r="J37" s="255"/>
      <c r="K37" s="255"/>
      <c r="L37" s="255"/>
      <c r="M37" s="255"/>
      <c r="N37" s="255"/>
      <c r="O37" s="255"/>
      <c r="P37" s="256"/>
      <c r="Q37" s="260">
        <f>SUMIFS(Input[F. Exp. - Inst. (NR AFR) E&amp;G],Input[Institution Name],$H$1)+SUMIFS(Input[F. Exp. - Inst. (NR AFR) Desg],Input[Institution Name],$H$1)+SUMIFS(Input[F. Exp. - Inst. (NR AFR) Aux],Input[Institution Name],$H$1)+SUMIFS(Input[F. Exp. - Inst. (NR AFR) R Exp],Input[Institution Name],$H$1)+SUMIFS(Input[F. Exp. - Inst. (NR AFR) Loan],Input[Institution Name],$H$1)+SUMIFS(Input[F. Exp. - Inst. (NR AFR) Annuity],Input[Institution Name],$H$1)+SUMIFS(Input[F. Exp. - Inst. (NR AFR) Unexp],Input[Institution Name],$H$1)+SUMIFS(Input[F. Exp. - Inst. (NR AFR) R of Ind],Input[Institution Name],$H$1)+SUMIFS(Input[F. Exp. - Inst. (NR AFR) Inv in P],Input[Institution Name],$H$1)</f>
        <v>0</v>
      </c>
      <c r="R37" s="260"/>
      <c r="S37" s="260"/>
      <c r="T37" s="260">
        <f>IFERROR(ROUND(Q37/$Q$6,0),0)</f>
        <v>0</v>
      </c>
      <c r="U37" s="260"/>
      <c r="V37" s="308"/>
      <c r="W37" s="56"/>
      <c r="X37" s="306" t="s">
        <v>895</v>
      </c>
      <c r="Y37" s="255"/>
      <c r="Z37" s="255"/>
      <c r="AA37" s="255"/>
      <c r="AB37" s="255"/>
      <c r="AC37" s="255"/>
      <c r="AD37" s="255"/>
      <c r="AE37" s="255"/>
      <c r="AF37" s="256"/>
      <c r="AG37" s="260">
        <f>SUMIFS(Input[F. Exp. - Inst. (NR AFR) E&amp;G],Input[Institution Name],$X$1)+SUMIFS(Input[F. Exp. - Inst. (NR AFR) Desg],Input[Institution Name],$X$1)+SUMIFS(Input[F. Exp. - Inst. (NR AFR) Aux],Input[Institution Name],$X$1)+SUMIFS(Input[F. Exp. - Inst. (NR AFR) R Exp],Input[Institution Name],$X$1)+SUMIFS(Input[F. Exp. - Inst. (NR AFR) Loan],Input[Institution Name],$X$1)+SUMIFS(Input[F. Exp. - Inst. (NR AFR) Annuity],Input[Institution Name],$X$1)+SUMIFS(Input[F. Exp. - Inst. (NR AFR) Unexp],Input[Institution Name],$X$1)+SUMIFS(Input[F. Exp. - Inst. (NR AFR) R of Ind],Input[Institution Name],$X$1)+SUMIFS(Input[F. Exp. - Inst. (NR AFR) Inv in P],Input[Institution Name],$X$1)</f>
        <v>0</v>
      </c>
      <c r="AH37" s="260"/>
      <c r="AI37" s="260"/>
      <c r="AJ37" s="260">
        <f>IFERROR(ROUND(AG37/$AG$6,0),0)</f>
        <v>0</v>
      </c>
      <c r="AK37" s="260"/>
      <c r="AL37" s="308"/>
      <c r="AM37" s="59"/>
      <c r="AN37" s="306" t="s">
        <v>895</v>
      </c>
      <c r="AO37" s="255"/>
      <c r="AP37" s="255"/>
      <c r="AQ37" s="255"/>
      <c r="AR37" s="255"/>
      <c r="AS37" s="255"/>
      <c r="AT37" s="255"/>
      <c r="AU37" s="255"/>
      <c r="AV37" s="256"/>
      <c r="AW37" s="260">
        <f>SUMIFS(Input[F. Exp. - Inst. (NR AFR) E&amp;G],Input[Institution Name],$AN$1)+SUMIFS(Input[F. Exp. - Inst. (NR AFR) Desg],Input[Institution Name],$AN$1)+SUMIFS(Input[F. Exp. - Inst. (NR AFR) Aux],Input[Institution Name],$AN$1)+SUMIFS(Input[F. Exp. - Inst. (NR AFR) R Exp],Input[Institution Name],$AN$1)+SUMIFS(Input[F. Exp. - Inst. (NR AFR) Loan],Input[Institution Name],$AN$1)+SUMIFS(Input[F. Exp. - Inst. (NR AFR) Annuity],Input[Institution Name],$AN$1)+SUMIFS(Input[F. Exp. - Inst. (NR AFR) Unexp],Input[Institution Name],$AN$1)+SUMIFS(Input[F. Exp. - Inst. (NR AFR) R of Ind],Input[Institution Name],$AN$1)+SUMIFS(Input[F. Exp. - Inst. (NR AFR) Inv in P],Input[Institution Name],$AN$1)</f>
        <v>0</v>
      </c>
      <c r="AX37" s="260"/>
      <c r="AY37" s="260"/>
      <c r="AZ37" s="260">
        <f>IFERROR(ROUND(AW37/$AW$6,0),0)</f>
        <v>0</v>
      </c>
      <c r="BA37" s="260"/>
      <c r="BB37" s="308"/>
      <c r="BC37" s="56"/>
      <c r="BD37" s="56"/>
      <c r="BE37" s="56"/>
    </row>
    <row r="38" spans="1:57" s="57" customFormat="1" ht="30" customHeight="1" x14ac:dyDescent="0.3">
      <c r="A38" s="56"/>
      <c r="B38" s="56"/>
      <c r="C38" s="56"/>
      <c r="D38" s="56"/>
      <c r="E38" s="56"/>
      <c r="F38" s="56"/>
      <c r="G38" s="56"/>
      <c r="H38" s="306" t="s">
        <v>902</v>
      </c>
      <c r="I38" s="255"/>
      <c r="J38" s="255"/>
      <c r="K38" s="255"/>
      <c r="L38" s="255"/>
      <c r="M38" s="255"/>
      <c r="N38" s="255"/>
      <c r="O38" s="255"/>
      <c r="P38" s="256"/>
      <c r="Q38" s="260">
        <f>SUMIFS(Input[Fees - Gross E&amp;G],Input[Institution Name],$H$1)+SUMIFS(Input[Fees - Gross Desg],Input[Institution Name],$H$1)+SUMIFS(Input[Fees - Gross Aux],Input[Institution Name],$H$1)+SUMIFS(Input[Fees - Gross R Exp],Input[Institution Name],$H$1)+SUMIFS(Input[Fees - Gross Loan],Input[Institution Name],$H$1)+SUMIFS(Input[Fees - Gross Annuity],Input[Institution Name],$H$1)+SUMIFS(Input[Fees - Gross Unexp],Input[Institution Name],$H$1)+SUMIFS(Input[Fees - Gross R of Ind],Input[Institution Name],$H$1)+SUMIFS(Input[Fees - Gross Inv in P],Input[Institution Name],$H$1)</f>
        <v>0</v>
      </c>
      <c r="R38" s="260"/>
      <c r="S38" s="260"/>
      <c r="T38" s="260">
        <f>IFERROR(ROUND(Q38/$Q$6,0),0)</f>
        <v>0</v>
      </c>
      <c r="U38" s="260"/>
      <c r="V38" s="308"/>
      <c r="W38" s="56"/>
      <c r="X38" s="306" t="s">
        <v>902</v>
      </c>
      <c r="Y38" s="255"/>
      <c r="Z38" s="255"/>
      <c r="AA38" s="255"/>
      <c r="AB38" s="255"/>
      <c r="AC38" s="255"/>
      <c r="AD38" s="255"/>
      <c r="AE38" s="255"/>
      <c r="AF38" s="256"/>
      <c r="AG38" s="260">
        <f>SUMIFS(Input[Fees - Gross E&amp;G],Input[Institution Name],$X$1)+SUMIFS(Input[Fees - Gross Desg],Input[Institution Name],$X$1)+SUMIFS(Input[Fees - Gross Aux],Input[Institution Name],$X$1)+SUMIFS(Input[Fees - Gross R Exp],Input[Institution Name],$X$1)+SUMIFS(Input[Fees - Gross Loan],Input[Institution Name],$X$1)+SUMIFS(Input[Fees - Gross Annuity],Input[Institution Name],$X$1)+SUMIFS(Input[Fees - Gross Unexp],Input[Institution Name],$X$1)+SUMIFS(Input[Fees - Gross R of Ind],Input[Institution Name],$X$1)+SUMIFS(Input[Fees - Gross Inv in P],Input[Institution Name],$X$1)</f>
        <v>0</v>
      </c>
      <c r="AH38" s="260"/>
      <c r="AI38" s="260"/>
      <c r="AJ38" s="260">
        <f>IFERROR(ROUND(AG38/$AG$6,0),0)</f>
        <v>0</v>
      </c>
      <c r="AK38" s="260"/>
      <c r="AL38" s="308"/>
      <c r="AM38" s="59"/>
      <c r="AN38" s="306" t="s">
        <v>902</v>
      </c>
      <c r="AO38" s="255"/>
      <c r="AP38" s="255"/>
      <c r="AQ38" s="255"/>
      <c r="AR38" s="255"/>
      <c r="AS38" s="255"/>
      <c r="AT38" s="255"/>
      <c r="AU38" s="255"/>
      <c r="AV38" s="256"/>
      <c r="AW38" s="260">
        <f>SUMIFS(Input[Fees - Gross E&amp;G],Input[Institution Name],$AN$1)+SUMIFS(Input[Fees - Gross Desg],Input[Institution Name],$AN$1)+SUMIFS(Input[Fees - Gross Aux],Input[Institution Name],$AN$1)+SUMIFS(Input[Fees - Gross R Exp],Input[Institution Name],$AN$1)+SUMIFS(Input[Fees - Gross Loan],Input[Institution Name],$AN$1)+SUMIFS(Input[Fees - Gross Annuity],Input[Institution Name],$AN$1)+SUMIFS(Input[Fees - Gross Unexp],Input[Institution Name],$AN$1)+SUMIFS(Input[Fees - Gross R of Ind],Input[Institution Name],$AN$1)+SUMIFS(Input[Fees - Gross Inv in P],Input[Institution Name],$AN$1)</f>
        <v>0</v>
      </c>
      <c r="AX38" s="260"/>
      <c r="AY38" s="260"/>
      <c r="AZ38" s="260">
        <f>IFERROR(ROUND(AW38/$AW$6,0),0)</f>
        <v>0</v>
      </c>
      <c r="BA38" s="260"/>
      <c r="BB38" s="308"/>
      <c r="BC38" s="56"/>
      <c r="BD38" s="56"/>
      <c r="BE38" s="56"/>
    </row>
    <row r="39" spans="1:57" s="57" customFormat="1" ht="30" customHeight="1" x14ac:dyDescent="0.3">
      <c r="A39" s="56"/>
      <c r="B39" s="56"/>
      <c r="C39" s="56"/>
      <c r="D39" s="56"/>
      <c r="E39" s="56"/>
      <c r="F39" s="56"/>
      <c r="G39" s="56"/>
      <c r="H39" s="487" t="s">
        <v>897</v>
      </c>
      <c r="I39" s="274"/>
      <c r="J39" s="274"/>
      <c r="K39" s="274"/>
      <c r="L39" s="274"/>
      <c r="M39" s="274"/>
      <c r="N39" s="274"/>
      <c r="O39" s="274"/>
      <c r="P39" s="274"/>
      <c r="Q39" s="274"/>
      <c r="R39" s="274"/>
      <c r="S39" s="274"/>
      <c r="T39" s="274"/>
      <c r="U39" s="274"/>
      <c r="V39" s="488"/>
      <c r="W39" s="56"/>
      <c r="X39" s="487" t="s">
        <v>897</v>
      </c>
      <c r="Y39" s="274"/>
      <c r="Z39" s="274"/>
      <c r="AA39" s="274"/>
      <c r="AB39" s="274"/>
      <c r="AC39" s="274"/>
      <c r="AD39" s="274"/>
      <c r="AE39" s="274"/>
      <c r="AF39" s="274"/>
      <c r="AG39" s="274"/>
      <c r="AH39" s="274"/>
      <c r="AI39" s="274"/>
      <c r="AJ39" s="274"/>
      <c r="AK39" s="274"/>
      <c r="AL39" s="488"/>
      <c r="AM39" s="59"/>
      <c r="AN39" s="487" t="s">
        <v>897</v>
      </c>
      <c r="AO39" s="274"/>
      <c r="AP39" s="274"/>
      <c r="AQ39" s="274"/>
      <c r="AR39" s="274"/>
      <c r="AS39" s="274"/>
      <c r="AT39" s="274"/>
      <c r="AU39" s="274"/>
      <c r="AV39" s="274"/>
      <c r="AW39" s="274"/>
      <c r="AX39" s="274"/>
      <c r="AY39" s="274"/>
      <c r="AZ39" s="274"/>
      <c r="BA39" s="274"/>
      <c r="BB39" s="488"/>
      <c r="BC39" s="56"/>
      <c r="BD39" s="56"/>
      <c r="BE39" s="56"/>
    </row>
    <row r="40" spans="1:57" s="57" customFormat="1" ht="30" customHeight="1" x14ac:dyDescent="0.3">
      <c r="A40" s="56"/>
      <c r="B40" s="56"/>
      <c r="C40" s="56"/>
      <c r="D40" s="56"/>
      <c r="E40" s="56"/>
      <c r="F40" s="56"/>
      <c r="G40" s="56"/>
      <c r="H40" s="483" t="s">
        <v>892</v>
      </c>
      <c r="I40" s="247"/>
      <c r="J40" s="247"/>
      <c r="K40" s="247"/>
      <c r="L40" s="247"/>
      <c r="M40" s="247"/>
      <c r="N40" s="247"/>
      <c r="O40" s="247"/>
      <c r="P40" s="248"/>
      <c r="Q40" s="258">
        <f>SUMIFS(Input[F. W. - Stat (R AFR) E&amp;G],Input[Institution Name],$H$1)+SUMIFS(Input[F. W. - Stat (R AFR) Desg],Input[Institution Name],$H$1)+SUMIFS(Input[F. W. - Stat (R AFR) Aux],Input[Institution Name],$H$1)+SUMIFS(Input[F. W. - Stat (R AFR) R Exp],Input[Institution Name],$H$1)+SUMIFS(Input[F. W. - Stat (R AFR) Loan],Input[Institution Name],$H$1)+SUMIFS(Input[F. W. - Stat (R AFR) Annuity],Input[Institution Name],$H$1)+SUMIFS(Input[F. W. - Stat (R AFR) Unexp],Input[Institution Name],$H$1)+SUMIFS(Input[F. W. - Stat (R AFR) R of Ind],Input[Institution Name],$H$1)+SUMIFS(Input[F. W. - Stat (R AFR) Inv in P],Input[Institution Name],$H$1)</f>
        <v>0</v>
      </c>
      <c r="R40" s="258"/>
      <c r="S40" s="258"/>
      <c r="T40" s="258">
        <f>IFERROR(ROUND(Q40/$Q$6,0),0)</f>
        <v>0</v>
      </c>
      <c r="U40" s="258"/>
      <c r="V40" s="357"/>
      <c r="W40" s="56"/>
      <c r="X40" s="483" t="s">
        <v>892</v>
      </c>
      <c r="Y40" s="247"/>
      <c r="Z40" s="247"/>
      <c r="AA40" s="247"/>
      <c r="AB40" s="247"/>
      <c r="AC40" s="247"/>
      <c r="AD40" s="247"/>
      <c r="AE40" s="247"/>
      <c r="AF40" s="248"/>
      <c r="AG40" s="258">
        <f>SUMIFS(Input[F. W. - Stat (R AFR) E&amp;G],Input[Institution Name],$X$1)+SUMIFS(Input[F. W. - Stat (R AFR) Desg],Input[Institution Name],$X$1)+SUMIFS(Input[F. W. - Stat (R AFR) Aux],Input[Institution Name],$X$1)+SUMIFS(Input[F. W. - Stat (R AFR) R Exp],Input[Institution Name],$X$1)+SUMIFS(Input[F. W. - Stat (R AFR) Loan],Input[Institution Name],$X$1)+SUMIFS(Input[F. W. - Stat (R AFR) Annuity],Input[Institution Name],$X$1)+SUMIFS(Input[F. W. - Stat (R AFR) Unexp],Input[Institution Name],$X$1)+SUMIFS(Input[F. W. - Stat (R AFR) R of Ind],Input[Institution Name],$X$1)+SUMIFS(Input[F. W. - Stat (R AFR) Inv in P],Input[Institution Name],$X$1)</f>
        <v>0</v>
      </c>
      <c r="AH40" s="258"/>
      <c r="AI40" s="258"/>
      <c r="AJ40" s="258">
        <f>IFERROR(ROUND(AG40/$AG$6,0),0)</f>
        <v>0</v>
      </c>
      <c r="AK40" s="258"/>
      <c r="AL40" s="357"/>
      <c r="AM40" s="59"/>
      <c r="AN40" s="483" t="s">
        <v>892</v>
      </c>
      <c r="AO40" s="247"/>
      <c r="AP40" s="247"/>
      <c r="AQ40" s="247"/>
      <c r="AR40" s="247"/>
      <c r="AS40" s="247"/>
      <c r="AT40" s="247"/>
      <c r="AU40" s="247"/>
      <c r="AV40" s="248"/>
      <c r="AW40" s="258">
        <f>SUMIFS(Input[F. W. - Stat (R AFR) E&amp;G],Input[Institution Name],$AN$1)+SUMIFS(Input[F. W. - Stat (R AFR) Desg],Input[Institution Name],$AN$1)+SUMIFS(Input[F. W. - Stat (R AFR) Aux],Input[Institution Name],$AN$1)+SUMIFS(Input[F. W. - Stat (R AFR) R Exp],Input[Institution Name],$AN$1)+SUMIFS(Input[F. W. - Stat (R AFR) Loan],Input[Institution Name],$AN$1)+SUMIFS(Input[F. W. - Stat (R AFR) Annuity],Input[Institution Name],$AN$1)+SUMIFS(Input[F. W. - Stat (R AFR) Unexp],Input[Institution Name],$AN$1)+SUMIFS(Input[F. W. - Stat (R AFR) R of Ind],Input[Institution Name],$AN$1)+SUMIFS(Input[F. W. - Stat (R AFR) Inv in P],Input[Institution Name],$AN$1)</f>
        <v>0</v>
      </c>
      <c r="AX40" s="258"/>
      <c r="AY40" s="258"/>
      <c r="AZ40" s="258">
        <f>IFERROR(ROUND(AW40/$AW$6,0),0)</f>
        <v>0</v>
      </c>
      <c r="BA40" s="258"/>
      <c r="BB40" s="357"/>
      <c r="BC40" s="56"/>
      <c r="BD40" s="56"/>
      <c r="BE40" s="56"/>
    </row>
    <row r="41" spans="1:57" s="57" customFormat="1" ht="30" customHeight="1" x14ac:dyDescent="0.3">
      <c r="A41" s="56"/>
      <c r="B41" s="56"/>
      <c r="C41" s="56"/>
      <c r="D41" s="56"/>
      <c r="E41" s="56"/>
      <c r="F41" s="56"/>
      <c r="G41" s="56"/>
      <c r="H41" s="306" t="s">
        <v>893</v>
      </c>
      <c r="I41" s="255"/>
      <c r="J41" s="255"/>
      <c r="K41" s="255"/>
      <c r="L41" s="255"/>
      <c r="M41" s="255"/>
      <c r="N41" s="255"/>
      <c r="O41" s="255"/>
      <c r="P41" s="256"/>
      <c r="Q41" s="260">
        <f>SUMIFS(Input[F. W. - Inst. (R AFR) E&amp;G],Input[Institution Name],$H$1)+SUMIFS(Input[F. W. - Inst. (R AFR) Desg],Input[Institution Name],$H$1)+SUMIFS(Input[F. W. - Inst. (R AFR) Aux],Input[Institution Name],$H$1)+SUMIFS(Input[F. W. - Inst. (R AFR) R Exp],Input[Institution Name],$H$1)+SUMIFS(Input[F. W. - Inst. (R AFR) Loan],Input[Institution Name],$H$1)+SUMIFS(Input[F. W. - Inst. (R AFR) Annuity],Input[Institution Name],$H$1)+SUMIFS(Input[F. W. - Inst. (R AFR) Unexp],Input[Institution Name],$H$1)+SUMIFS(Input[F. W. - Inst. (R AFR) R of Ind],Input[Institution Name],$H$1)+SUMIFS(Input[F. W. - Inst. (R AFR) Inv in P],Input[Institution Name],$H$1)</f>
        <v>0</v>
      </c>
      <c r="R41" s="260"/>
      <c r="S41" s="260"/>
      <c r="T41" s="260">
        <f>IFERROR(ROUND(Q41/$Q$6,0),0)</f>
        <v>0</v>
      </c>
      <c r="U41" s="260"/>
      <c r="V41" s="308"/>
      <c r="W41" s="56"/>
      <c r="X41" s="306" t="s">
        <v>893</v>
      </c>
      <c r="Y41" s="255"/>
      <c r="Z41" s="255"/>
      <c r="AA41" s="255"/>
      <c r="AB41" s="255"/>
      <c r="AC41" s="255"/>
      <c r="AD41" s="255"/>
      <c r="AE41" s="255"/>
      <c r="AF41" s="256"/>
      <c r="AG41" s="260">
        <f>SUMIFS(Input[F. W. - Inst. (R AFR) E&amp;G],Input[Institution Name],$X$1)+SUMIFS(Input[F. W. - Inst. (R AFR) Desg],Input[Institution Name],$X$1)+SUMIFS(Input[F. W. - Inst. (R AFR) Aux],Input[Institution Name],$X$1)+SUMIFS(Input[F. W. - Inst. (R AFR) R Exp],Input[Institution Name],$X$1)+SUMIFS(Input[F. W. - Inst. (R AFR) Loan],Input[Institution Name],$X$1)+SUMIFS(Input[F. W. - Inst. (R AFR) Annuity],Input[Institution Name],$X$1)+SUMIFS(Input[F. W. - Inst. (R AFR) Unexp],Input[Institution Name],$X$1)+SUMIFS(Input[F. W. - Inst. (R AFR) R of Ind],Input[Institution Name],$X$1)+SUMIFS(Input[F. W. - Inst. (R AFR) Inv in P],Input[Institution Name],$X$1)</f>
        <v>0</v>
      </c>
      <c r="AH41" s="260"/>
      <c r="AI41" s="260"/>
      <c r="AJ41" s="260">
        <f>IFERROR(ROUND(AG41/$AG$6,0),0)</f>
        <v>0</v>
      </c>
      <c r="AK41" s="260"/>
      <c r="AL41" s="308"/>
      <c r="AM41" s="59"/>
      <c r="AN41" s="306" t="s">
        <v>893</v>
      </c>
      <c r="AO41" s="255"/>
      <c r="AP41" s="255"/>
      <c r="AQ41" s="255"/>
      <c r="AR41" s="255"/>
      <c r="AS41" s="255"/>
      <c r="AT41" s="255"/>
      <c r="AU41" s="255"/>
      <c r="AV41" s="256"/>
      <c r="AW41" s="260">
        <f>SUMIFS(Input[F. W. - Inst. (R AFR) E&amp;G],Input[Institution Name],$AN$1)+SUMIFS(Input[F. W. - Inst. (R AFR) Desg],Input[Institution Name],$AN$1)+SUMIFS(Input[F. W. - Inst. (R AFR) Aux],Input[Institution Name],$AN$1)+SUMIFS(Input[F. W. - Inst. (R AFR) R Exp],Input[Institution Name],$AN$1)+SUMIFS(Input[F. W. - Inst. (R AFR) Loan],Input[Institution Name],$AN$1)+SUMIFS(Input[F. W. - Inst. (R AFR) Annuity],Input[Institution Name],$AN$1)+SUMIFS(Input[F. W. - Inst. (R AFR) Unexp],Input[Institution Name],$AN$1)+SUMIFS(Input[F. W. - Inst. (R AFR) R of Ind],Input[Institution Name],$AN$1)+SUMIFS(Input[F. W. - Inst. (R AFR) Inv in P],Input[Institution Name],$AN$1)</f>
        <v>0</v>
      </c>
      <c r="AX41" s="260"/>
      <c r="AY41" s="260"/>
      <c r="AZ41" s="260">
        <f>IFERROR(ROUND(AW41/$AW$6,0),0)</f>
        <v>0</v>
      </c>
      <c r="BA41" s="260"/>
      <c r="BB41" s="308"/>
      <c r="BC41" s="56"/>
      <c r="BD41" s="56"/>
      <c r="BE41" s="56"/>
    </row>
    <row r="42" spans="1:57" s="57" customFormat="1" ht="30" customHeight="1" x14ac:dyDescent="0.3">
      <c r="A42" s="56"/>
      <c r="B42" s="56"/>
      <c r="C42" s="56"/>
      <c r="D42" s="56"/>
      <c r="E42" s="56"/>
      <c r="F42" s="56"/>
      <c r="G42" s="56"/>
      <c r="H42" s="306" t="s">
        <v>894</v>
      </c>
      <c r="I42" s="255"/>
      <c r="J42" s="255"/>
      <c r="K42" s="255"/>
      <c r="L42" s="255"/>
      <c r="M42" s="255"/>
      <c r="N42" s="255"/>
      <c r="O42" s="255"/>
      <c r="P42" s="256"/>
      <c r="Q42" s="260">
        <f>SUMIFS(Input[F. Exp. - Stat (R AFR) E&amp;G],Input[Institution Name],$H$1)+SUMIFS(Input[F. Exp. - Stat (R AFR) Desg],Input[Institution Name],$H$1)+SUMIFS(Input[F. Exp. - Stat (R AFR) Aux],Input[Institution Name],$H$1)+SUMIFS(Input[F. Exp. - Stat (R AFR) R Exp],Input[Institution Name],$H$1)+SUMIFS(Input[F. Exp. - Stat (R AFR) Loan],Input[Institution Name],$H$1)+SUMIFS(Input[F. Exp. - Stat (R AFR) Annuity],Input[Institution Name],$H$1)+SUMIFS(Input[F. Exp. - Stat (R AFR) Unexp],Input[Institution Name],$H$1)+SUMIFS(Input[F. Exp. - Stat (R AFR) R of Ind],Input[Institution Name],$H$1)+SUMIFS(Input[F. Exp. - Stat (R AFR) Inv in P],Input[Institution Name],$H$1)</f>
        <v>0</v>
      </c>
      <c r="R42" s="260"/>
      <c r="S42" s="260"/>
      <c r="T42" s="260">
        <f>IFERROR(ROUND(Q42/$Q$6,0),0)</f>
        <v>0</v>
      </c>
      <c r="U42" s="260"/>
      <c r="V42" s="308"/>
      <c r="W42" s="56"/>
      <c r="X42" s="306" t="s">
        <v>894</v>
      </c>
      <c r="Y42" s="255"/>
      <c r="Z42" s="255"/>
      <c r="AA42" s="255"/>
      <c r="AB42" s="255"/>
      <c r="AC42" s="255"/>
      <c r="AD42" s="255"/>
      <c r="AE42" s="255"/>
      <c r="AF42" s="256"/>
      <c r="AG42" s="260">
        <f>SUMIFS(Input[F. Exp. - Stat (R AFR) E&amp;G],Input[Institution Name],$X$1)+SUMIFS(Input[F. Exp. - Stat (R AFR) Desg],Input[Institution Name],$X$1)+SUMIFS(Input[F. Exp. - Stat (R AFR) Aux],Input[Institution Name],$X$1)+SUMIFS(Input[F. Exp. - Stat (R AFR) R Exp],Input[Institution Name],$X$1)+SUMIFS(Input[F. Exp. - Stat (R AFR) Loan],Input[Institution Name],$X$1)+SUMIFS(Input[F. Exp. - Stat (R AFR) Annuity],Input[Institution Name],$X$1)+SUMIFS(Input[F. Exp. - Stat (R AFR) Unexp],Input[Institution Name],$X$1)+SUMIFS(Input[F. Exp. - Stat (R AFR) R of Ind],Input[Institution Name],$X$1)+SUMIFS(Input[F. Exp. - Stat (R AFR) Inv in P],Input[Institution Name],$X$1)</f>
        <v>0</v>
      </c>
      <c r="AH42" s="260"/>
      <c r="AI42" s="260"/>
      <c r="AJ42" s="260">
        <f>IFERROR(ROUND(AG42/$AG$6,0),0)</f>
        <v>0</v>
      </c>
      <c r="AK42" s="260"/>
      <c r="AL42" s="308"/>
      <c r="AM42" s="59"/>
      <c r="AN42" s="306" t="s">
        <v>894</v>
      </c>
      <c r="AO42" s="255"/>
      <c r="AP42" s="255"/>
      <c r="AQ42" s="255"/>
      <c r="AR42" s="255"/>
      <c r="AS42" s="255"/>
      <c r="AT42" s="255"/>
      <c r="AU42" s="255"/>
      <c r="AV42" s="256"/>
      <c r="AW42" s="260">
        <f>SUMIFS(Input[F. Exp. - Stat (R AFR) E&amp;G],Input[Institution Name],$AN$1)+SUMIFS(Input[F. Exp. - Stat (R AFR) Desg],Input[Institution Name],$AN$1)+SUMIFS(Input[F. Exp. - Stat (R AFR) Aux],Input[Institution Name],$AN$1)+SUMIFS(Input[F. Exp. - Stat (R AFR) R Exp],Input[Institution Name],$AN$1)+SUMIFS(Input[F. Exp. - Stat (R AFR) Loan],Input[Institution Name],$AN$1)+SUMIFS(Input[F. Exp. - Stat (R AFR) Annuity],Input[Institution Name],$AN$1)+SUMIFS(Input[F. Exp. - Stat (R AFR) Unexp],Input[Institution Name],$AN$1)+SUMIFS(Input[F. Exp. - Stat (R AFR) R of Ind],Input[Institution Name],$AN$1)+SUMIFS(Input[F. Exp. - Stat (R AFR) Inv in P],Input[Institution Name],$AN$1)</f>
        <v>0</v>
      </c>
      <c r="AX42" s="260"/>
      <c r="AY42" s="260"/>
      <c r="AZ42" s="260">
        <f>IFERROR(ROUND(AW42/$AW$6,0),0)</f>
        <v>0</v>
      </c>
      <c r="BA42" s="260"/>
      <c r="BB42" s="308"/>
      <c r="BC42" s="56"/>
      <c r="BD42" s="56"/>
      <c r="BE42" s="56"/>
    </row>
    <row r="43" spans="1:57" s="57" customFormat="1" ht="30" customHeight="1" x14ac:dyDescent="0.3">
      <c r="A43" s="56"/>
      <c r="B43" s="56"/>
      <c r="C43" s="56"/>
      <c r="D43" s="56"/>
      <c r="E43" s="56"/>
      <c r="F43" s="56"/>
      <c r="G43" s="56"/>
      <c r="H43" s="306" t="s">
        <v>895</v>
      </c>
      <c r="I43" s="255"/>
      <c r="J43" s="255"/>
      <c r="K43" s="255"/>
      <c r="L43" s="255"/>
      <c r="M43" s="255"/>
      <c r="N43" s="255"/>
      <c r="O43" s="255"/>
      <c r="P43" s="256"/>
      <c r="Q43" s="260">
        <f>SUMIFS(Input[F. Exp. - Inst. (R AFR) E&amp;G],Input[Institution Name],$H$1)+SUMIFS(Input[F. Exp. - Inst. (R AFR) Desg],Input[Institution Name],$H$1)+SUMIFS(Input[F. Exp. - Inst. (R AFR) Aux],Input[Institution Name],$H$1)+SUMIFS(Input[F. Exp. - Inst. (R AFR) R Exp],Input[Institution Name],$H$1)+SUMIFS(Input[F. Exp. - Inst. (R AFR) Loan],Input[Institution Name],$H$1)+SUMIFS(Input[F. Exp. - Inst. (R AFR) Annuity],Input[Institution Name],$H$1)+SUMIFS(Input[F. Exp. - Inst. (R AFR) Unexp],Input[Institution Name],$H$1)+SUMIFS(Input[F. Exp. - Inst. (R AFR) R of Ind],Input[Institution Name],$H$1)+SUMIFS(Input[F. Exp. - Inst. (R AFR) Inv in P],Input[Institution Name],$H$1)</f>
        <v>0</v>
      </c>
      <c r="R43" s="260"/>
      <c r="S43" s="260"/>
      <c r="T43" s="260">
        <f>IFERROR(ROUND(Q43/$Q$6,0),0)</f>
        <v>0</v>
      </c>
      <c r="U43" s="260"/>
      <c r="V43" s="308"/>
      <c r="W43" s="56"/>
      <c r="X43" s="306" t="s">
        <v>895</v>
      </c>
      <c r="Y43" s="255"/>
      <c r="Z43" s="255"/>
      <c r="AA43" s="255"/>
      <c r="AB43" s="255"/>
      <c r="AC43" s="255"/>
      <c r="AD43" s="255"/>
      <c r="AE43" s="255"/>
      <c r="AF43" s="256"/>
      <c r="AG43" s="260">
        <f>SUMIFS(Input[F. Exp. - Inst. (R AFR) E&amp;G],Input[Institution Name],$X$1)+SUMIFS(Input[F. Exp. - Inst. (R AFR) Desg],Input[Institution Name],$X$1)+SUMIFS(Input[F. Exp. - Inst. (R AFR) Aux],Input[Institution Name],$X$1)+SUMIFS(Input[F. Exp. - Inst. (R AFR) R Exp],Input[Institution Name],$X$1)+SUMIFS(Input[F. Exp. - Inst. (R AFR) Loan],Input[Institution Name],$X$1)+SUMIFS(Input[F. Exp. - Inst. (R AFR) Annuity],Input[Institution Name],$X$1)+SUMIFS(Input[F. Exp. - Inst. (R AFR) Unexp],Input[Institution Name],$X$1)+SUMIFS(Input[F. Exp. - Inst. (R AFR) R of Ind],Input[Institution Name],$X$1)+SUMIFS(Input[F. Exp. - Inst. (R AFR) Inv in P],Input[Institution Name],$X$1)</f>
        <v>0</v>
      </c>
      <c r="AH43" s="260"/>
      <c r="AI43" s="260"/>
      <c r="AJ43" s="260">
        <f>IFERROR(ROUND(AG43/$AG$6,0),0)</f>
        <v>0</v>
      </c>
      <c r="AK43" s="260"/>
      <c r="AL43" s="308"/>
      <c r="AM43" s="59"/>
      <c r="AN43" s="306" t="s">
        <v>895</v>
      </c>
      <c r="AO43" s="255"/>
      <c r="AP43" s="255"/>
      <c r="AQ43" s="255"/>
      <c r="AR43" s="255"/>
      <c r="AS43" s="255"/>
      <c r="AT43" s="255"/>
      <c r="AU43" s="255"/>
      <c r="AV43" s="256"/>
      <c r="AW43" s="260">
        <f>SUMIFS(Input[F. Exp. - Inst. (R AFR) E&amp;G],Input[Institution Name],$AN$1)+SUMIFS(Input[F. Exp. - Inst. (R AFR) Desg],Input[Institution Name],$AN$1)+SUMIFS(Input[F. Exp. - Inst. (R AFR) Aux],Input[Institution Name],$AN$1)+SUMIFS(Input[F. Exp. - Inst. (R AFR) R Exp],Input[Institution Name],$AN$1)+SUMIFS(Input[F. Exp. - Inst. (R AFR) Loan],Input[Institution Name],$AN$1)+SUMIFS(Input[F. Exp. - Inst. (R AFR) Annuity],Input[Institution Name],$AN$1)+SUMIFS(Input[F. Exp. - Inst. (R AFR) Unexp],Input[Institution Name],$AN$1)+SUMIFS(Input[F. Exp. - Inst. (R AFR) R of Ind],Input[Institution Name],$AN$1)+SUMIFS(Input[F. Exp. - Inst. (R AFR) Inv in P],Input[Institution Name],$AN$1)</f>
        <v>0</v>
      </c>
      <c r="AX43" s="260"/>
      <c r="AY43" s="260"/>
      <c r="AZ43" s="260">
        <f>IFERROR(ROUND(AW43/$AW$6,0),0)</f>
        <v>0</v>
      </c>
      <c r="BA43" s="260"/>
      <c r="BB43" s="308"/>
      <c r="BC43" s="56"/>
      <c r="BD43" s="56"/>
      <c r="BE43" s="56"/>
    </row>
    <row r="44" spans="1:57" s="57" customFormat="1" ht="30" customHeight="1" x14ac:dyDescent="0.3">
      <c r="A44" s="56"/>
      <c r="B44" s="56"/>
      <c r="C44" s="56"/>
      <c r="D44" s="56"/>
      <c r="E44" s="56"/>
      <c r="F44" s="56"/>
      <c r="G44" s="56"/>
      <c r="H44" s="306" t="s">
        <v>898</v>
      </c>
      <c r="I44" s="255"/>
      <c r="J44" s="255"/>
      <c r="K44" s="255"/>
      <c r="L44" s="255"/>
      <c r="M44" s="255"/>
      <c r="N44" s="255"/>
      <c r="O44" s="255"/>
      <c r="P44" s="256"/>
      <c r="Q44" s="260">
        <f>SUMIFS(Input[Fee Schlr E&amp;G],Input[Institution Name],$H$1)+SUMIFS(Input[Fee Schlr Desg],Input[Institution Name],$H$1)+SUMIFS(Input[Fee Schlr Aux],Input[Institution Name],$H$1)+SUMIFS(Input[Fee Schlr R Exp],Input[Institution Name],$H$1)+SUMIFS(Input[Fee Schlr Loan],Input[Institution Name],$H$1)+SUMIFS(Input[Fee Schlr Annuity],Input[Institution Name],$H$1)+SUMIFS(Input[Fee Schlr Unexp],Input[Institution Name],$H$1)+SUMIFS(Input[Fee Schlr R of Ind],Input[Institution Name],$H$1)+SUMIFS(Input[Fee Schlr Inv in P],Input[Institution Name],$H$1)</f>
        <v>0</v>
      </c>
      <c r="R44" s="260"/>
      <c r="S44" s="260"/>
      <c r="T44" s="260">
        <f>IFERROR(ROUND(Q44/$Q$6,0),0)</f>
        <v>0</v>
      </c>
      <c r="U44" s="260"/>
      <c r="V44" s="308"/>
      <c r="W44" s="56"/>
      <c r="X44" s="306" t="s">
        <v>898</v>
      </c>
      <c r="Y44" s="255"/>
      <c r="Z44" s="255"/>
      <c r="AA44" s="255"/>
      <c r="AB44" s="255"/>
      <c r="AC44" s="255"/>
      <c r="AD44" s="255"/>
      <c r="AE44" s="255"/>
      <c r="AF44" s="256"/>
      <c r="AG44" s="260">
        <f>SUMIFS(Input[Fee Schlr E&amp;G],Input[Institution Name],$X$1)+SUMIFS(Input[Fee Schlr Desg],Input[Institution Name],$X$1)+SUMIFS(Input[Fee Schlr Aux],Input[Institution Name],$X$1)+SUMIFS(Input[Fee Schlr R Exp],Input[Institution Name],$X$1)+SUMIFS(Input[Fee Schlr Loan],Input[Institution Name],$X$1)+SUMIFS(Input[Fee Schlr Annuity],Input[Institution Name],$X$1)+SUMIFS(Input[Fee Schlr Unexp],Input[Institution Name],$X$1)+SUMIFS(Input[Fee Schlr R of Ind],Input[Institution Name],$X$1)+SUMIFS(Input[Fee Schlr Inv in P],Input[Institution Name],$X$1)</f>
        <v>0</v>
      </c>
      <c r="AH44" s="260"/>
      <c r="AI44" s="260"/>
      <c r="AJ44" s="260">
        <f>IFERROR(ROUND(AG44/$AG$6,0),0)</f>
        <v>0</v>
      </c>
      <c r="AK44" s="260"/>
      <c r="AL44" s="308"/>
      <c r="AM44" s="59"/>
      <c r="AN44" s="306" t="s">
        <v>898</v>
      </c>
      <c r="AO44" s="255"/>
      <c r="AP44" s="255"/>
      <c r="AQ44" s="255"/>
      <c r="AR44" s="255"/>
      <c r="AS44" s="255"/>
      <c r="AT44" s="255"/>
      <c r="AU44" s="255"/>
      <c r="AV44" s="256"/>
      <c r="AW44" s="260">
        <f>SUMIFS(Input[Fee Schlr E&amp;G],Input[Institution Name],$AN$1)+SUMIFS(Input[Fee Schlr Desg],Input[Institution Name],$AN$1)+SUMIFS(Input[Fee Schlr Aux],Input[Institution Name],$AN$1)+SUMIFS(Input[Fee Schlr R Exp],Input[Institution Name],$AN$1)+SUMIFS(Input[Fee Schlr Loan],Input[Institution Name],$AN$1)+SUMIFS(Input[Fee Schlr Annuity],Input[Institution Name],$AN$1)+SUMIFS(Input[Fee Schlr Unexp],Input[Institution Name],$AN$1)+SUMIFS(Input[Fee Schlr R of Ind],Input[Institution Name],$AN$1)+SUMIFS(Input[Fee Schlr Inv in P],Input[Institution Name],$AN$1)</f>
        <v>0</v>
      </c>
      <c r="AX44" s="260"/>
      <c r="AY44" s="260"/>
      <c r="AZ44" s="260">
        <f>IFERROR(ROUND(AW44/$AW$6,0),0)</f>
        <v>0</v>
      </c>
      <c r="BA44" s="260"/>
      <c r="BB44" s="308"/>
      <c r="BC44" s="56"/>
      <c r="BD44" s="56"/>
      <c r="BE44" s="56"/>
    </row>
    <row r="45" spans="1:57" s="57" customFormat="1" ht="30" customHeight="1" x14ac:dyDescent="0.3">
      <c r="A45" s="56"/>
      <c r="B45" s="56"/>
      <c r="C45" s="56"/>
      <c r="D45" s="56"/>
      <c r="E45" s="56"/>
      <c r="F45" s="56"/>
      <c r="G45" s="56"/>
      <c r="H45" s="323" t="s">
        <v>903</v>
      </c>
      <c r="I45" s="324"/>
      <c r="J45" s="324"/>
      <c r="K45" s="324"/>
      <c r="L45" s="324"/>
      <c r="M45" s="324"/>
      <c r="N45" s="324"/>
      <c r="O45" s="324"/>
      <c r="P45" s="324"/>
      <c r="Q45" s="329">
        <f>SUM(Q38,Q40:S44)</f>
        <v>0</v>
      </c>
      <c r="R45" s="329"/>
      <c r="S45" s="329"/>
      <c r="T45" s="329">
        <f>SUM(T40:V44)</f>
        <v>0</v>
      </c>
      <c r="U45" s="329"/>
      <c r="V45" s="330"/>
      <c r="W45" s="56"/>
      <c r="X45" s="323" t="s">
        <v>903</v>
      </c>
      <c r="Y45" s="324"/>
      <c r="Z45" s="324"/>
      <c r="AA45" s="324"/>
      <c r="AB45" s="324"/>
      <c r="AC45" s="324"/>
      <c r="AD45" s="324"/>
      <c r="AE45" s="324"/>
      <c r="AF45" s="324"/>
      <c r="AG45" s="329">
        <f>SUM(AG38,AG40:AI44)</f>
        <v>0</v>
      </c>
      <c r="AH45" s="329"/>
      <c r="AI45" s="329"/>
      <c r="AJ45" s="329">
        <f>SUM(AJ38,AJ40:AL44)</f>
        <v>0</v>
      </c>
      <c r="AK45" s="329"/>
      <c r="AL45" s="330"/>
      <c r="AM45" s="59"/>
      <c r="AN45" s="323" t="s">
        <v>903</v>
      </c>
      <c r="AO45" s="324"/>
      <c r="AP45" s="324"/>
      <c r="AQ45" s="324"/>
      <c r="AR45" s="324"/>
      <c r="AS45" s="324"/>
      <c r="AT45" s="324"/>
      <c r="AU45" s="324"/>
      <c r="AV45" s="324"/>
      <c r="AW45" s="329">
        <f>SUM(AW38,AW40:AY44)</f>
        <v>0</v>
      </c>
      <c r="AX45" s="329"/>
      <c r="AY45" s="329"/>
      <c r="AZ45" s="329">
        <f>SUM(AZ38,AZ40:BB44)</f>
        <v>0</v>
      </c>
      <c r="BA45" s="329"/>
      <c r="BB45" s="330"/>
      <c r="BC45" s="56"/>
      <c r="BD45" s="56"/>
      <c r="BE45" s="56"/>
    </row>
    <row r="46" spans="1:57" s="57" customFormat="1" ht="30" customHeight="1" x14ac:dyDescent="0.3">
      <c r="A46" s="56"/>
      <c r="B46" s="56"/>
      <c r="C46" s="56"/>
      <c r="D46" s="56"/>
      <c r="E46" s="56"/>
      <c r="F46" s="56"/>
      <c r="G46" s="56"/>
      <c r="H46" s="59"/>
      <c r="I46" s="59"/>
      <c r="J46" s="59"/>
      <c r="K46" s="59"/>
      <c r="L46" s="59"/>
      <c r="M46" s="59"/>
      <c r="N46" s="59"/>
      <c r="O46" s="59"/>
      <c r="P46" s="59"/>
      <c r="Q46" s="80"/>
      <c r="R46" s="80"/>
      <c r="S46" s="80"/>
      <c r="T46" s="80"/>
      <c r="U46" s="80"/>
      <c r="V46" s="80"/>
      <c r="W46" s="56"/>
      <c r="X46" s="59"/>
      <c r="Y46" s="59"/>
      <c r="Z46" s="59"/>
      <c r="AA46" s="59"/>
      <c r="AB46" s="59"/>
      <c r="AC46" s="59"/>
      <c r="AD46" s="59"/>
      <c r="AE46" s="59"/>
      <c r="AF46" s="59"/>
      <c r="AG46" s="80"/>
      <c r="AH46" s="80"/>
      <c r="AI46" s="80"/>
      <c r="AJ46" s="80"/>
      <c r="AK46" s="80"/>
      <c r="AL46" s="80"/>
      <c r="AM46" s="56"/>
      <c r="AN46" s="59"/>
      <c r="AO46" s="59"/>
      <c r="AP46" s="59"/>
      <c r="AQ46" s="59"/>
      <c r="AR46" s="59"/>
      <c r="AS46" s="59"/>
      <c r="AT46" s="59"/>
      <c r="AU46" s="59"/>
      <c r="AV46" s="59"/>
      <c r="AW46" s="80"/>
      <c r="AX46" s="80"/>
      <c r="AY46" s="80"/>
      <c r="AZ46" s="80"/>
      <c r="BA46" s="80"/>
      <c r="BB46" s="80"/>
      <c r="BC46" s="56"/>
      <c r="BD46" s="56"/>
      <c r="BE46" s="56"/>
    </row>
    <row r="47" spans="1:57" s="57" customFormat="1" ht="30" customHeight="1" x14ac:dyDescent="0.3">
      <c r="A47" s="56"/>
      <c r="B47" s="56"/>
      <c r="C47" s="56"/>
      <c r="D47" s="56"/>
      <c r="E47" s="56"/>
      <c r="F47" s="56"/>
      <c r="G47" s="56"/>
      <c r="H47" s="369" t="s">
        <v>904</v>
      </c>
      <c r="I47" s="370"/>
      <c r="J47" s="370"/>
      <c r="K47" s="370"/>
      <c r="L47" s="370"/>
      <c r="M47" s="370"/>
      <c r="N47" s="370"/>
      <c r="O47" s="370"/>
      <c r="P47" s="370"/>
      <c r="Q47" s="367">
        <f>SUM(Q30,Q45)</f>
        <v>0</v>
      </c>
      <c r="R47" s="367"/>
      <c r="S47" s="367"/>
      <c r="T47" s="367">
        <f>IFERROR(ROUND(Q47/$Q$6,0),0)</f>
        <v>0</v>
      </c>
      <c r="U47" s="367"/>
      <c r="V47" s="368"/>
      <c r="W47" s="56"/>
      <c r="X47" s="369" t="s">
        <v>904</v>
      </c>
      <c r="Y47" s="370"/>
      <c r="Z47" s="370"/>
      <c r="AA47" s="370"/>
      <c r="AB47" s="370"/>
      <c r="AC47" s="370"/>
      <c r="AD47" s="370"/>
      <c r="AE47" s="370"/>
      <c r="AF47" s="370"/>
      <c r="AG47" s="367">
        <f>SUM(AG30,AG45)</f>
        <v>0</v>
      </c>
      <c r="AH47" s="367"/>
      <c r="AI47" s="367"/>
      <c r="AJ47" s="367">
        <f>SUM(AJ30,AJ45)</f>
        <v>0</v>
      </c>
      <c r="AK47" s="367"/>
      <c r="AL47" s="368"/>
      <c r="AM47" s="56"/>
      <c r="AN47" s="369" t="s">
        <v>904</v>
      </c>
      <c r="AO47" s="370"/>
      <c r="AP47" s="370"/>
      <c r="AQ47" s="370"/>
      <c r="AR47" s="370"/>
      <c r="AS47" s="370"/>
      <c r="AT47" s="370"/>
      <c r="AU47" s="370"/>
      <c r="AV47" s="370"/>
      <c r="AW47" s="367">
        <f>SUM(AW30,AW45)</f>
        <v>0</v>
      </c>
      <c r="AX47" s="367"/>
      <c r="AY47" s="367"/>
      <c r="AZ47" s="367">
        <f>SUM(AZ30,AZ45)</f>
        <v>0</v>
      </c>
      <c r="BA47" s="367"/>
      <c r="BB47" s="368"/>
      <c r="BC47" s="56"/>
      <c r="BD47" s="56"/>
      <c r="BE47" s="56"/>
    </row>
    <row r="48" spans="1:57" s="57" customFormat="1" ht="30" customHeight="1" x14ac:dyDescent="0.3">
      <c r="A48" s="56"/>
      <c r="B48" s="56"/>
      <c r="C48" s="56"/>
      <c r="D48" s="56"/>
      <c r="E48" s="56"/>
      <c r="F48" s="56"/>
      <c r="G48" s="56"/>
      <c r="H48" s="59"/>
      <c r="I48" s="59"/>
      <c r="J48" s="59"/>
      <c r="K48" s="59"/>
      <c r="L48" s="59"/>
      <c r="M48" s="59"/>
      <c r="N48" s="59"/>
      <c r="O48" s="59"/>
      <c r="P48" s="59"/>
      <c r="Q48" s="80"/>
      <c r="R48" s="80"/>
      <c r="S48" s="80"/>
      <c r="T48" s="80"/>
      <c r="U48" s="80"/>
      <c r="V48" s="80"/>
      <c r="W48" s="56"/>
      <c r="X48" s="59"/>
      <c r="Y48" s="59"/>
      <c r="Z48" s="59"/>
      <c r="AA48" s="59"/>
      <c r="AB48" s="59"/>
      <c r="AC48" s="59"/>
      <c r="AD48" s="59"/>
      <c r="AE48" s="59"/>
      <c r="AF48" s="59"/>
      <c r="AG48" s="80"/>
      <c r="AH48" s="80"/>
      <c r="AI48" s="80"/>
      <c r="AJ48" s="80"/>
      <c r="AK48" s="80"/>
      <c r="AL48" s="80"/>
      <c r="AM48" s="56"/>
      <c r="AN48" s="59"/>
      <c r="AO48" s="59"/>
      <c r="AP48" s="59"/>
      <c r="AQ48" s="59"/>
      <c r="AR48" s="59"/>
      <c r="AS48" s="59"/>
      <c r="AT48" s="59"/>
      <c r="AU48" s="59"/>
      <c r="AV48" s="59"/>
      <c r="AW48" s="80"/>
      <c r="AX48" s="80"/>
      <c r="AY48" s="80"/>
      <c r="AZ48" s="80"/>
      <c r="BA48" s="80"/>
      <c r="BB48" s="80"/>
      <c r="BC48" s="56"/>
      <c r="BD48" s="56"/>
      <c r="BE48" s="56"/>
    </row>
    <row r="49" spans="1:57" s="57" customFormat="1" ht="30" customHeight="1" x14ac:dyDescent="0.3">
      <c r="A49" s="56"/>
      <c r="B49" s="56"/>
      <c r="C49" s="56"/>
      <c r="D49" s="56"/>
      <c r="E49" s="56"/>
      <c r="F49" s="56"/>
      <c r="G49" s="56"/>
      <c r="H49" s="560" t="s">
        <v>905</v>
      </c>
      <c r="I49" s="561"/>
      <c r="J49" s="561"/>
      <c r="K49" s="561"/>
      <c r="L49" s="561"/>
      <c r="M49" s="561"/>
      <c r="N49" s="561"/>
      <c r="O49" s="561"/>
      <c r="P49" s="561"/>
      <c r="Q49" s="562" t="s">
        <v>981</v>
      </c>
      <c r="R49" s="562"/>
      <c r="S49" s="562"/>
      <c r="T49" s="562" t="s">
        <v>982</v>
      </c>
      <c r="U49" s="562"/>
      <c r="V49" s="563"/>
      <c r="W49" s="56"/>
      <c r="X49" s="560" t="s">
        <v>905</v>
      </c>
      <c r="Y49" s="561"/>
      <c r="Z49" s="561"/>
      <c r="AA49" s="561"/>
      <c r="AB49" s="561"/>
      <c r="AC49" s="561"/>
      <c r="AD49" s="561"/>
      <c r="AE49" s="561"/>
      <c r="AF49" s="561"/>
      <c r="AG49" s="562" t="s">
        <v>981</v>
      </c>
      <c r="AH49" s="562"/>
      <c r="AI49" s="562"/>
      <c r="AJ49" s="562" t="s">
        <v>982</v>
      </c>
      <c r="AK49" s="562"/>
      <c r="AL49" s="563"/>
      <c r="AM49" s="56"/>
      <c r="AN49" s="560" t="s">
        <v>905</v>
      </c>
      <c r="AO49" s="561"/>
      <c r="AP49" s="561"/>
      <c r="AQ49" s="561"/>
      <c r="AR49" s="561"/>
      <c r="AS49" s="561"/>
      <c r="AT49" s="561"/>
      <c r="AU49" s="561"/>
      <c r="AV49" s="561"/>
      <c r="AW49" s="562" t="s">
        <v>981</v>
      </c>
      <c r="AX49" s="562"/>
      <c r="AY49" s="562"/>
      <c r="AZ49" s="562" t="s">
        <v>982</v>
      </c>
      <c r="BA49" s="562"/>
      <c r="BB49" s="563"/>
      <c r="BC49" s="56"/>
      <c r="BD49" s="56"/>
      <c r="BE49" s="56"/>
    </row>
    <row r="50" spans="1:57" s="57" customFormat="1" ht="30" customHeight="1" x14ac:dyDescent="0.3">
      <c r="A50" s="56"/>
      <c r="B50" s="56"/>
      <c r="C50" s="56"/>
      <c r="D50" s="56"/>
      <c r="E50" s="56"/>
      <c r="F50" s="56"/>
      <c r="G50" s="56"/>
      <c r="H50" s="484" t="s">
        <v>906</v>
      </c>
      <c r="I50" s="485"/>
      <c r="J50" s="485"/>
      <c r="K50" s="485"/>
      <c r="L50" s="485"/>
      <c r="M50" s="485"/>
      <c r="N50" s="485"/>
      <c r="O50" s="485"/>
      <c r="P50" s="486"/>
      <c r="Q50" s="329">
        <f>SUMIFS(Input[Fed G&amp;C E&amp;G],Input[Institution Name],$H$1)+SUMIFS(Input[Fed G&amp;C Desg],Input[Institution Name],$H$1)+SUMIFS(Input[Fed G&amp;C Aux],Input[Institution Name],$H$1)+SUMIFS(Input[Fed G&amp;C R Exp],Input[Institution Name],$H$1)+SUMIFS(Input[Fed G&amp;C Loan],Input[Institution Name],$H$1)+SUMIFS(Input[Fed G&amp;C Annuity],Input[Institution Name],$H$1)+SUMIFS(Input[Fed G&amp;C Unexp],Input[Institution Name],$H$1)+SUMIFS(Input[Fed G&amp;C R of Ind],Input[Institution Name],$H$1)+SUMIFS(Input[Fed G&amp;C Inv in P],Input[Institution Name],$H$1)</f>
        <v>0</v>
      </c>
      <c r="R50" s="329"/>
      <c r="S50" s="329"/>
      <c r="T50" s="329">
        <f>IFERROR(ROUND(Q50/$Q$6,0),0)</f>
        <v>0</v>
      </c>
      <c r="U50" s="329"/>
      <c r="V50" s="330"/>
      <c r="W50" s="56"/>
      <c r="X50" s="484" t="s">
        <v>906</v>
      </c>
      <c r="Y50" s="485"/>
      <c r="Z50" s="485"/>
      <c r="AA50" s="485"/>
      <c r="AB50" s="485"/>
      <c r="AC50" s="485"/>
      <c r="AD50" s="485"/>
      <c r="AE50" s="485"/>
      <c r="AF50" s="486"/>
      <c r="AG50" s="329">
        <f>SUMIFS(Input[Fed G&amp;C E&amp;G],Input[Institution Name],$X$1)+SUMIFS(Input[Fed G&amp;C Desg],Input[Institution Name],$X$1)+SUMIFS(Input[Fed G&amp;C Aux],Input[Institution Name],$X$1)+SUMIFS(Input[Fed G&amp;C R Exp],Input[Institution Name],$X$1)+SUMIFS(Input[Fed G&amp;C Loan],Input[Institution Name],$X$1)+SUMIFS(Input[Fed G&amp;C Annuity],Input[Institution Name],$X$1)+SUMIFS(Input[Fed G&amp;C Unexp],Input[Institution Name],$X$1)+SUMIFS(Input[Fed G&amp;C R of Ind],Input[Institution Name],$X$1)+SUMIFS(Input[Fed G&amp;C Inv in P],Input[Institution Name],$X$1)</f>
        <v>0</v>
      </c>
      <c r="AH50" s="329"/>
      <c r="AI50" s="329"/>
      <c r="AJ50" s="329">
        <f>IFERROR(ROUND(AG50/$AG$6,0),0)</f>
        <v>0</v>
      </c>
      <c r="AK50" s="329"/>
      <c r="AL50" s="330"/>
      <c r="AM50" s="56"/>
      <c r="AN50" s="484" t="s">
        <v>906</v>
      </c>
      <c r="AO50" s="485"/>
      <c r="AP50" s="485"/>
      <c r="AQ50" s="485"/>
      <c r="AR50" s="485"/>
      <c r="AS50" s="485"/>
      <c r="AT50" s="485"/>
      <c r="AU50" s="485"/>
      <c r="AV50" s="486"/>
      <c r="AW50" s="329">
        <f>SUMIFS(Input[Fed G&amp;C E&amp;G],Input[Institution Name],$AN$1)+SUMIFS(Input[Fed G&amp;C Desg],Input[Institution Name],$AN$1)+SUMIFS(Input[Fed G&amp;C Aux],Input[Institution Name],$AN$1)+SUMIFS(Input[Fed G&amp;C R Exp],Input[Institution Name],$AN$1)+SUMIFS(Input[Fed G&amp;C Loan],Input[Institution Name],$AN$1)+SUMIFS(Input[Fed G&amp;C Annuity],Input[Institution Name],$AN$1)+SUMIFS(Input[Fed G&amp;C Unexp],Input[Institution Name],$AN$1)+SUMIFS(Input[Fed G&amp;C R of Ind],Input[Institution Name],$AN$1)+SUMIFS(Input[Fed G&amp;C Inv in P],Input[Institution Name],$AN$1)</f>
        <v>0</v>
      </c>
      <c r="AX50" s="329"/>
      <c r="AY50" s="329"/>
      <c r="AZ50" s="329">
        <f>IFERROR(ROUND(AW50/$AW$6,0),0)</f>
        <v>0</v>
      </c>
      <c r="BA50" s="329"/>
      <c r="BB50" s="330"/>
      <c r="BC50" s="56"/>
      <c r="BD50" s="56"/>
      <c r="BE50" s="56"/>
    </row>
    <row r="51" spans="1:57" s="57" customFormat="1" ht="30" customHeight="1" x14ac:dyDescent="0.3">
      <c r="A51" s="56"/>
      <c r="B51" s="56"/>
      <c r="C51" s="56"/>
      <c r="D51" s="56"/>
      <c r="E51" s="56"/>
      <c r="F51" s="56"/>
      <c r="G51" s="56"/>
      <c r="H51" s="59"/>
      <c r="I51" s="59"/>
      <c r="J51" s="59"/>
      <c r="K51" s="59"/>
      <c r="L51" s="59"/>
      <c r="M51" s="59"/>
      <c r="N51" s="59"/>
      <c r="O51" s="59"/>
      <c r="P51" s="59"/>
      <c r="Q51" s="80"/>
      <c r="R51" s="80"/>
      <c r="S51" s="80"/>
      <c r="T51" s="80"/>
      <c r="U51" s="80"/>
      <c r="V51" s="80"/>
      <c r="W51" s="56"/>
      <c r="X51" s="59"/>
      <c r="Y51" s="59"/>
      <c r="Z51" s="59"/>
      <c r="AA51" s="59"/>
      <c r="AB51" s="59"/>
      <c r="AC51" s="59"/>
      <c r="AD51" s="59"/>
      <c r="AE51" s="59"/>
      <c r="AF51" s="59"/>
      <c r="AG51" s="80"/>
      <c r="AH51" s="80"/>
      <c r="AI51" s="80"/>
      <c r="AJ51" s="80"/>
      <c r="AK51" s="80"/>
      <c r="AL51" s="80"/>
      <c r="AM51" s="56"/>
      <c r="AN51" s="59"/>
      <c r="AO51" s="59"/>
      <c r="AP51" s="59"/>
      <c r="AQ51" s="59"/>
      <c r="AR51" s="59"/>
      <c r="AS51" s="59"/>
      <c r="AT51" s="59"/>
      <c r="AU51" s="59"/>
      <c r="AV51" s="59"/>
      <c r="AW51" s="80"/>
      <c r="AX51" s="80"/>
      <c r="AY51" s="80"/>
      <c r="AZ51" s="80"/>
      <c r="BA51" s="80"/>
      <c r="BB51" s="80"/>
      <c r="BC51" s="56"/>
      <c r="BD51" s="56"/>
      <c r="BE51" s="56"/>
    </row>
    <row r="52" spans="1:57" s="57" customFormat="1" ht="30" customHeight="1" x14ac:dyDescent="0.3">
      <c r="A52" s="56"/>
      <c r="B52" s="56"/>
      <c r="C52" s="56"/>
      <c r="D52" s="56"/>
      <c r="E52" s="56"/>
      <c r="F52" s="56"/>
      <c r="G52" s="56"/>
      <c r="H52" s="560" t="s">
        <v>907</v>
      </c>
      <c r="I52" s="561"/>
      <c r="J52" s="561"/>
      <c r="K52" s="561"/>
      <c r="L52" s="561"/>
      <c r="M52" s="561"/>
      <c r="N52" s="561"/>
      <c r="O52" s="561"/>
      <c r="P52" s="561"/>
      <c r="Q52" s="562" t="s">
        <v>981</v>
      </c>
      <c r="R52" s="562"/>
      <c r="S52" s="562"/>
      <c r="T52" s="562" t="s">
        <v>982</v>
      </c>
      <c r="U52" s="562"/>
      <c r="V52" s="563"/>
      <c r="W52" s="56"/>
      <c r="X52" s="560" t="s">
        <v>907</v>
      </c>
      <c r="Y52" s="561"/>
      <c r="Z52" s="561"/>
      <c r="AA52" s="561"/>
      <c r="AB52" s="561"/>
      <c r="AC52" s="561"/>
      <c r="AD52" s="561"/>
      <c r="AE52" s="561"/>
      <c r="AF52" s="561"/>
      <c r="AG52" s="562" t="s">
        <v>981</v>
      </c>
      <c r="AH52" s="562"/>
      <c r="AI52" s="562"/>
      <c r="AJ52" s="562" t="s">
        <v>982</v>
      </c>
      <c r="AK52" s="562"/>
      <c r="AL52" s="563"/>
      <c r="AM52" s="56"/>
      <c r="AN52" s="560" t="s">
        <v>907</v>
      </c>
      <c r="AO52" s="561"/>
      <c r="AP52" s="561"/>
      <c r="AQ52" s="561"/>
      <c r="AR52" s="561"/>
      <c r="AS52" s="561"/>
      <c r="AT52" s="561"/>
      <c r="AU52" s="561"/>
      <c r="AV52" s="561"/>
      <c r="AW52" s="562" t="s">
        <v>981</v>
      </c>
      <c r="AX52" s="562"/>
      <c r="AY52" s="562"/>
      <c r="AZ52" s="562" t="s">
        <v>982</v>
      </c>
      <c r="BA52" s="562"/>
      <c r="BB52" s="563"/>
      <c r="BC52" s="56"/>
      <c r="BD52" s="56"/>
      <c r="BE52" s="56"/>
    </row>
    <row r="53" spans="1:57" s="57" customFormat="1" ht="30" customHeight="1" x14ac:dyDescent="0.3">
      <c r="A53" s="56"/>
      <c r="B53" s="56"/>
      <c r="C53" s="56"/>
      <c r="D53" s="56"/>
      <c r="E53" s="56"/>
      <c r="F53" s="56"/>
      <c r="G53" s="56"/>
      <c r="H53" s="484" t="s">
        <v>908</v>
      </c>
      <c r="I53" s="485"/>
      <c r="J53" s="485"/>
      <c r="K53" s="485"/>
      <c r="L53" s="485"/>
      <c r="M53" s="485"/>
      <c r="N53" s="485"/>
      <c r="O53" s="485"/>
      <c r="P53" s="486"/>
      <c r="Q53" s="329">
        <f>SUMIFS(Input[Prof Fees E&amp;G],Input[Institution Name],$H$1)+SUMIFS(Input[Prof Fees Desg],Input[Institution Name],$H$1)+SUMIFS(Input[Prof Fees Aux],Input[Institution Name],$H$1)+SUMIFS(Input[Prof Fees R Exp],Input[Institution Name],$H$1)+SUMIFS(Input[Prof Fees Loan],Input[Institution Name],$H$1)+SUMIFS(Input[Prof Fees Annuity],Input[Institution Name],$H$1)+SUMIFS(Input[Prof Fees Unexp],Input[Institution Name],$H$1)+SUMIFS(Input[Prof Fees R of Ind],Input[Institution Name],$H$1)+SUMIFS(Input[Prof Fees Inv in P],Input[Institution Name],$H$1)</f>
        <v>0</v>
      </c>
      <c r="R53" s="329"/>
      <c r="S53" s="329"/>
      <c r="T53" s="329">
        <f>IFERROR(ROUND(Q53/$Q$6,0),0)</f>
        <v>0</v>
      </c>
      <c r="U53" s="329"/>
      <c r="V53" s="330"/>
      <c r="W53" s="56"/>
      <c r="X53" s="484" t="s">
        <v>908</v>
      </c>
      <c r="Y53" s="485"/>
      <c r="Z53" s="485"/>
      <c r="AA53" s="485"/>
      <c r="AB53" s="485"/>
      <c r="AC53" s="485"/>
      <c r="AD53" s="485"/>
      <c r="AE53" s="485"/>
      <c r="AF53" s="486"/>
      <c r="AG53" s="329">
        <f>SUMIFS(Input[Prof Fees E&amp;G],Input[Institution Name],$X$1)+SUMIFS(Input[Prof Fees Desg],Input[Institution Name],$X$1)+SUMIFS(Input[Prof Fees Aux],Input[Institution Name],$X$1)+SUMIFS(Input[Prof Fees R Exp],Input[Institution Name],$X$1)+SUMIFS(Input[Prof Fees Loan],Input[Institution Name],$X$1)+SUMIFS(Input[Prof Fees Annuity],Input[Institution Name],$X$1)+SUMIFS(Input[Prof Fees Unexp],Input[Institution Name],$X$1)+SUMIFS(Input[Prof Fees R of Ind],Input[Institution Name],$X$1)+SUMIFS(Input[Prof Fees Inv in P],Input[Institution Name],$X$1)</f>
        <v>0</v>
      </c>
      <c r="AH53" s="329"/>
      <c r="AI53" s="329"/>
      <c r="AJ53" s="329">
        <f>IFERROR(ROUND(AG53/$AG$6,0),0)</f>
        <v>0</v>
      </c>
      <c r="AK53" s="329"/>
      <c r="AL53" s="330"/>
      <c r="AM53" s="56"/>
      <c r="AN53" s="484" t="s">
        <v>908</v>
      </c>
      <c r="AO53" s="485"/>
      <c r="AP53" s="485"/>
      <c r="AQ53" s="485"/>
      <c r="AR53" s="485"/>
      <c r="AS53" s="485"/>
      <c r="AT53" s="485"/>
      <c r="AU53" s="485"/>
      <c r="AV53" s="486"/>
      <c r="AW53" s="329">
        <f>SUMIFS(Input[Prof Fees E&amp;G],Input[Institution Name],$AN$1)+SUMIFS(Input[Prof Fees Desg],Input[Institution Name],$AN$1)+SUMIFS(Input[Prof Fees Aux],Input[Institution Name],$AN$1)+SUMIFS(Input[Prof Fees R Exp],Input[Institution Name],$AN$1)+SUMIFS(Input[Prof Fees Loan],Input[Institution Name],$AN$1)+SUMIFS(Input[Prof Fees Annuity],Input[Institution Name],$AN$1)+SUMIFS(Input[Prof Fees Unexp],Input[Institution Name],$AN$1)+SUMIFS(Input[Prof Fees R of Ind],Input[Institution Name],$AN$1)+SUMIFS(Input[Prof Fees Inv in P],Input[Institution Name],$AN$1)</f>
        <v>0</v>
      </c>
      <c r="AX53" s="329"/>
      <c r="AY53" s="329"/>
      <c r="AZ53" s="329">
        <f>IFERROR(ROUND(AW53/$AW$6,0),0)</f>
        <v>0</v>
      </c>
      <c r="BA53" s="329"/>
      <c r="BB53" s="330"/>
      <c r="BC53" s="56"/>
      <c r="BD53" s="56"/>
      <c r="BE53" s="56"/>
    </row>
    <row r="54" spans="1:57" s="57" customFormat="1" ht="30" customHeight="1" x14ac:dyDescent="0.3">
      <c r="A54" s="56"/>
      <c r="B54" s="56"/>
      <c r="C54" s="56"/>
      <c r="D54" s="56"/>
      <c r="E54" s="56"/>
      <c r="F54" s="56"/>
      <c r="G54" s="56"/>
      <c r="H54" s="59"/>
      <c r="I54" s="59"/>
      <c r="J54" s="59"/>
      <c r="K54" s="59"/>
      <c r="L54" s="59"/>
      <c r="M54" s="59"/>
      <c r="N54" s="59"/>
      <c r="O54" s="59"/>
      <c r="P54" s="59"/>
      <c r="Q54" s="80"/>
      <c r="R54" s="80"/>
      <c r="S54" s="80"/>
      <c r="T54" s="80"/>
      <c r="U54" s="80"/>
      <c r="V54" s="80"/>
      <c r="W54" s="56"/>
      <c r="X54" s="59"/>
      <c r="Y54" s="59"/>
      <c r="Z54" s="59"/>
      <c r="AA54" s="59"/>
      <c r="AB54" s="59"/>
      <c r="AC54" s="59"/>
      <c r="AD54" s="59"/>
      <c r="AE54" s="59"/>
      <c r="AF54" s="59"/>
      <c r="AG54" s="80"/>
      <c r="AH54" s="80"/>
      <c r="AI54" s="80"/>
      <c r="AJ54" s="80"/>
      <c r="AK54" s="80"/>
      <c r="AL54" s="80"/>
      <c r="AM54" s="56"/>
      <c r="AN54" s="59"/>
      <c r="AO54" s="59"/>
      <c r="AP54" s="59"/>
      <c r="AQ54" s="59"/>
      <c r="AR54" s="59"/>
      <c r="AS54" s="59"/>
      <c r="AT54" s="59"/>
      <c r="AU54" s="59"/>
      <c r="AV54" s="59"/>
      <c r="AW54" s="80"/>
      <c r="AX54" s="80"/>
      <c r="AY54" s="80"/>
      <c r="AZ54" s="80"/>
      <c r="BA54" s="80"/>
      <c r="BB54" s="80"/>
      <c r="BC54" s="56"/>
      <c r="BD54" s="56"/>
      <c r="BE54" s="56"/>
    </row>
    <row r="55" spans="1:57" s="57" customFormat="1" ht="30" customHeight="1" x14ac:dyDescent="0.3">
      <c r="A55" s="56"/>
      <c r="B55" s="56"/>
      <c r="C55" s="56"/>
      <c r="D55" s="56"/>
      <c r="E55" s="56"/>
      <c r="F55" s="56"/>
      <c r="G55" s="56"/>
      <c r="H55" s="560" t="s">
        <v>909</v>
      </c>
      <c r="I55" s="561"/>
      <c r="J55" s="561"/>
      <c r="K55" s="561"/>
      <c r="L55" s="561"/>
      <c r="M55" s="561"/>
      <c r="N55" s="561"/>
      <c r="O55" s="561"/>
      <c r="P55" s="561"/>
      <c r="Q55" s="562" t="s">
        <v>981</v>
      </c>
      <c r="R55" s="562"/>
      <c r="S55" s="562"/>
      <c r="T55" s="562" t="s">
        <v>982</v>
      </c>
      <c r="U55" s="562"/>
      <c r="V55" s="563"/>
      <c r="W55" s="56"/>
      <c r="X55" s="560" t="s">
        <v>909</v>
      </c>
      <c r="Y55" s="561"/>
      <c r="Z55" s="561"/>
      <c r="AA55" s="561"/>
      <c r="AB55" s="561"/>
      <c r="AC55" s="561"/>
      <c r="AD55" s="561"/>
      <c r="AE55" s="561"/>
      <c r="AF55" s="561"/>
      <c r="AG55" s="562" t="s">
        <v>981</v>
      </c>
      <c r="AH55" s="562"/>
      <c r="AI55" s="562"/>
      <c r="AJ55" s="562" t="s">
        <v>982</v>
      </c>
      <c r="AK55" s="562"/>
      <c r="AL55" s="563"/>
      <c r="AM55" s="56"/>
      <c r="AN55" s="560" t="s">
        <v>909</v>
      </c>
      <c r="AO55" s="561"/>
      <c r="AP55" s="561"/>
      <c r="AQ55" s="561"/>
      <c r="AR55" s="561"/>
      <c r="AS55" s="561"/>
      <c r="AT55" s="561"/>
      <c r="AU55" s="561"/>
      <c r="AV55" s="561"/>
      <c r="AW55" s="562" t="s">
        <v>981</v>
      </c>
      <c r="AX55" s="562"/>
      <c r="AY55" s="562"/>
      <c r="AZ55" s="562" t="s">
        <v>982</v>
      </c>
      <c r="BA55" s="562"/>
      <c r="BB55" s="563"/>
      <c r="BC55" s="56"/>
      <c r="BD55" s="56"/>
      <c r="BE55" s="56"/>
    </row>
    <row r="56" spans="1:57" s="57" customFormat="1" ht="30" customHeight="1" x14ac:dyDescent="0.3">
      <c r="A56" s="56"/>
      <c r="B56" s="56"/>
      <c r="C56" s="56"/>
      <c r="D56" s="56"/>
      <c r="E56" s="56"/>
      <c r="F56" s="56"/>
      <c r="G56" s="56"/>
      <c r="H56" s="484" t="s">
        <v>908</v>
      </c>
      <c r="I56" s="485"/>
      <c r="J56" s="485"/>
      <c r="K56" s="485"/>
      <c r="L56" s="485"/>
      <c r="M56" s="485"/>
      <c r="N56" s="485"/>
      <c r="O56" s="485"/>
      <c r="P56" s="486"/>
      <c r="Q56" s="329">
        <f>SUMIFS(Input[H&amp;C E&amp;G],Input[Institution Name],$H$1)+SUMIFS(Input[H&amp;C Desg],Input[Institution Name],$H$1)+SUMIFS(Input[H&amp;C Aux],Input[Institution Name],$H$1)+SUMIFS(Input[H&amp;C R Exp],Input[Institution Name],$H$1)+SUMIFS(Input[H&amp;C Loan],Input[Institution Name],$H$1)+SUMIFS(Input[H&amp;C Annuity],Input[Institution Name],$H$1)+SUMIFS(Input[H&amp;C Unexp],Input[Institution Name],$H$1)+SUMIFS(Input[H&amp;C R of Ind],Input[Institution Name],$H$1)+SUMIFS(Input[H&amp;C Inv in P],Input[Institution Name],$H$1)</f>
        <v>0</v>
      </c>
      <c r="R56" s="329"/>
      <c r="S56" s="329"/>
      <c r="T56" s="329">
        <f>IFERROR(ROUND(Q56/$Q$6,0),0)</f>
        <v>0</v>
      </c>
      <c r="U56" s="329"/>
      <c r="V56" s="330"/>
      <c r="W56" s="56"/>
      <c r="X56" s="484" t="s">
        <v>908</v>
      </c>
      <c r="Y56" s="485"/>
      <c r="Z56" s="485"/>
      <c r="AA56" s="485"/>
      <c r="AB56" s="485"/>
      <c r="AC56" s="485"/>
      <c r="AD56" s="485"/>
      <c r="AE56" s="485"/>
      <c r="AF56" s="486"/>
      <c r="AG56" s="329">
        <f>SUMIFS(Input[H&amp;C E&amp;G],Input[Institution Name],$X$1)+SUMIFS(Input[H&amp;C Desg],Input[Institution Name],$X$1)+SUMIFS(Input[H&amp;C Aux],Input[Institution Name],$X$1)+SUMIFS(Input[H&amp;C R Exp],Input[Institution Name],$X$1)+SUMIFS(Input[H&amp;C Loan],Input[Institution Name],$X$1)+SUMIFS(Input[H&amp;C Annuity],Input[Institution Name],$X$1)+SUMIFS(Input[H&amp;C Unexp],Input[Institution Name],$X$1)+SUMIFS(Input[H&amp;C R of Ind],Input[Institution Name],$X$1)+SUMIFS(Input[H&amp;C Inv in P],Input[Institution Name],$X$1)</f>
        <v>0</v>
      </c>
      <c r="AH56" s="329"/>
      <c r="AI56" s="329"/>
      <c r="AJ56" s="329">
        <f>IFERROR(ROUND(AG56/$AG$6,0),0)</f>
        <v>0</v>
      </c>
      <c r="AK56" s="329"/>
      <c r="AL56" s="330"/>
      <c r="AM56" s="56"/>
      <c r="AN56" s="484" t="s">
        <v>908</v>
      </c>
      <c r="AO56" s="485"/>
      <c r="AP56" s="485"/>
      <c r="AQ56" s="485"/>
      <c r="AR56" s="485"/>
      <c r="AS56" s="485"/>
      <c r="AT56" s="485"/>
      <c r="AU56" s="485"/>
      <c r="AV56" s="486"/>
      <c r="AW56" s="329">
        <f>SUMIFS(Input[H&amp;C E&amp;G],Input[Institution Name],$AN$1)+SUMIFS(Input[H&amp;C Desg],Input[Institution Name],$AN$1)+SUMIFS(Input[H&amp;C Aux],Input[Institution Name],$AN$1)+SUMIFS(Input[H&amp;C R Exp],Input[Institution Name],$AN$1)+SUMIFS(Input[H&amp;C Loan],Input[Institution Name],$AN$1)+SUMIFS(Input[H&amp;C Annuity],Input[Institution Name],$AN$1)+SUMIFS(Input[H&amp;C Unexp],Input[Institution Name],$AN$1)+SUMIFS(Input[H&amp;C R of Ind],Input[Institution Name],$AN$1)+SUMIFS(Input[H&amp;C Inv in P],Input[Institution Name],$AN$1)</f>
        <v>0</v>
      </c>
      <c r="AX56" s="329"/>
      <c r="AY56" s="329"/>
      <c r="AZ56" s="329">
        <f>IFERROR(ROUND(AW56/$AW$6,0),0)</f>
        <v>0</v>
      </c>
      <c r="BA56" s="329"/>
      <c r="BB56" s="330"/>
      <c r="BC56" s="56"/>
      <c r="BD56" s="56"/>
      <c r="BE56" s="56"/>
    </row>
    <row r="57" spans="1:57" s="57" customFormat="1" ht="30" customHeight="1" x14ac:dyDescent="0.3">
      <c r="A57" s="56"/>
      <c r="B57" s="56"/>
      <c r="C57" s="56"/>
      <c r="D57" s="56"/>
      <c r="E57" s="56"/>
      <c r="F57" s="56"/>
      <c r="G57" s="56"/>
      <c r="H57" s="59"/>
      <c r="I57" s="59"/>
      <c r="J57" s="59"/>
      <c r="K57" s="59"/>
      <c r="L57" s="59"/>
      <c r="M57" s="59"/>
      <c r="N57" s="59"/>
      <c r="O57" s="59"/>
      <c r="P57" s="59"/>
      <c r="Q57" s="80"/>
      <c r="R57" s="80"/>
      <c r="S57" s="80"/>
      <c r="T57" s="80"/>
      <c r="U57" s="80"/>
      <c r="V57" s="80"/>
      <c r="W57" s="56"/>
      <c r="X57" s="59"/>
      <c r="Y57" s="59"/>
      <c r="Z57" s="59"/>
      <c r="AA57" s="59"/>
      <c r="AB57" s="59"/>
      <c r="AC57" s="59"/>
      <c r="AD57" s="59"/>
      <c r="AE57" s="59"/>
      <c r="AF57" s="59"/>
      <c r="AG57" s="80"/>
      <c r="AH57" s="80"/>
      <c r="AI57" s="80"/>
      <c r="AJ57" s="80"/>
      <c r="AK57" s="80"/>
      <c r="AL57" s="80"/>
      <c r="AM57" s="56"/>
      <c r="AN57" s="59"/>
      <c r="AO57" s="59"/>
      <c r="AP57" s="59"/>
      <c r="AQ57" s="59"/>
      <c r="AR57" s="59"/>
      <c r="AS57" s="59"/>
      <c r="AT57" s="59"/>
      <c r="AU57" s="59"/>
      <c r="AV57" s="59"/>
      <c r="AW57" s="80"/>
      <c r="AX57" s="80"/>
      <c r="AY57" s="80"/>
      <c r="AZ57" s="80"/>
      <c r="BA57" s="80"/>
      <c r="BB57" s="80"/>
      <c r="BC57" s="56"/>
      <c r="BD57" s="56"/>
      <c r="BE57" s="56"/>
    </row>
    <row r="58" spans="1:57" s="57" customFormat="1" ht="30" customHeight="1" x14ac:dyDescent="0.3">
      <c r="A58" s="56"/>
      <c r="B58" s="56"/>
      <c r="C58" s="56"/>
      <c r="D58" s="56"/>
      <c r="E58" s="56"/>
      <c r="F58" s="56"/>
      <c r="G58" s="56"/>
      <c r="H58" s="560" t="s">
        <v>910</v>
      </c>
      <c r="I58" s="561"/>
      <c r="J58" s="561"/>
      <c r="K58" s="561"/>
      <c r="L58" s="561"/>
      <c r="M58" s="561"/>
      <c r="N58" s="561"/>
      <c r="O58" s="561"/>
      <c r="P58" s="561"/>
      <c r="Q58" s="562" t="s">
        <v>981</v>
      </c>
      <c r="R58" s="562"/>
      <c r="S58" s="562"/>
      <c r="T58" s="562" t="s">
        <v>982</v>
      </c>
      <c r="U58" s="562"/>
      <c r="V58" s="563"/>
      <c r="W58" s="56"/>
      <c r="X58" s="560" t="s">
        <v>910</v>
      </c>
      <c r="Y58" s="561"/>
      <c r="Z58" s="561"/>
      <c r="AA58" s="561"/>
      <c r="AB58" s="561"/>
      <c r="AC58" s="561"/>
      <c r="AD58" s="561"/>
      <c r="AE58" s="561"/>
      <c r="AF58" s="561"/>
      <c r="AG58" s="562" t="s">
        <v>981</v>
      </c>
      <c r="AH58" s="562"/>
      <c r="AI58" s="562"/>
      <c r="AJ58" s="562" t="s">
        <v>982</v>
      </c>
      <c r="AK58" s="562"/>
      <c r="AL58" s="563"/>
      <c r="AM58" s="56"/>
      <c r="AN58" s="560" t="s">
        <v>910</v>
      </c>
      <c r="AO58" s="561"/>
      <c r="AP58" s="561"/>
      <c r="AQ58" s="561"/>
      <c r="AR58" s="561"/>
      <c r="AS58" s="561"/>
      <c r="AT58" s="561"/>
      <c r="AU58" s="561"/>
      <c r="AV58" s="561"/>
      <c r="AW58" s="562" t="s">
        <v>981</v>
      </c>
      <c r="AX58" s="562"/>
      <c r="AY58" s="562"/>
      <c r="AZ58" s="562" t="s">
        <v>982</v>
      </c>
      <c r="BA58" s="562"/>
      <c r="BB58" s="563"/>
      <c r="BC58" s="56"/>
      <c r="BD58" s="56"/>
      <c r="BE58" s="56"/>
    </row>
    <row r="59" spans="1:57" s="57" customFormat="1" ht="30" customHeight="1" x14ac:dyDescent="0.3">
      <c r="A59" s="56"/>
      <c r="B59" s="56"/>
      <c r="C59" s="56"/>
      <c r="D59" s="56"/>
      <c r="E59" s="56"/>
      <c r="F59" s="56"/>
      <c r="G59" s="56"/>
      <c r="H59" s="483" t="s">
        <v>911</v>
      </c>
      <c r="I59" s="247"/>
      <c r="J59" s="247"/>
      <c r="K59" s="247"/>
      <c r="L59" s="247"/>
      <c r="M59" s="247"/>
      <c r="N59" s="247"/>
      <c r="O59" s="247"/>
      <c r="P59" s="248"/>
      <c r="Q59" s="258">
        <f>SUMIFS(Input[End &amp; Int Inc E&amp;G],Input[Institution Name],$H$1)+SUMIFS(Input[End &amp; Int Inc Desg],Input[Institution Name],$H$1)+SUMIFS(Input[End &amp; Int Inc Aux],Input[Institution Name],$H$1)+SUMIFS(Input[End &amp; Int Inc R Exp],Input[Institution Name],$H$1)+SUMIFS(Input[End &amp; Int Inc Loan],Input[Institution Name],$H$1)+SUMIFS(Input[End &amp; Int Inc Annuity],Input[Institution Name],$H$1)+SUMIFS(Input[End &amp; Int Inc Unexp],Input[Institution Name],$H$1)+SUMIFS(Input[End &amp; Int Inc R of Ind],Input[Institution Name],$H$1)+SUMIFS(Input[End &amp; Int Inc Inv in P],Input[Institution Name],$H$1)</f>
        <v>0</v>
      </c>
      <c r="R59" s="258"/>
      <c r="S59" s="258"/>
      <c r="T59" s="258">
        <f t="shared" ref="T59:T64" si="0">IFERROR(ROUND(Q59/$Q$6,0),0)</f>
        <v>0</v>
      </c>
      <c r="U59" s="258"/>
      <c r="V59" s="357"/>
      <c r="W59" s="56"/>
      <c r="X59" s="483" t="s">
        <v>911</v>
      </c>
      <c r="Y59" s="247"/>
      <c r="Z59" s="247"/>
      <c r="AA59" s="247"/>
      <c r="AB59" s="247"/>
      <c r="AC59" s="247"/>
      <c r="AD59" s="247"/>
      <c r="AE59" s="247"/>
      <c r="AF59" s="248"/>
      <c r="AG59" s="258">
        <f>SUMIFS(Input[End &amp; Int Inc E&amp;G],Input[Institution Name],$X$1)+SUMIFS(Input[End &amp; Int Inc Desg],Input[Institution Name],$X$1)+SUMIFS(Input[End &amp; Int Inc Aux],Input[Institution Name],$X$1)+SUMIFS(Input[End &amp; Int Inc R Exp],Input[Institution Name],$X$1)+SUMIFS(Input[End &amp; Int Inc Loan],Input[Institution Name],$X$1)+SUMIFS(Input[End &amp; Int Inc Annuity],Input[Institution Name],$X$1)+SUMIFS(Input[End &amp; Int Inc Unexp],Input[Institution Name],$X$1)+SUMIFS(Input[End &amp; Int Inc R of Ind],Input[Institution Name],$X$1)+SUMIFS(Input[End &amp; Int Inc Inv in P],Input[Institution Name],$X$1)</f>
        <v>0</v>
      </c>
      <c r="AH59" s="258"/>
      <c r="AI59" s="258"/>
      <c r="AJ59" s="258">
        <f t="shared" ref="AJ59:AJ64" si="1">IFERROR(ROUND(AG59/$AG$6,0),0)</f>
        <v>0</v>
      </c>
      <c r="AK59" s="258"/>
      <c r="AL59" s="357"/>
      <c r="AM59" s="56"/>
      <c r="AN59" s="483" t="s">
        <v>911</v>
      </c>
      <c r="AO59" s="247"/>
      <c r="AP59" s="247"/>
      <c r="AQ59" s="247"/>
      <c r="AR59" s="247"/>
      <c r="AS59" s="247"/>
      <c r="AT59" s="247"/>
      <c r="AU59" s="247"/>
      <c r="AV59" s="248"/>
      <c r="AW59" s="258">
        <f>SUMIFS(Input[End &amp; Int Inc E&amp;G],Input[Institution Name],$AN$1)+SUMIFS(Input[End &amp; Int Inc Desg],Input[Institution Name],$AN$1)+SUMIFS(Input[End &amp; Int Inc Aux],Input[Institution Name],$AN$1)+SUMIFS(Input[End &amp; Int Inc R Exp],Input[Institution Name],$AN$1)+SUMIFS(Input[End &amp; Int Inc Loan],Input[Institution Name],$AN$1)+SUMIFS(Input[End &amp; Int Inc Annuity],Input[Institution Name],$AN$1)+SUMIFS(Input[End &amp; Int Inc Unexp],Input[Institution Name],$AN$1)+SUMIFS(Input[End &amp; Int Inc R of Ind],Input[Institution Name],$AN$1)+SUMIFS(Input[End &amp; Int Inc Inv in P],Input[Institution Name],$AN$1)</f>
        <v>0</v>
      </c>
      <c r="AX59" s="258"/>
      <c r="AY59" s="258"/>
      <c r="AZ59" s="258">
        <f t="shared" ref="AZ59:AZ64" si="2">IFERROR(ROUND(AW59/$AW$6,0),0)</f>
        <v>0</v>
      </c>
      <c r="BA59" s="258"/>
      <c r="BB59" s="357"/>
      <c r="BC59" s="56"/>
      <c r="BD59" s="56"/>
      <c r="BE59" s="56"/>
    </row>
    <row r="60" spans="1:57" s="57" customFormat="1" ht="30" customHeight="1" x14ac:dyDescent="0.3">
      <c r="A60" s="56"/>
      <c r="B60" s="56"/>
      <c r="C60" s="56"/>
      <c r="D60" s="56"/>
      <c r="E60" s="56"/>
      <c r="F60" s="56"/>
      <c r="G60" s="56"/>
      <c r="H60" s="306" t="s">
        <v>912</v>
      </c>
      <c r="I60" s="255"/>
      <c r="J60" s="255"/>
      <c r="K60" s="255"/>
      <c r="L60" s="255"/>
      <c r="M60" s="255"/>
      <c r="N60" s="255"/>
      <c r="O60" s="255"/>
      <c r="P60" s="256"/>
      <c r="Q60" s="260">
        <f>SUMIFS(Input[Loc Gov G E&amp;G],Input[Institution Name],$H$1)+SUMIFS(Input[Loc Gov G Desg],Input[Institution Name],$H$1)+SUMIFS(Input[Loc Gov G Aux],Input[Institution Name],$H$1)+SUMIFS(Input[Loc Gov G R Exp],Input[Institution Name],$H$1)+SUMIFS(Input[Loc Gov G Loan],Input[Institution Name],$H$1)+SUMIFS(Input[Loc Gov G Annuity],Input[Institution Name],$H$1)+SUMIFS(Input[Loc Gov G Unexp],Input[Institution Name],$H$1)+SUMIFS(Input[Loc Gov G R of Ind],Input[Institution Name],$H$1)+SUMIFS(Input[Loc Gov G Inv in P],Input[Institution Name],$H$1)</f>
        <v>0</v>
      </c>
      <c r="R60" s="260"/>
      <c r="S60" s="260"/>
      <c r="T60" s="455">
        <f t="shared" si="0"/>
        <v>0</v>
      </c>
      <c r="U60" s="456"/>
      <c r="V60" s="457"/>
      <c r="W60" s="56"/>
      <c r="X60" s="306" t="s">
        <v>912</v>
      </c>
      <c r="Y60" s="255"/>
      <c r="Z60" s="255"/>
      <c r="AA60" s="255"/>
      <c r="AB60" s="255"/>
      <c r="AC60" s="255"/>
      <c r="AD60" s="255"/>
      <c r="AE60" s="255"/>
      <c r="AF60" s="256"/>
      <c r="AG60" s="260">
        <f>SUMIFS(Input[Loc Gov G E&amp;G],Input[Institution Name],$X$1)+SUMIFS(Input[Loc Gov G Desg],Input[Institution Name],$X$1)+SUMIFS(Input[Loc Gov G Aux],Input[Institution Name],$X$1)+SUMIFS(Input[Loc Gov G R Exp],Input[Institution Name],$X$1)+SUMIFS(Input[Loc Gov G Loan],Input[Institution Name],$X$1)+SUMIFS(Input[Loc Gov G Annuity],Input[Institution Name],$X$1)+SUMIFS(Input[Loc Gov G Unexp],Input[Institution Name],$X$1)+SUMIFS(Input[Loc Gov G R of Ind],Input[Institution Name],$X$1)+SUMIFS(Input[Loc Gov G Inv in P],Input[Institution Name],$X$1)</f>
        <v>0</v>
      </c>
      <c r="AH60" s="260"/>
      <c r="AI60" s="260"/>
      <c r="AJ60" s="455">
        <f t="shared" si="1"/>
        <v>0</v>
      </c>
      <c r="AK60" s="456"/>
      <c r="AL60" s="457"/>
      <c r="AM60" s="56"/>
      <c r="AN60" s="306" t="s">
        <v>912</v>
      </c>
      <c r="AO60" s="255"/>
      <c r="AP60" s="255"/>
      <c r="AQ60" s="255"/>
      <c r="AR60" s="255"/>
      <c r="AS60" s="255"/>
      <c r="AT60" s="255"/>
      <c r="AU60" s="255"/>
      <c r="AV60" s="256"/>
      <c r="AW60" s="260">
        <f>SUMIFS(Input[Loc Gov G E&amp;G],Input[Institution Name],$AN$1)+SUMIFS(Input[Loc Gov G Desg],Input[Institution Name],$AN$1)+SUMIFS(Input[Loc Gov G Aux],Input[Institution Name],$AN$1)+SUMIFS(Input[Loc Gov G R Exp],Input[Institution Name],$AN$1)+SUMIFS(Input[Loc Gov G Loan],Input[Institution Name],$AN$1)+SUMIFS(Input[Loc Gov G Annuity],Input[Institution Name],$AN$1)+SUMIFS(Input[Loc Gov G Unexp],Input[Institution Name],$AN$1)+SUMIFS(Input[Loc Gov G R of Ind],Input[Institution Name],$AN$1)+SUMIFS(Input[Loc Gov G Inv in P],Input[Institution Name],$AN$1)</f>
        <v>0</v>
      </c>
      <c r="AX60" s="260"/>
      <c r="AY60" s="260"/>
      <c r="AZ60" s="455">
        <f t="shared" si="2"/>
        <v>0</v>
      </c>
      <c r="BA60" s="456"/>
      <c r="BB60" s="457"/>
      <c r="BC60" s="56"/>
      <c r="BD60" s="56"/>
      <c r="BE60" s="56"/>
    </row>
    <row r="61" spans="1:57" s="57" customFormat="1" ht="30" customHeight="1" x14ac:dyDescent="0.3">
      <c r="A61" s="56"/>
      <c r="B61" s="56"/>
      <c r="C61" s="56"/>
      <c r="D61" s="56"/>
      <c r="E61" s="56"/>
      <c r="F61" s="56"/>
      <c r="G61" s="56"/>
      <c r="H61" s="306" t="s">
        <v>913</v>
      </c>
      <c r="I61" s="255"/>
      <c r="J61" s="255"/>
      <c r="K61" s="255"/>
      <c r="L61" s="255"/>
      <c r="M61" s="255"/>
      <c r="N61" s="255"/>
      <c r="O61" s="255"/>
      <c r="P61" s="256"/>
      <c r="Q61" s="260">
        <f>SUMIFS(Input[Pvt G&amp;G E&amp;G],Input[Institution Name],$H$1)+SUMIFS(Input[Pvt G&amp;G Desg],Input[Institution Name],$H$1)+SUMIFS(Input[Pvt G&amp;G Aux],Input[Institution Name],$H$1)+SUMIFS(Input[Pvt G&amp;G R Exp],Input[Institution Name],$H$1)+SUMIFS(Input[Pvt G&amp;G Loan],Input[Institution Name],$H$1)+SUMIFS(Input[Pvt G&amp;G Annuity],Input[Institution Name],$H$1)+SUMIFS(Input[Pvt G&amp;G Unexp],Input[Institution Name],$H$1)+SUMIFS(Input[Pvt G&amp;G R of Ind],Input[Institution Name],$H$1)+SUMIFS(Input[Pvt G&amp;G Inv in P],Input[Institution Name],$H$1)</f>
        <v>0</v>
      </c>
      <c r="R61" s="260"/>
      <c r="S61" s="260"/>
      <c r="T61" s="455">
        <f t="shared" si="0"/>
        <v>0</v>
      </c>
      <c r="U61" s="456"/>
      <c r="V61" s="457"/>
      <c r="W61" s="56"/>
      <c r="X61" s="306" t="s">
        <v>913</v>
      </c>
      <c r="Y61" s="255"/>
      <c r="Z61" s="255"/>
      <c r="AA61" s="255"/>
      <c r="AB61" s="255"/>
      <c r="AC61" s="255"/>
      <c r="AD61" s="255"/>
      <c r="AE61" s="255"/>
      <c r="AF61" s="256"/>
      <c r="AG61" s="260">
        <f>SUMIFS(Input[Pvt G&amp;G E&amp;G],Input[Institution Name],$X$1)+SUMIFS(Input[Pvt G&amp;G Desg],Input[Institution Name],$X$1)+SUMIFS(Input[Pvt G&amp;G Aux],Input[Institution Name],$X$1)+SUMIFS(Input[Pvt G&amp;G R Exp],Input[Institution Name],$X$1)+SUMIFS(Input[Pvt G&amp;G Loan],Input[Institution Name],$X$1)+SUMIFS(Input[Pvt G&amp;G Annuity],Input[Institution Name],$X$1)+SUMIFS(Input[Pvt G&amp;G Unexp],Input[Institution Name],$X$1)+SUMIFS(Input[Pvt G&amp;G R of Ind],Input[Institution Name],$X$1)+SUMIFS(Input[Pvt G&amp;G Inv in P],Input[Institution Name],$X$1)</f>
        <v>0</v>
      </c>
      <c r="AH61" s="260"/>
      <c r="AI61" s="260"/>
      <c r="AJ61" s="455">
        <f t="shared" si="1"/>
        <v>0</v>
      </c>
      <c r="AK61" s="456"/>
      <c r="AL61" s="457"/>
      <c r="AM61" s="56"/>
      <c r="AN61" s="306" t="s">
        <v>913</v>
      </c>
      <c r="AO61" s="255"/>
      <c r="AP61" s="255"/>
      <c r="AQ61" s="255"/>
      <c r="AR61" s="255"/>
      <c r="AS61" s="255"/>
      <c r="AT61" s="255"/>
      <c r="AU61" s="255"/>
      <c r="AV61" s="256"/>
      <c r="AW61" s="260">
        <f>SUMIFS(Input[Pvt G&amp;G E&amp;G],Input[Institution Name],$AN$1)+SUMIFS(Input[Pvt G&amp;G Desg],Input[Institution Name],$AN$1)+SUMIFS(Input[Pvt G&amp;G Aux],Input[Institution Name],$AN$1)+SUMIFS(Input[Pvt G&amp;G R Exp],Input[Institution Name],$AN$1)+SUMIFS(Input[Pvt G&amp;G Loan],Input[Institution Name],$AN$1)+SUMIFS(Input[Pvt G&amp;G Annuity],Input[Institution Name],$AN$1)+SUMIFS(Input[Pvt G&amp;G Unexp],Input[Institution Name],$AN$1)+SUMIFS(Input[Pvt G&amp;G R of Ind],Input[Institution Name],$AN$1)+SUMIFS(Input[Pvt G&amp;G Inv in P],Input[Institution Name],$AN$1)</f>
        <v>0</v>
      </c>
      <c r="AX61" s="260"/>
      <c r="AY61" s="260"/>
      <c r="AZ61" s="455">
        <f t="shared" si="2"/>
        <v>0</v>
      </c>
      <c r="BA61" s="456"/>
      <c r="BB61" s="457"/>
      <c r="BC61" s="56"/>
      <c r="BD61" s="56"/>
      <c r="BE61" s="56"/>
    </row>
    <row r="62" spans="1:57" s="57" customFormat="1" ht="30" customHeight="1" x14ac:dyDescent="0.3">
      <c r="A62" s="56"/>
      <c r="B62" s="56"/>
      <c r="C62" s="56"/>
      <c r="D62" s="56"/>
      <c r="E62" s="56"/>
      <c r="F62" s="56"/>
      <c r="G62" s="56"/>
      <c r="H62" s="306" t="s">
        <v>914</v>
      </c>
      <c r="I62" s="255"/>
      <c r="J62" s="255"/>
      <c r="K62" s="255"/>
      <c r="L62" s="255"/>
      <c r="M62" s="255"/>
      <c r="N62" s="255"/>
      <c r="O62" s="255"/>
      <c r="P62" s="256"/>
      <c r="Q62" s="260">
        <f>SUMIFS(Input[S&amp;S E&amp;G],Input[Institution Name],$H$1)+SUMIFS(Input[S&amp;S Desg],Input[Institution Name],$H$1)+SUMIFS(Input[S&amp;S Aux],Input[Institution Name],$H$1)+SUMIFS(Input[S&amp;S R Exp],Input[Institution Name],$H$1)+SUMIFS(Input[S&amp;S Loan],Input[Institution Name],$H$1)+SUMIFS(Input[S&amp;S Annuity],Input[Institution Name],$H$1)+SUMIFS(Input[S&amp;S Unexp],Input[Institution Name],$H$1)+SUMIFS(Input[S&amp;S R of Ind],Input[Institution Name],$H$1)+SUMIFS(Input[S&amp;S Inv in P],Input[Institution Name],$H$1)</f>
        <v>0</v>
      </c>
      <c r="R62" s="260"/>
      <c r="S62" s="260"/>
      <c r="T62" s="455">
        <f t="shared" si="0"/>
        <v>0</v>
      </c>
      <c r="U62" s="456"/>
      <c r="V62" s="457"/>
      <c r="W62" s="56"/>
      <c r="X62" s="306" t="s">
        <v>914</v>
      </c>
      <c r="Y62" s="255"/>
      <c r="Z62" s="255"/>
      <c r="AA62" s="255"/>
      <c r="AB62" s="255"/>
      <c r="AC62" s="255"/>
      <c r="AD62" s="255"/>
      <c r="AE62" s="255"/>
      <c r="AF62" s="256"/>
      <c r="AG62" s="260">
        <f>SUMIFS(Input[S&amp;S E&amp;G],Input[Institution Name],$X$1)+SUMIFS(Input[S&amp;S Desg],Input[Institution Name],$X$1)+SUMIFS(Input[S&amp;S Aux],Input[Institution Name],$X$1)+SUMIFS(Input[S&amp;S R Exp],Input[Institution Name],$X$1)+SUMIFS(Input[S&amp;S Loan],Input[Institution Name],$X$1)+SUMIFS(Input[S&amp;S Annuity],Input[Institution Name],$X$1)+SUMIFS(Input[S&amp;S Unexp],Input[Institution Name],$X$1)+SUMIFS(Input[S&amp;S R of Ind],Input[Institution Name],$X$1)+SUMIFS(Input[S&amp;S Inv in P],Input[Institution Name],$X$1)</f>
        <v>0</v>
      </c>
      <c r="AH62" s="260"/>
      <c r="AI62" s="260"/>
      <c r="AJ62" s="455">
        <f t="shared" si="1"/>
        <v>0</v>
      </c>
      <c r="AK62" s="456"/>
      <c r="AL62" s="457"/>
      <c r="AM62" s="56"/>
      <c r="AN62" s="306" t="s">
        <v>914</v>
      </c>
      <c r="AO62" s="255"/>
      <c r="AP62" s="255"/>
      <c r="AQ62" s="255"/>
      <c r="AR62" s="255"/>
      <c r="AS62" s="255"/>
      <c r="AT62" s="255"/>
      <c r="AU62" s="255"/>
      <c r="AV62" s="256"/>
      <c r="AW62" s="260">
        <f>SUMIFS(Input[S&amp;S E&amp;G],Input[Institution Name],$AN$1)+SUMIFS(Input[S&amp;S Desg],Input[Institution Name],$AN$1)+SUMIFS(Input[S&amp;S Aux],Input[Institution Name],$AN$1)+SUMIFS(Input[S&amp;S R Exp],Input[Institution Name],$AN$1)+SUMIFS(Input[S&amp;S Loan],Input[Institution Name],$AN$1)+SUMIFS(Input[S&amp;S Annuity],Input[Institution Name],$AN$1)+SUMIFS(Input[S&amp;S Unexp],Input[Institution Name],$AN$1)+SUMIFS(Input[S&amp;S R of Ind],Input[Institution Name],$AN$1)+SUMIFS(Input[S&amp;S Inv in P],Input[Institution Name],$AN$1)</f>
        <v>0</v>
      </c>
      <c r="AX62" s="260"/>
      <c r="AY62" s="260"/>
      <c r="AZ62" s="455">
        <f t="shared" si="2"/>
        <v>0</v>
      </c>
      <c r="BA62" s="456"/>
      <c r="BB62" s="457"/>
      <c r="BC62" s="56"/>
      <c r="BD62" s="56"/>
      <c r="BE62" s="56"/>
    </row>
    <row r="63" spans="1:57" s="57" customFormat="1" ht="30" customHeight="1" x14ac:dyDescent="0.3">
      <c r="A63" s="56"/>
      <c r="B63" s="56"/>
      <c r="C63" s="56"/>
      <c r="D63" s="56"/>
      <c r="E63" s="56"/>
      <c r="F63" s="56"/>
      <c r="G63" s="56"/>
      <c r="H63" s="306" t="s">
        <v>915</v>
      </c>
      <c r="I63" s="255"/>
      <c r="J63" s="255"/>
      <c r="K63" s="255"/>
      <c r="L63" s="255"/>
      <c r="M63" s="255"/>
      <c r="N63" s="255"/>
      <c r="O63" s="255"/>
      <c r="P63" s="256"/>
      <c r="Q63" s="260">
        <f>SUMIFS(Input[Net Aux Ent E&amp;G],Input[Institution Name],$H$1)+SUMIFS(Input[Net Aux Ent Desg],Input[Institution Name],$H$1)+SUMIFS(Input[Net Aux Ent Aux],Input[Institution Name],$H$1)+SUMIFS(Input[Net Aux Ent R Exp],Input[Institution Name],$H$1)+SUMIFS(Input[Net Aux Ent Loan],Input[Institution Name],$H$1)+SUMIFS(Input[Net Aux Ent Annuity],Input[Institution Name],$H$1)+SUMIFS(Input[Net Aux Ent Unexp],Input[Institution Name],$H$1)+SUMIFS(Input[Net Aux Ent R of Ind],Input[Institution Name],$H$1)+SUMIFS(Input[Net Aux Ent Inv in P],Input[Institution Name],$H$1)</f>
        <v>0</v>
      </c>
      <c r="R63" s="260"/>
      <c r="S63" s="260"/>
      <c r="T63" s="455">
        <f t="shared" si="0"/>
        <v>0</v>
      </c>
      <c r="U63" s="456"/>
      <c r="V63" s="457"/>
      <c r="W63" s="56"/>
      <c r="X63" s="306" t="s">
        <v>915</v>
      </c>
      <c r="Y63" s="255"/>
      <c r="Z63" s="255"/>
      <c r="AA63" s="255"/>
      <c r="AB63" s="255"/>
      <c r="AC63" s="255"/>
      <c r="AD63" s="255"/>
      <c r="AE63" s="255"/>
      <c r="AF63" s="256"/>
      <c r="AG63" s="260">
        <f>SUMIFS(Input[Net Aux Ent E&amp;G],Input[Institution Name],$X$1)+SUMIFS(Input[Net Aux Ent Desg],Input[Institution Name],$X$1)+SUMIFS(Input[Net Aux Ent Aux],Input[Institution Name],$X$1)+SUMIFS(Input[Net Aux Ent R Exp],Input[Institution Name],$X$1)+SUMIFS(Input[Net Aux Ent Loan],Input[Institution Name],$X$1)+SUMIFS(Input[Net Aux Ent Annuity],Input[Institution Name],$X$1)+SUMIFS(Input[Net Aux Ent Unexp],Input[Institution Name],$X$1)+SUMIFS(Input[Net Aux Ent R of Ind],Input[Institution Name],$X$1)+SUMIFS(Input[Net Aux Ent Inv in P],Input[Institution Name],$X$1)</f>
        <v>0</v>
      </c>
      <c r="AH63" s="260"/>
      <c r="AI63" s="260"/>
      <c r="AJ63" s="455">
        <f t="shared" si="1"/>
        <v>0</v>
      </c>
      <c r="AK63" s="456"/>
      <c r="AL63" s="457"/>
      <c r="AM63" s="56"/>
      <c r="AN63" s="306" t="s">
        <v>915</v>
      </c>
      <c r="AO63" s="255"/>
      <c r="AP63" s="255"/>
      <c r="AQ63" s="255"/>
      <c r="AR63" s="255"/>
      <c r="AS63" s="255"/>
      <c r="AT63" s="255"/>
      <c r="AU63" s="255"/>
      <c r="AV63" s="256"/>
      <c r="AW63" s="260">
        <f>SUMIFS(Input[Net Aux Ent E&amp;G],Input[Institution Name],$AN$1)+SUMIFS(Input[Net Aux Ent Desg],Input[Institution Name],$AN$1)+SUMIFS(Input[Net Aux Ent Aux],Input[Institution Name],$AN$1)+SUMIFS(Input[Net Aux Ent R Exp],Input[Institution Name],$AN$1)+SUMIFS(Input[Net Aux Ent Loan],Input[Institution Name],$AN$1)+SUMIFS(Input[Net Aux Ent Annuity],Input[Institution Name],$AN$1)+SUMIFS(Input[Net Aux Ent Unexp],Input[Institution Name],$AN$1)+SUMIFS(Input[Net Aux Ent R of Ind],Input[Institution Name],$AN$1)+SUMIFS(Input[Net Aux Ent Inv in P],Input[Institution Name],$AN$1)</f>
        <v>0</v>
      </c>
      <c r="AX63" s="260"/>
      <c r="AY63" s="260"/>
      <c r="AZ63" s="455">
        <f t="shared" si="2"/>
        <v>0</v>
      </c>
      <c r="BA63" s="456"/>
      <c r="BB63" s="457"/>
      <c r="BC63" s="56"/>
      <c r="BD63" s="56"/>
      <c r="BE63" s="56"/>
    </row>
    <row r="64" spans="1:57" s="57" customFormat="1" ht="30" customHeight="1" x14ac:dyDescent="0.3">
      <c r="A64" s="56"/>
      <c r="B64" s="56"/>
      <c r="C64" s="56"/>
      <c r="D64" s="56"/>
      <c r="E64" s="56"/>
      <c r="F64" s="56"/>
      <c r="G64" s="56"/>
      <c r="H64" s="306" t="s">
        <v>916</v>
      </c>
      <c r="I64" s="255"/>
      <c r="J64" s="255"/>
      <c r="K64" s="255"/>
      <c r="L64" s="255"/>
      <c r="M64" s="255"/>
      <c r="N64" s="255"/>
      <c r="O64" s="255"/>
      <c r="P64" s="256"/>
      <c r="Q64" s="260">
        <f>SUMIFS(Input[Oth Inc E&amp;G],Input[Institution Name],$H$1)+SUMIFS(Input[Oth Inc Desg],Input[Institution Name],$H$1)+SUMIFS(Input[Oth Inc Aux],Input[Institution Name],$H$1)+SUMIFS(Input[Oth Inc R Exp],Input[Institution Name],$H$1)+SUMIFS(Input[Oth Inc Loan],Input[Institution Name],$H$1)+SUMIFS(Input[Oth Inc Annuity],Input[Institution Name],$H$1)+SUMIFS(Input[Oth Inc Unexp],Input[Institution Name],$H$1)+SUMIFS(Input[Oth Inc R of Ind],Input[Institution Name],$H$1)+SUMIFS(Input[Oth Inc Inv in P],Input[Institution Name],$H$1)</f>
        <v>0</v>
      </c>
      <c r="R64" s="260"/>
      <c r="S64" s="260"/>
      <c r="T64" s="458">
        <f t="shared" si="0"/>
        <v>0</v>
      </c>
      <c r="U64" s="459"/>
      <c r="V64" s="460"/>
      <c r="W64" s="56"/>
      <c r="X64" s="306" t="s">
        <v>916</v>
      </c>
      <c r="Y64" s="255"/>
      <c r="Z64" s="255"/>
      <c r="AA64" s="255"/>
      <c r="AB64" s="255"/>
      <c r="AC64" s="255"/>
      <c r="AD64" s="255"/>
      <c r="AE64" s="255"/>
      <c r="AF64" s="256"/>
      <c r="AG64" s="260">
        <f>SUMIFS(Input[Oth Inc E&amp;G],Input[Institution Name],$X$1)+SUMIFS(Input[Oth Inc Desg],Input[Institution Name],$X$1)+SUMIFS(Input[Oth Inc Aux],Input[Institution Name],$X$1)+SUMIFS(Input[Oth Inc R Exp],Input[Institution Name],$X$1)+SUMIFS(Input[Oth Inc Loan],Input[Institution Name],$X$1)+SUMIFS(Input[Oth Inc Annuity],Input[Institution Name],$X$1)+SUMIFS(Input[Oth Inc Unexp],Input[Institution Name],$X$1)+SUMIFS(Input[Oth Inc R of Ind],Input[Institution Name],$X$1)+SUMIFS(Input[Oth Inc Inv in P],Input[Institution Name],$X$1)</f>
        <v>0</v>
      </c>
      <c r="AH64" s="260"/>
      <c r="AI64" s="260"/>
      <c r="AJ64" s="458">
        <f t="shared" si="1"/>
        <v>0</v>
      </c>
      <c r="AK64" s="459"/>
      <c r="AL64" s="460"/>
      <c r="AM64" s="56"/>
      <c r="AN64" s="306" t="s">
        <v>916</v>
      </c>
      <c r="AO64" s="255"/>
      <c r="AP64" s="255"/>
      <c r="AQ64" s="255"/>
      <c r="AR64" s="255"/>
      <c r="AS64" s="255"/>
      <c r="AT64" s="255"/>
      <c r="AU64" s="255"/>
      <c r="AV64" s="256"/>
      <c r="AW64" s="260">
        <f>SUMIFS(Input[Oth Inc E&amp;G],Input[Institution Name],$AN$1)+SUMIFS(Input[Oth Inc Desg],Input[Institution Name],$AN$1)+SUMIFS(Input[Oth Inc Aux],Input[Institution Name],$AN$1)+SUMIFS(Input[Oth Inc R Exp],Input[Institution Name],$AN$1)+SUMIFS(Input[Oth Inc Loan],Input[Institution Name],$AN$1)+SUMIFS(Input[Oth Inc Annuity],Input[Institution Name],$AN$1)+SUMIFS(Input[Oth Inc Unexp],Input[Institution Name],$AN$1)+SUMIFS(Input[Oth Inc R of Ind],Input[Institution Name],$AN$1)+SUMIFS(Input[Oth Inc Inv in P],Input[Institution Name],$AN$1)</f>
        <v>0</v>
      </c>
      <c r="AX64" s="260"/>
      <c r="AY64" s="260"/>
      <c r="AZ64" s="458">
        <f t="shared" si="2"/>
        <v>0</v>
      </c>
      <c r="BA64" s="459"/>
      <c r="BB64" s="460"/>
      <c r="BC64" s="56"/>
      <c r="BD64" s="56"/>
      <c r="BE64" s="56"/>
    </row>
    <row r="65" spans="1:57" s="57" customFormat="1" ht="30" customHeight="1" x14ac:dyDescent="0.3">
      <c r="A65" s="56"/>
      <c r="B65" s="56"/>
      <c r="C65" s="56"/>
      <c r="D65" s="56"/>
      <c r="E65" s="56"/>
      <c r="F65" s="56"/>
      <c r="G65" s="56"/>
      <c r="H65" s="323" t="s">
        <v>917</v>
      </c>
      <c r="I65" s="324"/>
      <c r="J65" s="324"/>
      <c r="K65" s="324"/>
      <c r="L65" s="324"/>
      <c r="M65" s="324"/>
      <c r="N65" s="324"/>
      <c r="O65" s="324"/>
      <c r="P65" s="324"/>
      <c r="Q65" s="329">
        <f>SUM(Q59:S64)</f>
        <v>0</v>
      </c>
      <c r="R65" s="329"/>
      <c r="S65" s="329"/>
      <c r="T65" s="329">
        <f>SUM(T59:V64)</f>
        <v>0</v>
      </c>
      <c r="U65" s="329"/>
      <c r="V65" s="330"/>
      <c r="W65" s="56"/>
      <c r="X65" s="323" t="s">
        <v>917</v>
      </c>
      <c r="Y65" s="324"/>
      <c r="Z65" s="324"/>
      <c r="AA65" s="324"/>
      <c r="AB65" s="324"/>
      <c r="AC65" s="324"/>
      <c r="AD65" s="324"/>
      <c r="AE65" s="324"/>
      <c r="AF65" s="324"/>
      <c r="AG65" s="329">
        <f>SUM(AG59:AI64)</f>
        <v>0</v>
      </c>
      <c r="AH65" s="329"/>
      <c r="AI65" s="329"/>
      <c r="AJ65" s="329">
        <f>SUM(AJ59:AL64)</f>
        <v>0</v>
      </c>
      <c r="AK65" s="329"/>
      <c r="AL65" s="330"/>
      <c r="AM65" s="56"/>
      <c r="AN65" s="323" t="s">
        <v>917</v>
      </c>
      <c r="AO65" s="324"/>
      <c r="AP65" s="324"/>
      <c r="AQ65" s="324"/>
      <c r="AR65" s="324"/>
      <c r="AS65" s="324"/>
      <c r="AT65" s="324"/>
      <c r="AU65" s="324"/>
      <c r="AV65" s="324"/>
      <c r="AW65" s="329">
        <f>SUM(AW59:AY64)</f>
        <v>0</v>
      </c>
      <c r="AX65" s="329"/>
      <c r="AY65" s="329"/>
      <c r="AZ65" s="329">
        <f>SUM(AZ59:BB64)</f>
        <v>0</v>
      </c>
      <c r="BA65" s="329"/>
      <c r="BB65" s="330"/>
      <c r="BC65" s="56"/>
      <c r="BD65" s="56"/>
      <c r="BE65" s="56"/>
    </row>
    <row r="66" spans="1:57" s="57" customFormat="1" ht="30" customHeight="1" x14ac:dyDescent="0.3">
      <c r="A66" s="56"/>
      <c r="B66" s="56"/>
      <c r="C66" s="56"/>
      <c r="D66" s="56"/>
      <c r="E66" s="56"/>
      <c r="F66" s="56"/>
      <c r="G66" s="56"/>
      <c r="H66" s="59"/>
      <c r="I66" s="59"/>
      <c r="J66" s="59"/>
      <c r="K66" s="59"/>
      <c r="L66" s="59"/>
      <c r="M66" s="59"/>
      <c r="N66" s="59"/>
      <c r="O66" s="59"/>
      <c r="P66" s="59"/>
      <c r="Q66" s="80"/>
      <c r="R66" s="80"/>
      <c r="S66" s="80"/>
      <c r="T66" s="80"/>
      <c r="U66" s="80"/>
      <c r="V66" s="80"/>
      <c r="W66" s="56"/>
      <c r="X66" s="59"/>
      <c r="Y66" s="59"/>
      <c r="Z66" s="59"/>
      <c r="AA66" s="59"/>
      <c r="AB66" s="59"/>
      <c r="AC66" s="59"/>
      <c r="AD66" s="59"/>
      <c r="AE66" s="59"/>
      <c r="AF66" s="59"/>
      <c r="AG66" s="80"/>
      <c r="AH66" s="80"/>
      <c r="AI66" s="80"/>
      <c r="AJ66" s="80"/>
      <c r="AK66" s="80"/>
      <c r="AL66" s="80"/>
      <c r="AM66" s="56"/>
      <c r="AN66" s="59"/>
      <c r="AO66" s="59"/>
      <c r="AP66" s="59"/>
      <c r="AQ66" s="59"/>
      <c r="AR66" s="59"/>
      <c r="AS66" s="59"/>
      <c r="AT66" s="59"/>
      <c r="AU66" s="59"/>
      <c r="AV66" s="59"/>
      <c r="AW66" s="80"/>
      <c r="AX66" s="80"/>
      <c r="AY66" s="80"/>
      <c r="AZ66" s="80"/>
      <c r="BA66" s="80"/>
      <c r="BB66" s="80"/>
      <c r="BC66" s="56"/>
      <c r="BD66" s="56"/>
      <c r="BE66" s="56"/>
    </row>
    <row r="67" spans="1:57" s="57" customFormat="1" ht="30" customHeight="1" x14ac:dyDescent="0.3">
      <c r="A67" s="56"/>
      <c r="B67" s="56"/>
      <c r="C67" s="56"/>
      <c r="D67" s="56"/>
      <c r="E67" s="56"/>
      <c r="F67" s="56"/>
      <c r="G67" s="56"/>
      <c r="H67" s="369" t="s">
        <v>918</v>
      </c>
      <c r="I67" s="370"/>
      <c r="J67" s="370"/>
      <c r="K67" s="370"/>
      <c r="L67" s="370"/>
      <c r="M67" s="370"/>
      <c r="N67" s="370"/>
      <c r="O67" s="370"/>
      <c r="P67" s="370"/>
      <c r="Q67" s="367">
        <f>SUM(Q14,Q30,Q45,Q50,Q53,Q56,Q65)</f>
        <v>0</v>
      </c>
      <c r="R67" s="367"/>
      <c r="S67" s="367"/>
      <c r="T67" s="367">
        <f>SUM(T14,T30,T45,T50,T53,T56,T65)</f>
        <v>0</v>
      </c>
      <c r="U67" s="367"/>
      <c r="V67" s="368"/>
      <c r="W67" s="56"/>
      <c r="X67" s="369" t="s">
        <v>918</v>
      </c>
      <c r="Y67" s="370"/>
      <c r="Z67" s="370"/>
      <c r="AA67" s="370"/>
      <c r="AB67" s="370"/>
      <c r="AC67" s="370"/>
      <c r="AD67" s="370"/>
      <c r="AE67" s="370"/>
      <c r="AF67" s="370"/>
      <c r="AG67" s="367">
        <f>SUM(AG14,AG30,AG45,AG50,AG53,AG56,AG65)</f>
        <v>0</v>
      </c>
      <c r="AH67" s="367"/>
      <c r="AI67" s="367"/>
      <c r="AJ67" s="367">
        <f>SUM(AJ14,AJ30,AJ45,AJ50,AJ53,AJ56,AJ65)</f>
        <v>0</v>
      </c>
      <c r="AK67" s="367"/>
      <c r="AL67" s="368"/>
      <c r="AM67" s="56"/>
      <c r="AN67" s="369" t="s">
        <v>918</v>
      </c>
      <c r="AO67" s="370"/>
      <c r="AP67" s="370"/>
      <c r="AQ67" s="370"/>
      <c r="AR67" s="370"/>
      <c r="AS67" s="370"/>
      <c r="AT67" s="370"/>
      <c r="AU67" s="370"/>
      <c r="AV67" s="370"/>
      <c r="AW67" s="367">
        <f>SUM(AW14,AW30,AW45,AW50,AW53,AW56,AW65)</f>
        <v>0</v>
      </c>
      <c r="AX67" s="367"/>
      <c r="AY67" s="367"/>
      <c r="AZ67" s="367">
        <f>SUM(AZ14,AZ30,AZ45,AZ50,AZ53,AZ56,AZ65)</f>
        <v>0</v>
      </c>
      <c r="BA67" s="367"/>
      <c r="BB67" s="368"/>
      <c r="BC67" s="56"/>
      <c r="BD67" s="56"/>
      <c r="BE67" s="56"/>
    </row>
    <row r="68" spans="1:57" s="57" customFormat="1" ht="30" customHeight="1" x14ac:dyDescent="0.3">
      <c r="A68" s="56"/>
      <c r="B68" s="56"/>
      <c r="C68" s="56"/>
      <c r="D68" s="56"/>
      <c r="E68" s="56"/>
      <c r="F68" s="56"/>
      <c r="G68" s="56"/>
      <c r="H68" s="59"/>
      <c r="I68" s="59"/>
      <c r="J68" s="59"/>
      <c r="K68" s="59"/>
      <c r="L68" s="59"/>
      <c r="M68" s="59"/>
      <c r="N68" s="59"/>
      <c r="O68" s="59"/>
      <c r="P68" s="59"/>
      <c r="Q68" s="80"/>
      <c r="R68" s="80"/>
      <c r="S68" s="80"/>
      <c r="T68" s="80"/>
      <c r="U68" s="80"/>
      <c r="V68" s="80"/>
      <c r="W68" s="56"/>
      <c r="X68" s="59"/>
      <c r="Y68" s="59"/>
      <c r="Z68" s="59"/>
      <c r="AA68" s="59"/>
      <c r="AB68" s="59"/>
      <c r="AC68" s="59"/>
      <c r="AD68" s="59"/>
      <c r="AE68" s="59"/>
      <c r="AF68" s="59"/>
      <c r="AG68" s="80"/>
      <c r="AH68" s="80"/>
      <c r="AI68" s="80"/>
      <c r="AJ68" s="80"/>
      <c r="AK68" s="80"/>
      <c r="AL68" s="80"/>
      <c r="AM68" s="56"/>
      <c r="AN68" s="59"/>
      <c r="AO68" s="59"/>
      <c r="AP68" s="59"/>
      <c r="AQ68" s="59"/>
      <c r="AR68" s="59"/>
      <c r="AS68" s="59"/>
      <c r="AT68" s="59"/>
      <c r="AU68" s="59"/>
      <c r="AV68" s="59"/>
      <c r="AW68" s="80"/>
      <c r="AX68" s="80"/>
      <c r="AY68" s="80"/>
      <c r="AZ68" s="80"/>
      <c r="BA68" s="80"/>
      <c r="BB68" s="80"/>
      <c r="BC68" s="56"/>
      <c r="BD68" s="56"/>
      <c r="BE68" s="56"/>
    </row>
    <row r="69" spans="1:57" s="57" customFormat="1" ht="30" customHeight="1" x14ac:dyDescent="0.3">
      <c r="A69" s="56"/>
      <c r="B69" s="56"/>
      <c r="C69" s="56"/>
      <c r="D69" s="56"/>
      <c r="E69" s="56"/>
      <c r="F69" s="56"/>
      <c r="G69" s="56"/>
      <c r="H69" s="480" t="s">
        <v>919</v>
      </c>
      <c r="I69" s="481"/>
      <c r="J69" s="481"/>
      <c r="K69" s="481"/>
      <c r="L69" s="481"/>
      <c r="M69" s="481"/>
      <c r="N69" s="481"/>
      <c r="O69" s="481"/>
      <c r="P69" s="481"/>
      <c r="Q69" s="481"/>
      <c r="R69" s="481"/>
      <c r="S69" s="481"/>
      <c r="T69" s="481"/>
      <c r="U69" s="481"/>
      <c r="V69" s="482"/>
      <c r="W69" s="56"/>
      <c r="X69" s="480" t="s">
        <v>919</v>
      </c>
      <c r="Y69" s="481"/>
      <c r="Z69" s="481"/>
      <c r="AA69" s="481"/>
      <c r="AB69" s="481"/>
      <c r="AC69" s="481"/>
      <c r="AD69" s="481"/>
      <c r="AE69" s="481"/>
      <c r="AF69" s="481"/>
      <c r="AG69" s="481"/>
      <c r="AH69" s="481"/>
      <c r="AI69" s="481"/>
      <c r="AJ69" s="481"/>
      <c r="AK69" s="481"/>
      <c r="AL69" s="482"/>
      <c r="AM69" s="56"/>
      <c r="AN69" s="480" t="s">
        <v>919</v>
      </c>
      <c r="AO69" s="481"/>
      <c r="AP69" s="481"/>
      <c r="AQ69" s="481"/>
      <c r="AR69" s="481"/>
      <c r="AS69" s="481"/>
      <c r="AT69" s="481"/>
      <c r="AU69" s="481"/>
      <c r="AV69" s="481"/>
      <c r="AW69" s="481"/>
      <c r="AX69" s="481"/>
      <c r="AY69" s="481"/>
      <c r="AZ69" s="481"/>
      <c r="BA69" s="481"/>
      <c r="BB69" s="482"/>
      <c r="BC69" s="56"/>
      <c r="BD69" s="56"/>
      <c r="BE69" s="56"/>
    </row>
    <row r="70" spans="1:57" s="57" customFormat="1" ht="30" customHeight="1" x14ac:dyDescent="0.3">
      <c r="A70" s="56"/>
      <c r="B70" s="56"/>
      <c r="C70" s="56"/>
      <c r="D70" s="56"/>
      <c r="E70" s="56"/>
      <c r="F70" s="56"/>
      <c r="G70" s="56"/>
      <c r="H70" s="554" t="s">
        <v>920</v>
      </c>
      <c r="I70" s="555"/>
      <c r="J70" s="555"/>
      <c r="K70" s="555"/>
      <c r="L70" s="555"/>
      <c r="M70" s="555"/>
      <c r="N70" s="555"/>
      <c r="O70" s="555"/>
      <c r="P70" s="555"/>
      <c r="Q70" s="556" t="s">
        <v>981</v>
      </c>
      <c r="R70" s="556"/>
      <c r="S70" s="556"/>
      <c r="T70" s="556" t="s">
        <v>982</v>
      </c>
      <c r="U70" s="556"/>
      <c r="V70" s="557"/>
      <c r="W70" s="56"/>
      <c r="X70" s="554" t="s">
        <v>920</v>
      </c>
      <c r="Y70" s="555"/>
      <c r="Z70" s="555"/>
      <c r="AA70" s="555"/>
      <c r="AB70" s="555"/>
      <c r="AC70" s="555"/>
      <c r="AD70" s="555"/>
      <c r="AE70" s="555"/>
      <c r="AF70" s="555"/>
      <c r="AG70" s="556" t="s">
        <v>981</v>
      </c>
      <c r="AH70" s="556"/>
      <c r="AI70" s="556"/>
      <c r="AJ70" s="556" t="s">
        <v>982</v>
      </c>
      <c r="AK70" s="556"/>
      <c r="AL70" s="557"/>
      <c r="AM70" s="56"/>
      <c r="AN70" s="554" t="s">
        <v>920</v>
      </c>
      <c r="AO70" s="555"/>
      <c r="AP70" s="555"/>
      <c r="AQ70" s="555"/>
      <c r="AR70" s="555"/>
      <c r="AS70" s="555"/>
      <c r="AT70" s="555"/>
      <c r="AU70" s="555"/>
      <c r="AV70" s="555"/>
      <c r="AW70" s="556" t="s">
        <v>981</v>
      </c>
      <c r="AX70" s="556"/>
      <c r="AY70" s="556"/>
      <c r="AZ70" s="556" t="s">
        <v>982</v>
      </c>
      <c r="BA70" s="556"/>
      <c r="BB70" s="557"/>
      <c r="BC70" s="56"/>
      <c r="BD70" s="56"/>
      <c r="BE70" s="56"/>
    </row>
    <row r="71" spans="1:57" s="57" customFormat="1" ht="30" customHeight="1" x14ac:dyDescent="0.3">
      <c r="A71" s="56"/>
      <c r="B71" s="56"/>
      <c r="C71" s="56"/>
      <c r="D71" s="56"/>
      <c r="E71" s="56"/>
      <c r="F71" s="56"/>
      <c r="G71" s="56"/>
      <c r="H71" s="306" t="s">
        <v>921</v>
      </c>
      <c r="I71" s="255"/>
      <c r="J71" s="255"/>
      <c r="K71" s="255"/>
      <c r="L71" s="255"/>
      <c r="M71" s="255"/>
      <c r="N71" s="255"/>
      <c r="O71" s="255"/>
      <c r="P71" s="256"/>
      <c r="Q71" s="258">
        <f>SUMIFS(Input[Instr E&amp;G],Input[Institution Name],$H$1)+SUMIFS(Input[Instr Desg],Input[Institution Name],$H$1)+SUMIFS(Input[Instr Aux],Input[Institution Name],$H$1)+SUMIFS(Input[Instr R Exp],Input[Institution Name],$H$1)+SUMIFS(Input[Instr Loan],Input[Institution Name],$H$1)+SUMIFS(Input[Instr Annuity],Input[Institution Name],$H$1)+SUMIFS(Input[Instr Unexp],Input[Institution Name],$H$1)+SUMIFS(Input[Instr R of Ind],Input[Institution Name],$H$1)+SUMIFS(Input[Instr Inv in P],Input[Institution Name],$H$1)</f>
        <v>0</v>
      </c>
      <c r="R71" s="258"/>
      <c r="S71" s="258"/>
      <c r="T71" s="258">
        <f>IFERROR(ROUND(Q71/$Q$6,0),0)</f>
        <v>0</v>
      </c>
      <c r="U71" s="258"/>
      <c r="V71" s="357"/>
      <c r="W71" s="56"/>
      <c r="X71" s="306" t="s">
        <v>921</v>
      </c>
      <c r="Y71" s="255"/>
      <c r="Z71" s="255"/>
      <c r="AA71" s="255"/>
      <c r="AB71" s="255"/>
      <c r="AC71" s="255"/>
      <c r="AD71" s="255"/>
      <c r="AE71" s="255"/>
      <c r="AF71" s="256"/>
      <c r="AG71" s="258">
        <f>SUMIFS(Input[Instr E&amp;G],Input[Institution Name],$X$1)+SUMIFS(Input[Instr Desg],Input[Institution Name],$X$1)+SUMIFS(Input[Instr Aux],Input[Institution Name],$X$1)+SUMIFS(Input[Instr R Exp],Input[Institution Name],$X$1)+SUMIFS(Input[Instr Loan],Input[Institution Name],$X$1)+SUMIFS(Input[Instr Annuity],Input[Institution Name],$X$1)+SUMIFS(Input[Instr Unexp],Input[Institution Name],$X$1)+SUMIFS(Input[Instr R of Ind],Input[Institution Name],$X$1)+SUMIFS(Input[Instr Inv in P],Input[Institution Name],$X$1)</f>
        <v>0</v>
      </c>
      <c r="AH71" s="258"/>
      <c r="AI71" s="258"/>
      <c r="AJ71" s="258">
        <f t="shared" ref="AJ71:AJ82" si="3">IFERROR(ROUND(AG71/$AG$6,0),0)</f>
        <v>0</v>
      </c>
      <c r="AK71" s="258"/>
      <c r="AL71" s="357"/>
      <c r="AM71" s="56"/>
      <c r="AN71" s="306" t="s">
        <v>921</v>
      </c>
      <c r="AO71" s="255"/>
      <c r="AP71" s="255"/>
      <c r="AQ71" s="255"/>
      <c r="AR71" s="255"/>
      <c r="AS71" s="255"/>
      <c r="AT71" s="255"/>
      <c r="AU71" s="255"/>
      <c r="AV71" s="256"/>
      <c r="AW71" s="258">
        <f>SUMIFS(Input[Instr E&amp;G],Input[Institution Name],$AN$1)+SUMIFS(Input[Instr Desg],Input[Institution Name],$AN$1)+SUMIFS(Input[Instr Aux],Input[Institution Name],$AN$1)+SUMIFS(Input[Instr R Exp],Input[Institution Name],$AN$1)+SUMIFS(Input[Instr Loan],Input[Institution Name],$AN$1)+SUMIFS(Input[Instr Annuity],Input[Institution Name],$AN$1)+SUMIFS(Input[Instr Unexp],Input[Institution Name],$AN$1)+SUMIFS(Input[Instr R of Ind],Input[Institution Name],$AN$1)+SUMIFS(Input[Instr Inv in P],Input[Institution Name],$AN$1)</f>
        <v>0</v>
      </c>
      <c r="AX71" s="258"/>
      <c r="AY71" s="258"/>
      <c r="AZ71" s="258">
        <f>IFERROR(ROUND(AW71/$AW$6,0),0)</f>
        <v>0</v>
      </c>
      <c r="BA71" s="258"/>
      <c r="BB71" s="357"/>
      <c r="BC71" s="56"/>
      <c r="BD71" s="56"/>
      <c r="BE71" s="56"/>
    </row>
    <row r="72" spans="1:57" s="57" customFormat="1" ht="30" customHeight="1" x14ac:dyDescent="0.3">
      <c r="A72" s="56"/>
      <c r="B72" s="56"/>
      <c r="C72" s="56"/>
      <c r="D72" s="56"/>
      <c r="E72" s="56"/>
      <c r="F72" s="56"/>
      <c r="G72" s="56"/>
      <c r="H72" s="306" t="s">
        <v>922</v>
      </c>
      <c r="I72" s="255"/>
      <c r="J72" s="255"/>
      <c r="K72" s="255"/>
      <c r="L72" s="255"/>
      <c r="M72" s="255"/>
      <c r="N72" s="255"/>
      <c r="O72" s="255"/>
      <c r="P72" s="256"/>
      <c r="Q72" s="260">
        <f>SUMIFS(Input[Res E&amp;G],Input[Institution Name],$H$1)+SUMIFS(Input[Res Desg],Input[Institution Name],$H$1)+SUMIFS(Input[Res Aux],Input[Institution Name],$H$1)+SUMIFS(Input[Res R Exp],Input[Institution Name],$H$1)+SUMIFS(Input[Res Loan],Input[Institution Name],$H$1)+SUMIFS(Input[Res Annuity],Input[Institution Name],$H$1)+SUMIFS(Input[Res Unexp],Input[Institution Name],$H$1)+SUMIFS(Input[Res R of Ind],Input[Institution Name],$H$1)+SUMIFS(Input[Res Inv in P],Input[Institution Name],$H$1)</f>
        <v>0</v>
      </c>
      <c r="R72" s="260"/>
      <c r="S72" s="260"/>
      <c r="T72" s="455">
        <f t="shared" ref="T72:T82" si="4">IFERROR(ROUND(Q72/$Q$6,0),0)</f>
        <v>0</v>
      </c>
      <c r="U72" s="456"/>
      <c r="V72" s="457"/>
      <c r="W72" s="56"/>
      <c r="X72" s="306" t="s">
        <v>922</v>
      </c>
      <c r="Y72" s="255"/>
      <c r="Z72" s="255"/>
      <c r="AA72" s="255"/>
      <c r="AB72" s="255"/>
      <c r="AC72" s="255"/>
      <c r="AD72" s="255"/>
      <c r="AE72" s="255"/>
      <c r="AF72" s="256"/>
      <c r="AG72" s="260">
        <f>SUMIFS(Input[Res E&amp;G],Input[Institution Name],$X$1)+SUMIFS(Input[Res Desg],Input[Institution Name],$X$1)+SUMIFS(Input[Res Aux],Input[Institution Name],$X$1)+SUMIFS(Input[Res R Exp],Input[Institution Name],$X$1)+SUMIFS(Input[Res Loan],Input[Institution Name],$X$1)+SUMIFS(Input[Res Annuity],Input[Institution Name],$X$1)+SUMIFS(Input[Res Unexp],Input[Institution Name],$X$1)+SUMIFS(Input[Res R of Ind],Input[Institution Name],$X$1)+SUMIFS(Input[Res Inv in P],Input[Institution Name],$X$1)</f>
        <v>0</v>
      </c>
      <c r="AH72" s="260"/>
      <c r="AI72" s="260"/>
      <c r="AJ72" s="455">
        <f t="shared" si="3"/>
        <v>0</v>
      </c>
      <c r="AK72" s="456"/>
      <c r="AL72" s="457"/>
      <c r="AM72" s="56"/>
      <c r="AN72" s="306" t="s">
        <v>922</v>
      </c>
      <c r="AO72" s="255"/>
      <c r="AP72" s="255"/>
      <c r="AQ72" s="255"/>
      <c r="AR72" s="255"/>
      <c r="AS72" s="255"/>
      <c r="AT72" s="255"/>
      <c r="AU72" s="255"/>
      <c r="AV72" s="256"/>
      <c r="AW72" s="260">
        <f>SUMIFS(Input[Res E&amp;G],Input[Institution Name],$AN$1)+SUMIFS(Input[Res Desg],Input[Institution Name],$AN$1)+SUMIFS(Input[Res Aux],Input[Institution Name],$AN$1)+SUMIFS(Input[Res R Exp],Input[Institution Name],$AN$1)+SUMIFS(Input[Res Loan],Input[Institution Name],$AN$1)+SUMIFS(Input[Res Annuity],Input[Institution Name],$AN$1)+SUMIFS(Input[Res Unexp],Input[Institution Name],$AN$1)+SUMIFS(Input[Res R of Ind],Input[Institution Name],$AN$1)+SUMIFS(Input[Res Inv in P],Input[Institution Name],$AN$1)</f>
        <v>0</v>
      </c>
      <c r="AX72" s="260"/>
      <c r="AY72" s="260"/>
      <c r="AZ72" s="455">
        <f t="shared" ref="AZ72:AZ82" si="5">IFERROR(ROUND(AW72/$AW$6,0),0)</f>
        <v>0</v>
      </c>
      <c r="BA72" s="456"/>
      <c r="BB72" s="457"/>
      <c r="BC72" s="56"/>
      <c r="BD72" s="56"/>
      <c r="BE72" s="56"/>
    </row>
    <row r="73" spans="1:57" s="57" customFormat="1" ht="30" customHeight="1" x14ac:dyDescent="0.3">
      <c r="A73" s="56"/>
      <c r="B73" s="56"/>
      <c r="C73" s="56"/>
      <c r="D73" s="56"/>
      <c r="E73" s="56"/>
      <c r="F73" s="56"/>
      <c r="G73" s="56"/>
      <c r="H73" s="306" t="s">
        <v>923</v>
      </c>
      <c r="I73" s="255"/>
      <c r="J73" s="255"/>
      <c r="K73" s="255"/>
      <c r="L73" s="255"/>
      <c r="M73" s="255"/>
      <c r="N73" s="255"/>
      <c r="O73" s="255"/>
      <c r="P73" s="256"/>
      <c r="Q73" s="260">
        <f>SUMIFS(Input[Pub Srv E&amp;G],Input[Institution Name],$H$1)+SUMIFS(Input[Pub Srv Desg],Input[Institution Name],$H$1)+SUMIFS(Input[Pub Srv Aux],Input[Institution Name],$H$1)+SUMIFS(Input[Pub Srv R Exp],Input[Institution Name],$H$1)+SUMIFS(Input[Pub Srv Loan],Input[Institution Name],$H$1)+SUMIFS(Input[Pub Srv Annuity],Input[Institution Name],$H$1)+SUMIFS(Input[Pub Srv Unexp],Input[Institution Name],$H$1)+SUMIFS(Input[Pub Srv R of Ind],Input[Institution Name],$H$1)+SUMIFS(Input[Pub Srv Inv in P],Input[Institution Name],$H$1)</f>
        <v>0</v>
      </c>
      <c r="R73" s="260"/>
      <c r="S73" s="260"/>
      <c r="T73" s="455">
        <f t="shared" si="4"/>
        <v>0</v>
      </c>
      <c r="U73" s="456"/>
      <c r="V73" s="457"/>
      <c r="W73" s="56"/>
      <c r="X73" s="306" t="s">
        <v>923</v>
      </c>
      <c r="Y73" s="255"/>
      <c r="Z73" s="255"/>
      <c r="AA73" s="255"/>
      <c r="AB73" s="255"/>
      <c r="AC73" s="255"/>
      <c r="AD73" s="255"/>
      <c r="AE73" s="255"/>
      <c r="AF73" s="256"/>
      <c r="AG73" s="260">
        <f>SUMIFS(Input[Pub Srv E&amp;G],Input[Institution Name],$X$1)+SUMIFS(Input[Pub Srv Desg],Input[Institution Name],$X$1)+SUMIFS(Input[Pub Srv Aux],Input[Institution Name],$X$1)+SUMIFS(Input[Pub Srv R Exp],Input[Institution Name],$X$1)+SUMIFS(Input[Pub Srv Loan],Input[Institution Name],$X$1)+SUMIFS(Input[Pub Srv Annuity],Input[Institution Name],$X$1)+SUMIFS(Input[Pub Srv Unexp],Input[Institution Name],$X$1)+SUMIFS(Input[Pub Srv R of Ind],Input[Institution Name],$X$1)+SUMIFS(Input[Pub Srv Inv in P],Input[Institution Name],$X$1)</f>
        <v>0</v>
      </c>
      <c r="AH73" s="260"/>
      <c r="AI73" s="260"/>
      <c r="AJ73" s="455">
        <f t="shared" si="3"/>
        <v>0</v>
      </c>
      <c r="AK73" s="456"/>
      <c r="AL73" s="457"/>
      <c r="AM73" s="56"/>
      <c r="AN73" s="306" t="s">
        <v>923</v>
      </c>
      <c r="AO73" s="255"/>
      <c r="AP73" s="255"/>
      <c r="AQ73" s="255"/>
      <c r="AR73" s="255"/>
      <c r="AS73" s="255"/>
      <c r="AT73" s="255"/>
      <c r="AU73" s="255"/>
      <c r="AV73" s="256"/>
      <c r="AW73" s="260">
        <f>SUMIFS(Input[Pub Srv E&amp;G],Input[Institution Name],$AN$1)+SUMIFS(Input[Pub Srv Desg],Input[Institution Name],$AN$1)+SUMIFS(Input[Pub Srv Aux],Input[Institution Name],$AN$1)+SUMIFS(Input[Pub Srv R Exp],Input[Institution Name],$AN$1)+SUMIFS(Input[Pub Srv Loan],Input[Institution Name],$AN$1)+SUMIFS(Input[Pub Srv Annuity],Input[Institution Name],$AN$1)+SUMIFS(Input[Pub Srv Unexp],Input[Institution Name],$AN$1)+SUMIFS(Input[Pub Srv R of Ind],Input[Institution Name],$AN$1)+SUMIFS(Input[Pub Srv Inv in P],Input[Institution Name],$AN$1)</f>
        <v>0</v>
      </c>
      <c r="AX73" s="260"/>
      <c r="AY73" s="260"/>
      <c r="AZ73" s="455">
        <f t="shared" si="5"/>
        <v>0</v>
      </c>
      <c r="BA73" s="456"/>
      <c r="BB73" s="457"/>
      <c r="BC73" s="56"/>
      <c r="BD73" s="56"/>
      <c r="BE73" s="56"/>
    </row>
    <row r="74" spans="1:57" s="57" customFormat="1" ht="30" customHeight="1" x14ac:dyDescent="0.3">
      <c r="A74" s="56"/>
      <c r="B74" s="56"/>
      <c r="C74" s="56"/>
      <c r="D74" s="56"/>
      <c r="E74" s="56"/>
      <c r="F74" s="56"/>
      <c r="G74" s="56"/>
      <c r="H74" s="306" t="s">
        <v>909</v>
      </c>
      <c r="I74" s="255"/>
      <c r="J74" s="255"/>
      <c r="K74" s="255"/>
      <c r="L74" s="255"/>
      <c r="M74" s="255"/>
      <c r="N74" s="255"/>
      <c r="O74" s="255"/>
      <c r="P74" s="256"/>
      <c r="Q74" s="260">
        <f>SUMIFS(Input[H&amp;C (OU) E&amp;G],Input[Institution Name],$H$1)+SUMIFS(Input[H&amp;C (OU) Desg],Input[Institution Name],$H$1)+SUMIFS(Input[H&amp;C (OU) Aux],Input[Institution Name],$H$1)+SUMIFS(Input[H&amp;C (OU) R Exp],Input[Institution Name],$H$1)+SUMIFS(Input[H&amp;C (OU) Loan],Input[Institution Name],$H$1)+SUMIFS(Input[H&amp;C (OU) Annuity],Input[Institution Name],$H$1)+SUMIFS(Input[H&amp;C (OU) Unexp],Input[Institution Name],$H$1)+SUMIFS(Input[H&amp;C (OU) R of Ind],Input[Institution Name],$H$1)+SUMIFS(Input[H&amp;C (OU) Inv in P],Input[Institution Name],$H$1)</f>
        <v>0</v>
      </c>
      <c r="R74" s="260"/>
      <c r="S74" s="260"/>
      <c r="T74" s="455">
        <f t="shared" si="4"/>
        <v>0</v>
      </c>
      <c r="U74" s="456"/>
      <c r="V74" s="457"/>
      <c r="W74" s="56"/>
      <c r="X74" s="306" t="s">
        <v>909</v>
      </c>
      <c r="Y74" s="255"/>
      <c r="Z74" s="255"/>
      <c r="AA74" s="255"/>
      <c r="AB74" s="255"/>
      <c r="AC74" s="255"/>
      <c r="AD74" s="255"/>
      <c r="AE74" s="255"/>
      <c r="AF74" s="256"/>
      <c r="AG74" s="260">
        <f>SUMIFS(Input[H&amp;C (OU) E&amp;G],Input[Institution Name],$X$1)+SUMIFS(Input[H&amp;C (OU) Desg],Input[Institution Name],$X$1)+SUMIFS(Input[H&amp;C (OU) Aux],Input[Institution Name],$X$1)+SUMIFS(Input[H&amp;C (OU) R Exp],Input[Institution Name],$X$1)+SUMIFS(Input[H&amp;C (OU) Loan],Input[Institution Name],$X$1)+SUMIFS(Input[H&amp;C (OU) Annuity],Input[Institution Name],$X$1)+SUMIFS(Input[H&amp;C (OU) Unexp],Input[Institution Name],$X$1)+SUMIFS(Input[H&amp;C (OU) R of Ind],Input[Institution Name],$X$1)+SUMIFS(Input[H&amp;C (OU) Inv in P],Input[Institution Name],$X$1)</f>
        <v>0</v>
      </c>
      <c r="AH74" s="260"/>
      <c r="AI74" s="260"/>
      <c r="AJ74" s="455">
        <f t="shared" si="3"/>
        <v>0</v>
      </c>
      <c r="AK74" s="456"/>
      <c r="AL74" s="457"/>
      <c r="AM74" s="56"/>
      <c r="AN74" s="306" t="s">
        <v>909</v>
      </c>
      <c r="AO74" s="255"/>
      <c r="AP74" s="255"/>
      <c r="AQ74" s="255"/>
      <c r="AR74" s="255"/>
      <c r="AS74" s="255"/>
      <c r="AT74" s="255"/>
      <c r="AU74" s="255"/>
      <c r="AV74" s="256"/>
      <c r="AW74" s="260">
        <f>SUMIFS(Input[H&amp;C (OU) E&amp;G],Input[Institution Name],$AN$1)+SUMIFS(Input[H&amp;C (OU) Desg],Input[Institution Name],$AN$1)+SUMIFS(Input[H&amp;C (OU) Aux],Input[Institution Name],$AN$1)+SUMIFS(Input[H&amp;C (OU) R Exp],Input[Institution Name],$AN$1)+SUMIFS(Input[H&amp;C (OU) Loan],Input[Institution Name],$AN$1)+SUMIFS(Input[H&amp;C (OU) Annuity],Input[Institution Name],$AN$1)+SUMIFS(Input[H&amp;C (OU) Unexp],Input[Institution Name],$AN$1)+SUMIFS(Input[H&amp;C (OU) R of Ind],Input[Institution Name],$AN$1)+SUMIFS(Input[H&amp;C (OU) Inv in P],Input[Institution Name],$AN$1)</f>
        <v>0</v>
      </c>
      <c r="AX74" s="260"/>
      <c r="AY74" s="260"/>
      <c r="AZ74" s="455">
        <f t="shared" si="5"/>
        <v>0</v>
      </c>
      <c r="BA74" s="456"/>
      <c r="BB74" s="457"/>
      <c r="BC74" s="56"/>
      <c r="BD74" s="56"/>
      <c r="BE74" s="56"/>
    </row>
    <row r="75" spans="1:57" s="57" customFormat="1" ht="30" customHeight="1" x14ac:dyDescent="0.3">
      <c r="A75" s="56"/>
      <c r="B75" s="56"/>
      <c r="C75" s="56"/>
      <c r="D75" s="56"/>
      <c r="E75" s="56"/>
      <c r="F75" s="56"/>
      <c r="G75" s="56"/>
      <c r="H75" s="306" t="s">
        <v>924</v>
      </c>
      <c r="I75" s="255"/>
      <c r="J75" s="255"/>
      <c r="K75" s="255"/>
      <c r="L75" s="255"/>
      <c r="M75" s="255"/>
      <c r="N75" s="255"/>
      <c r="O75" s="255"/>
      <c r="P75" s="256"/>
      <c r="Q75" s="260">
        <f>SUMIFS(Input[Acad Sup E&amp;G],Input[Institution Name],$H$1)+SUMIFS(Input[Acad Sup Desg],Input[Institution Name],$H$1)+SUMIFS(Input[Acad Sup Aux],Input[Institution Name],$H$1)+SUMIFS(Input[Acad Sup R Exp],Input[Institution Name],$H$1)+SUMIFS(Input[Acad Sup Loan],Input[Institution Name],$H$1)+SUMIFS(Input[Acad Sup Annuity],Input[Institution Name],$H$1)+SUMIFS(Input[Acad Sup Unexp],Input[Institution Name],$H$1)+SUMIFS(Input[Acad Sup R of Ind],Input[Institution Name],$H$1)+SUMIFS(Input[Acad Sup Inv in P],Input[Institution Name],$H$1)</f>
        <v>0</v>
      </c>
      <c r="R75" s="260"/>
      <c r="S75" s="260"/>
      <c r="T75" s="455">
        <f t="shared" si="4"/>
        <v>0</v>
      </c>
      <c r="U75" s="456"/>
      <c r="V75" s="457"/>
      <c r="W75" s="56"/>
      <c r="X75" s="306" t="s">
        <v>924</v>
      </c>
      <c r="Y75" s="255"/>
      <c r="Z75" s="255"/>
      <c r="AA75" s="255"/>
      <c r="AB75" s="255"/>
      <c r="AC75" s="255"/>
      <c r="AD75" s="255"/>
      <c r="AE75" s="255"/>
      <c r="AF75" s="256"/>
      <c r="AG75" s="260">
        <f>SUMIFS(Input[Acad Sup E&amp;G],Input[Institution Name],$X$1)+SUMIFS(Input[Acad Sup Desg],Input[Institution Name],$X$1)+SUMIFS(Input[Acad Sup Aux],Input[Institution Name],$X$1)+SUMIFS(Input[Acad Sup R Exp],Input[Institution Name],$X$1)+SUMIFS(Input[Acad Sup Loan],Input[Institution Name],$X$1)+SUMIFS(Input[Acad Sup Annuity],Input[Institution Name],$X$1)+SUMIFS(Input[Acad Sup Unexp],Input[Institution Name],$X$1)+SUMIFS(Input[Acad Sup R of Ind],Input[Institution Name],$X$1)+SUMIFS(Input[Acad Sup Inv in P],Input[Institution Name],$X$1)</f>
        <v>0</v>
      </c>
      <c r="AH75" s="260"/>
      <c r="AI75" s="260"/>
      <c r="AJ75" s="455">
        <f t="shared" si="3"/>
        <v>0</v>
      </c>
      <c r="AK75" s="456"/>
      <c r="AL75" s="457"/>
      <c r="AM75" s="56"/>
      <c r="AN75" s="306" t="s">
        <v>924</v>
      </c>
      <c r="AO75" s="255"/>
      <c r="AP75" s="255"/>
      <c r="AQ75" s="255"/>
      <c r="AR75" s="255"/>
      <c r="AS75" s="255"/>
      <c r="AT75" s="255"/>
      <c r="AU75" s="255"/>
      <c r="AV75" s="256"/>
      <c r="AW75" s="260">
        <f>SUMIFS(Input[Acad Sup E&amp;G],Input[Institution Name],$AN$1)+SUMIFS(Input[Acad Sup Desg],Input[Institution Name],$AN$1)+SUMIFS(Input[Acad Sup Aux],Input[Institution Name],$AN$1)+SUMIFS(Input[Acad Sup R Exp],Input[Institution Name],$AN$1)+SUMIFS(Input[Acad Sup Loan],Input[Institution Name],$AN$1)+SUMIFS(Input[Acad Sup Annuity],Input[Institution Name],$AN$1)+SUMIFS(Input[Acad Sup Unexp],Input[Institution Name],$AN$1)+SUMIFS(Input[Acad Sup R of Ind],Input[Institution Name],$AN$1)+SUMIFS(Input[Acad Sup Inv in P],Input[Institution Name],$AN$1)</f>
        <v>0</v>
      </c>
      <c r="AX75" s="260"/>
      <c r="AY75" s="260"/>
      <c r="AZ75" s="455">
        <f t="shared" si="5"/>
        <v>0</v>
      </c>
      <c r="BA75" s="456"/>
      <c r="BB75" s="457"/>
      <c r="BC75" s="56"/>
      <c r="BD75" s="56"/>
      <c r="BE75" s="56"/>
    </row>
    <row r="76" spans="1:57" s="57" customFormat="1" ht="30" customHeight="1" x14ac:dyDescent="0.3">
      <c r="A76" s="56"/>
      <c r="B76" s="56"/>
      <c r="C76" s="56"/>
      <c r="D76" s="56"/>
      <c r="E76" s="56"/>
      <c r="F76" s="56"/>
      <c r="G76" s="56"/>
      <c r="H76" s="306" t="s">
        <v>925</v>
      </c>
      <c r="I76" s="255"/>
      <c r="J76" s="255"/>
      <c r="K76" s="255"/>
      <c r="L76" s="255"/>
      <c r="M76" s="255"/>
      <c r="N76" s="255"/>
      <c r="O76" s="255"/>
      <c r="P76" s="256"/>
      <c r="Q76" s="260">
        <f>SUMIFS(Input[Stu Svc E&amp;G],Input[Institution Name],$H$1)+SUMIFS(Input[Stu Svc Desg],Input[Institution Name],$H$1)+SUMIFS(Input[Stu Svc Aux],Input[Institution Name],$H$1)+SUMIFS(Input[Stu Svc R Exp],Input[Institution Name],$H$1)+SUMIFS(Input[Stu Svc Loan],Input[Institution Name],$H$1)+SUMIFS(Input[Stu Svc Annuity],Input[Institution Name],$H$1)+SUMIFS(Input[Stu Svc Unexp],Input[Institution Name],$H$1)+SUMIFS(Input[Stu Svc R of Ind],Input[Institution Name],$H$1)+SUMIFS(Input[Stu Svc Inv in P],Input[Institution Name],$H$1)</f>
        <v>0</v>
      </c>
      <c r="R76" s="260"/>
      <c r="S76" s="260"/>
      <c r="T76" s="455">
        <f t="shared" si="4"/>
        <v>0</v>
      </c>
      <c r="U76" s="456"/>
      <c r="V76" s="457"/>
      <c r="W76" s="56"/>
      <c r="X76" s="306" t="s">
        <v>925</v>
      </c>
      <c r="Y76" s="255"/>
      <c r="Z76" s="255"/>
      <c r="AA76" s="255"/>
      <c r="AB76" s="255"/>
      <c r="AC76" s="255"/>
      <c r="AD76" s="255"/>
      <c r="AE76" s="255"/>
      <c r="AF76" s="256"/>
      <c r="AG76" s="260">
        <f>SUMIFS(Input[Stu Svc E&amp;G],Input[Institution Name],$X$1)+SUMIFS(Input[Stu Svc Desg],Input[Institution Name],$X$1)+SUMIFS(Input[Stu Svc Aux],Input[Institution Name],$X$1)+SUMIFS(Input[Stu Svc R Exp],Input[Institution Name],$X$1)+SUMIFS(Input[Stu Svc Loan],Input[Institution Name],$X$1)+SUMIFS(Input[Stu Svc Annuity],Input[Institution Name],$X$1)+SUMIFS(Input[Stu Svc Unexp],Input[Institution Name],$X$1)+SUMIFS(Input[Stu Svc R of Ind],Input[Institution Name],$X$1)+SUMIFS(Input[Stu Svc Inv in P],Input[Institution Name],$X$1)</f>
        <v>0</v>
      </c>
      <c r="AH76" s="260"/>
      <c r="AI76" s="260"/>
      <c r="AJ76" s="455">
        <f t="shared" si="3"/>
        <v>0</v>
      </c>
      <c r="AK76" s="456"/>
      <c r="AL76" s="457"/>
      <c r="AM76" s="56"/>
      <c r="AN76" s="306" t="s">
        <v>925</v>
      </c>
      <c r="AO76" s="255"/>
      <c r="AP76" s="255"/>
      <c r="AQ76" s="255"/>
      <c r="AR76" s="255"/>
      <c r="AS76" s="255"/>
      <c r="AT76" s="255"/>
      <c r="AU76" s="255"/>
      <c r="AV76" s="256"/>
      <c r="AW76" s="260">
        <f>SUMIFS(Input[Stu Svc E&amp;G],Input[Institution Name],$AN$1)+SUMIFS(Input[Stu Svc Desg],Input[Institution Name],$AN$1)+SUMIFS(Input[Stu Svc Aux],Input[Institution Name],$AN$1)+SUMIFS(Input[Stu Svc R Exp],Input[Institution Name],$AN$1)+SUMIFS(Input[Stu Svc Loan],Input[Institution Name],$AN$1)+SUMIFS(Input[Stu Svc Annuity],Input[Institution Name],$AN$1)+SUMIFS(Input[Stu Svc Unexp],Input[Institution Name],$AN$1)+SUMIFS(Input[Stu Svc R of Ind],Input[Institution Name],$AN$1)+SUMIFS(Input[Stu Svc Inv in P],Input[Institution Name],$AN$1)</f>
        <v>0</v>
      </c>
      <c r="AX76" s="260"/>
      <c r="AY76" s="260"/>
      <c r="AZ76" s="455">
        <f t="shared" si="5"/>
        <v>0</v>
      </c>
      <c r="BA76" s="456"/>
      <c r="BB76" s="457"/>
      <c r="BC76" s="56"/>
      <c r="BD76" s="56"/>
      <c r="BE76" s="56"/>
    </row>
    <row r="77" spans="1:57" s="57" customFormat="1" ht="30" customHeight="1" x14ac:dyDescent="0.3">
      <c r="A77" s="56"/>
      <c r="B77" s="56"/>
      <c r="C77" s="56"/>
      <c r="D77" s="56"/>
      <c r="E77" s="56"/>
      <c r="F77" s="56"/>
      <c r="G77" s="56"/>
      <c r="H77" s="306" t="s">
        <v>926</v>
      </c>
      <c r="I77" s="255"/>
      <c r="J77" s="255"/>
      <c r="K77" s="255"/>
      <c r="L77" s="255"/>
      <c r="M77" s="255"/>
      <c r="N77" s="255"/>
      <c r="O77" s="255"/>
      <c r="P77" s="256"/>
      <c r="Q77" s="260">
        <f>SUMIFS(Input[Inst. Spt E&amp;G],Input[Institution Name],$H$1)+SUMIFS(Input[Inst. Spt Desg],Input[Institution Name],$H$1)+SUMIFS(Input[Inst. Spt Aux],Input[Institution Name],$H$1)+SUMIFS(Input[Inst. Spt R Exp],Input[Institution Name],$H$1)+SUMIFS(Input[Inst. Spt Loan],Input[Institution Name],$H$1)+SUMIFS(Input[Inst. Spt Annuity],Input[Institution Name],$H$1)+SUMIFS(Input[Inst. Spt Unexp],Input[Institution Name],$H$1)+SUMIFS(Input[Inst. Spt R of Ind],Input[Institution Name],$H$1)+SUMIFS(Input[Inst. Spt Inv in P],Input[Institution Name],$H$1)</f>
        <v>0</v>
      </c>
      <c r="R77" s="260"/>
      <c r="S77" s="260"/>
      <c r="T77" s="455">
        <f t="shared" si="4"/>
        <v>0</v>
      </c>
      <c r="U77" s="456"/>
      <c r="V77" s="457"/>
      <c r="W77" s="56"/>
      <c r="X77" s="306" t="s">
        <v>926</v>
      </c>
      <c r="Y77" s="255"/>
      <c r="Z77" s="255"/>
      <c r="AA77" s="255"/>
      <c r="AB77" s="255"/>
      <c r="AC77" s="255"/>
      <c r="AD77" s="255"/>
      <c r="AE77" s="255"/>
      <c r="AF77" s="256"/>
      <c r="AG77" s="260">
        <f>SUMIFS(Input[Inst. Spt E&amp;G],Input[Institution Name],$X$1)+SUMIFS(Input[Inst. Spt Desg],Input[Institution Name],$X$1)+SUMIFS(Input[Inst. Spt Aux],Input[Institution Name],$X$1)+SUMIFS(Input[Inst. Spt R Exp],Input[Institution Name],$X$1)+SUMIFS(Input[Inst. Spt Loan],Input[Institution Name],$X$1)+SUMIFS(Input[Inst. Spt Annuity],Input[Institution Name],$X$1)+SUMIFS(Input[Inst. Spt Unexp],Input[Institution Name],$X$1)+SUMIFS(Input[Inst. Spt R of Ind],Input[Institution Name],$X$1)+SUMIFS(Input[Inst. Spt Inv in P],Input[Institution Name],$X$1)</f>
        <v>0</v>
      </c>
      <c r="AH77" s="260"/>
      <c r="AI77" s="260"/>
      <c r="AJ77" s="455">
        <f t="shared" si="3"/>
        <v>0</v>
      </c>
      <c r="AK77" s="456"/>
      <c r="AL77" s="457"/>
      <c r="AM77" s="56"/>
      <c r="AN77" s="306" t="s">
        <v>926</v>
      </c>
      <c r="AO77" s="255"/>
      <c r="AP77" s="255"/>
      <c r="AQ77" s="255"/>
      <c r="AR77" s="255"/>
      <c r="AS77" s="255"/>
      <c r="AT77" s="255"/>
      <c r="AU77" s="255"/>
      <c r="AV77" s="256"/>
      <c r="AW77" s="260">
        <f>SUMIFS(Input[Inst. Spt E&amp;G],Input[Institution Name],$AN$1)+SUMIFS(Input[Inst. Spt Desg],Input[Institution Name],$AN$1)+SUMIFS(Input[Inst. Spt Aux],Input[Institution Name],$AN$1)+SUMIFS(Input[Inst. Spt R Exp],Input[Institution Name],$AN$1)+SUMIFS(Input[Inst. Spt Loan],Input[Institution Name],$AN$1)+SUMIFS(Input[Inst. Spt Annuity],Input[Institution Name],$AN$1)+SUMIFS(Input[Inst. Spt Unexp],Input[Institution Name],$AN$1)+SUMIFS(Input[Inst. Spt R of Ind],Input[Institution Name],$AN$1)+SUMIFS(Input[Inst. Spt Inv in P],Input[Institution Name],$AN$1)</f>
        <v>0</v>
      </c>
      <c r="AX77" s="260"/>
      <c r="AY77" s="260"/>
      <c r="AZ77" s="455">
        <f t="shared" si="5"/>
        <v>0</v>
      </c>
      <c r="BA77" s="456"/>
      <c r="BB77" s="457"/>
      <c r="BC77" s="56"/>
      <c r="BD77" s="56"/>
      <c r="BE77" s="56"/>
    </row>
    <row r="78" spans="1:57" s="57" customFormat="1" ht="30" customHeight="1" x14ac:dyDescent="0.3">
      <c r="A78" s="56"/>
      <c r="B78" s="56"/>
      <c r="C78" s="56"/>
      <c r="D78" s="56"/>
      <c r="E78" s="56"/>
      <c r="F78" s="56"/>
      <c r="G78" s="56"/>
      <c r="H78" s="306" t="s">
        <v>927</v>
      </c>
      <c r="I78" s="255"/>
      <c r="J78" s="255"/>
      <c r="K78" s="255"/>
      <c r="L78" s="255"/>
      <c r="M78" s="255"/>
      <c r="N78" s="255"/>
      <c r="O78" s="255"/>
      <c r="P78" s="256"/>
      <c r="Q78" s="260">
        <f>SUMIFS(Input[M&amp;O Plnt E&amp;G],Input[Institution Name],$H$1)+SUMIFS(Input[M&amp;O Plnt Desg],Input[Institution Name],$H$1)+SUMIFS(Input[M&amp;O Plnt Aux],Input[Institution Name],$H$1)+SUMIFS(Input[M&amp;O Plnt R Exp],Input[Institution Name],$H$1)+SUMIFS(Input[M&amp;O Plnt Loan],Input[Institution Name],$H$1)+SUMIFS(Input[M&amp;O Plnt Annuity],Input[Institution Name],$H$1)+SUMIFS(Input[M&amp;O Plnt Unexp],Input[Institution Name],$H$1)+SUMIFS(Input[M&amp;O Plnt R of Ind],Input[Institution Name],$H$1)+SUMIFS(Input[M&amp;O Plnt Inv in P],Input[Institution Name],$H$1)</f>
        <v>0</v>
      </c>
      <c r="R78" s="260"/>
      <c r="S78" s="260"/>
      <c r="T78" s="455">
        <f t="shared" si="4"/>
        <v>0</v>
      </c>
      <c r="U78" s="456"/>
      <c r="V78" s="457"/>
      <c r="W78" s="56"/>
      <c r="X78" s="306" t="s">
        <v>927</v>
      </c>
      <c r="Y78" s="255"/>
      <c r="Z78" s="255"/>
      <c r="AA78" s="255"/>
      <c r="AB78" s="255"/>
      <c r="AC78" s="255"/>
      <c r="AD78" s="255"/>
      <c r="AE78" s="255"/>
      <c r="AF78" s="256"/>
      <c r="AG78" s="260">
        <f>SUMIFS(Input[M&amp;O Plnt E&amp;G],Input[Institution Name],$X$1)+SUMIFS(Input[M&amp;O Plnt Desg],Input[Institution Name],$X$1)+SUMIFS(Input[M&amp;O Plnt Aux],Input[Institution Name],$X$1)+SUMIFS(Input[M&amp;O Plnt R Exp],Input[Institution Name],$X$1)+SUMIFS(Input[M&amp;O Plnt Loan],Input[Institution Name],$X$1)+SUMIFS(Input[M&amp;O Plnt Annuity],Input[Institution Name],$X$1)+SUMIFS(Input[M&amp;O Plnt Unexp],Input[Institution Name],$X$1)+SUMIFS(Input[M&amp;O Plnt R of Ind],Input[Institution Name],$X$1)+SUMIFS(Input[M&amp;O Plnt Inv in P],Input[Institution Name],$X$1)</f>
        <v>0</v>
      </c>
      <c r="AH78" s="260"/>
      <c r="AI78" s="260"/>
      <c r="AJ78" s="455">
        <f t="shared" si="3"/>
        <v>0</v>
      </c>
      <c r="AK78" s="456"/>
      <c r="AL78" s="457"/>
      <c r="AM78" s="56"/>
      <c r="AN78" s="306" t="s">
        <v>927</v>
      </c>
      <c r="AO78" s="255"/>
      <c r="AP78" s="255"/>
      <c r="AQ78" s="255"/>
      <c r="AR78" s="255"/>
      <c r="AS78" s="255"/>
      <c r="AT78" s="255"/>
      <c r="AU78" s="255"/>
      <c r="AV78" s="256"/>
      <c r="AW78" s="260">
        <f>SUMIFS(Input[M&amp;O Plnt E&amp;G],Input[Institution Name],$AN$1)+SUMIFS(Input[M&amp;O Plnt Desg],Input[Institution Name],$AN$1)+SUMIFS(Input[M&amp;O Plnt Aux],Input[Institution Name],$AN$1)+SUMIFS(Input[M&amp;O Plnt R Exp],Input[Institution Name],$AN$1)+SUMIFS(Input[M&amp;O Plnt Loan],Input[Institution Name],$AN$1)+SUMIFS(Input[M&amp;O Plnt Annuity],Input[Institution Name],$AN$1)+SUMIFS(Input[M&amp;O Plnt Unexp],Input[Institution Name],$AN$1)+SUMIFS(Input[M&amp;O Plnt R of Ind],Input[Institution Name],$AN$1)+SUMIFS(Input[M&amp;O Plnt Inv in P],Input[Institution Name],$AN$1)</f>
        <v>0</v>
      </c>
      <c r="AX78" s="260"/>
      <c r="AY78" s="260"/>
      <c r="AZ78" s="455">
        <f t="shared" si="5"/>
        <v>0</v>
      </c>
      <c r="BA78" s="456"/>
      <c r="BB78" s="457"/>
      <c r="BC78" s="56"/>
      <c r="BD78" s="56"/>
      <c r="BE78" s="56"/>
    </row>
    <row r="79" spans="1:57" s="57" customFormat="1" ht="30" customHeight="1" x14ac:dyDescent="0.3">
      <c r="A79" s="56"/>
      <c r="B79" s="56"/>
      <c r="C79" s="56"/>
      <c r="D79" s="56"/>
      <c r="E79" s="56"/>
      <c r="F79" s="56"/>
      <c r="G79" s="56"/>
      <c r="H79" s="306" t="s">
        <v>928</v>
      </c>
      <c r="I79" s="255"/>
      <c r="J79" s="255"/>
      <c r="K79" s="255"/>
      <c r="L79" s="255"/>
      <c r="M79" s="255"/>
      <c r="N79" s="255"/>
      <c r="O79" s="255"/>
      <c r="P79" s="256"/>
      <c r="Q79" s="260">
        <f>SUMIFS(Input[Schl &amp; Fell E&amp;G],Input[Institution Name],$H$1)+SUMIFS(Input[Schl &amp; Fell Desg],Input[Institution Name],$H$1)+SUMIFS(Input[Schl &amp; Fell Aux],Input[Institution Name],$H$1)+SUMIFS(Input[Schl &amp; Fell R Exp],Input[Institution Name],$H$1)+SUMIFS(Input[Schl &amp; Fell Loan],Input[Institution Name],$H$1)+SUMIFS(Input[Schl &amp; Fell Annuity],Input[Institution Name],$H$1)+SUMIFS(Input[Schl &amp; Fell Unexp],Input[Institution Name],$H$1)+SUMIFS(Input[Schl &amp; Fell R of Ind],Input[Institution Name],$H$1)+SUMIFS(Input[Schl &amp; Fell Inv in P],Input[Institution Name],$H$1)</f>
        <v>0</v>
      </c>
      <c r="R79" s="260"/>
      <c r="S79" s="260"/>
      <c r="T79" s="455">
        <f t="shared" si="4"/>
        <v>0</v>
      </c>
      <c r="U79" s="456"/>
      <c r="V79" s="457"/>
      <c r="W79" s="56"/>
      <c r="X79" s="306" t="s">
        <v>928</v>
      </c>
      <c r="Y79" s="255"/>
      <c r="Z79" s="255"/>
      <c r="AA79" s="255"/>
      <c r="AB79" s="255"/>
      <c r="AC79" s="255"/>
      <c r="AD79" s="255"/>
      <c r="AE79" s="255"/>
      <c r="AF79" s="256"/>
      <c r="AG79" s="260">
        <f>SUMIFS(Input[Schl &amp; Fell E&amp;G],Input[Institution Name],$X$1)+SUMIFS(Input[Schl &amp; Fell Desg],Input[Institution Name],$X$1)+SUMIFS(Input[Schl &amp; Fell Aux],Input[Institution Name],$X$1)+SUMIFS(Input[Schl &amp; Fell R Exp],Input[Institution Name],$X$1)+SUMIFS(Input[Schl &amp; Fell Loan],Input[Institution Name],$X$1)+SUMIFS(Input[Schl &amp; Fell Annuity],Input[Institution Name],$X$1)+SUMIFS(Input[Schl &amp; Fell Unexp],Input[Institution Name],$X$1)+SUMIFS(Input[Schl &amp; Fell R of Ind],Input[Institution Name],$X$1)+SUMIFS(Input[Schl &amp; Fell Inv in P],Input[Institution Name],$X$1)</f>
        <v>0</v>
      </c>
      <c r="AH79" s="260"/>
      <c r="AI79" s="260"/>
      <c r="AJ79" s="455">
        <f t="shared" si="3"/>
        <v>0</v>
      </c>
      <c r="AK79" s="456"/>
      <c r="AL79" s="457"/>
      <c r="AM79" s="56"/>
      <c r="AN79" s="306" t="s">
        <v>928</v>
      </c>
      <c r="AO79" s="255"/>
      <c r="AP79" s="255"/>
      <c r="AQ79" s="255"/>
      <c r="AR79" s="255"/>
      <c r="AS79" s="255"/>
      <c r="AT79" s="255"/>
      <c r="AU79" s="255"/>
      <c r="AV79" s="256"/>
      <c r="AW79" s="260">
        <f>SUMIFS(Input[Schl &amp; Fell E&amp;G],Input[Institution Name],$AN$1)+SUMIFS(Input[Schl &amp; Fell Desg],Input[Institution Name],$AN$1)+SUMIFS(Input[Schl &amp; Fell Aux],Input[Institution Name],$AN$1)+SUMIFS(Input[Schl &amp; Fell R Exp],Input[Institution Name],$AN$1)+SUMIFS(Input[Schl &amp; Fell Loan],Input[Institution Name],$AN$1)+SUMIFS(Input[Schl &amp; Fell Annuity],Input[Institution Name],$AN$1)+SUMIFS(Input[Schl &amp; Fell Unexp],Input[Institution Name],$AN$1)+SUMIFS(Input[Schl &amp; Fell R of Ind],Input[Institution Name],$AN$1)+SUMIFS(Input[Schl &amp; Fell Inv in P],Input[Institution Name],$AN$1)</f>
        <v>0</v>
      </c>
      <c r="AX79" s="260"/>
      <c r="AY79" s="260"/>
      <c r="AZ79" s="455">
        <f t="shared" si="5"/>
        <v>0</v>
      </c>
      <c r="BA79" s="456"/>
      <c r="BB79" s="457"/>
      <c r="BC79" s="56"/>
      <c r="BD79" s="56"/>
      <c r="BE79" s="56"/>
    </row>
    <row r="80" spans="1:57" s="57" customFormat="1" ht="30" customHeight="1" x14ac:dyDescent="0.3">
      <c r="A80" s="56"/>
      <c r="B80" s="56"/>
      <c r="C80" s="56"/>
      <c r="D80" s="56"/>
      <c r="E80" s="56"/>
      <c r="F80" s="56"/>
      <c r="G80" s="56"/>
      <c r="H80" s="306" t="s">
        <v>929</v>
      </c>
      <c r="I80" s="255"/>
      <c r="J80" s="255"/>
      <c r="K80" s="255"/>
      <c r="L80" s="255"/>
      <c r="M80" s="255"/>
      <c r="N80" s="255"/>
      <c r="O80" s="255"/>
      <c r="P80" s="256"/>
      <c r="Q80" s="260">
        <f>SUMIFS(Input[Aux Ent E&amp;G],Input[Institution Name],$H$1)+SUMIFS(Input[Aux Ent Desg],Input[Institution Name],$H$1)+SUMIFS(Input[Aux Ent Aux],Input[Institution Name],$H$1)+SUMIFS(Input[Aux Ent R Exp],Input[Institution Name],$H$1)+SUMIFS(Input[Aux Ent Loan],Input[Institution Name],$H$1)+SUMIFS(Input[Aux Ent Annuity],Input[Institution Name],$H$1)+SUMIFS(Input[Aux Ent Unexp],Input[Institution Name],$H$1)+SUMIFS(Input[Aux Ent R of Ind],Input[Institution Name],$H$1)+SUMIFS(Input[Aux Ent Inv in P],Input[Institution Name],$H$1)</f>
        <v>0</v>
      </c>
      <c r="R80" s="260"/>
      <c r="S80" s="260"/>
      <c r="T80" s="455">
        <f t="shared" si="4"/>
        <v>0</v>
      </c>
      <c r="U80" s="456"/>
      <c r="V80" s="457"/>
      <c r="W80" s="56"/>
      <c r="X80" s="306" t="s">
        <v>929</v>
      </c>
      <c r="Y80" s="255"/>
      <c r="Z80" s="255"/>
      <c r="AA80" s="255"/>
      <c r="AB80" s="255"/>
      <c r="AC80" s="255"/>
      <c r="AD80" s="255"/>
      <c r="AE80" s="255"/>
      <c r="AF80" s="256"/>
      <c r="AG80" s="260">
        <f>SUMIFS(Input[Aux Ent E&amp;G],Input[Institution Name],$X$1)+SUMIFS(Input[Aux Ent Desg],Input[Institution Name],$X$1)+SUMIFS(Input[Aux Ent Aux],Input[Institution Name],$X$1)+SUMIFS(Input[Aux Ent R Exp],Input[Institution Name],$X$1)+SUMIFS(Input[Aux Ent Loan],Input[Institution Name],$X$1)+SUMIFS(Input[Aux Ent Annuity],Input[Institution Name],$X$1)+SUMIFS(Input[Aux Ent Unexp],Input[Institution Name],$X$1)+SUMIFS(Input[Aux Ent R of Ind],Input[Institution Name],$X$1)+SUMIFS(Input[Aux Ent Inv in P],Input[Institution Name],$X$1)</f>
        <v>0</v>
      </c>
      <c r="AH80" s="260"/>
      <c r="AI80" s="260"/>
      <c r="AJ80" s="455">
        <f t="shared" si="3"/>
        <v>0</v>
      </c>
      <c r="AK80" s="456"/>
      <c r="AL80" s="457"/>
      <c r="AM80" s="56"/>
      <c r="AN80" s="306" t="s">
        <v>929</v>
      </c>
      <c r="AO80" s="255"/>
      <c r="AP80" s="255"/>
      <c r="AQ80" s="255"/>
      <c r="AR80" s="255"/>
      <c r="AS80" s="255"/>
      <c r="AT80" s="255"/>
      <c r="AU80" s="255"/>
      <c r="AV80" s="256"/>
      <c r="AW80" s="260">
        <f>SUMIFS(Input[Aux Ent E&amp;G],Input[Institution Name],$AN$1)+SUMIFS(Input[Aux Ent Desg],Input[Institution Name],$AN$1)+SUMIFS(Input[Aux Ent Aux],Input[Institution Name],$AN$1)+SUMIFS(Input[Aux Ent R Exp],Input[Institution Name],$AN$1)+SUMIFS(Input[Aux Ent Loan],Input[Institution Name],$AN$1)+SUMIFS(Input[Aux Ent Annuity],Input[Institution Name],$AN$1)+SUMIFS(Input[Aux Ent Unexp],Input[Institution Name],$AN$1)+SUMIFS(Input[Aux Ent R of Ind],Input[Institution Name],$AN$1)+SUMIFS(Input[Aux Ent Inv in P],Input[Institution Name],$AN$1)</f>
        <v>0</v>
      </c>
      <c r="AX80" s="260"/>
      <c r="AY80" s="260"/>
      <c r="AZ80" s="455">
        <f t="shared" si="5"/>
        <v>0</v>
      </c>
      <c r="BA80" s="456"/>
      <c r="BB80" s="457"/>
      <c r="BC80" s="56"/>
      <c r="BD80" s="56"/>
      <c r="BE80" s="56"/>
    </row>
    <row r="81" spans="1:57" s="57" customFormat="1" ht="30" customHeight="1" x14ac:dyDescent="0.3">
      <c r="A81" s="56"/>
      <c r="B81" s="56"/>
      <c r="C81" s="56"/>
      <c r="D81" s="56"/>
      <c r="E81" s="56"/>
      <c r="F81" s="56"/>
      <c r="G81" s="56"/>
      <c r="H81" s="306" t="s">
        <v>930</v>
      </c>
      <c r="I81" s="255"/>
      <c r="J81" s="255"/>
      <c r="K81" s="255"/>
      <c r="L81" s="255"/>
      <c r="M81" s="255"/>
      <c r="N81" s="255"/>
      <c r="O81" s="255"/>
      <c r="P81" s="256"/>
      <c r="Q81" s="260">
        <f>SUMIFS(Input[Cap Out fund E&amp;G],Input[Institution Name],$H$1)+SUMIFS(Input[Cap Out fund Desg],Input[Institution Name],$H$1)+SUMIFS(Input[Cap Out fund Aux],Input[Institution Name],$H$1)+SUMIFS(Input[Cap Out fund R Exp],Input[Institution Name],$H$1)+SUMIFS(Input[Cap Out fund Loan],Input[Institution Name],$H$1)+SUMIFS(Input[Cap Out fund Annuity],Input[Institution Name],$H$1)+SUMIFS(Input[Cap Out fund Unexp],Input[Institution Name],$H$1)+SUMIFS(Input[Cap Out fund R of Ind],Input[Institution Name],$H$1)+SUMIFS(Input[Cap Out fund Inv in P],Input[Institution Name],$H$1)</f>
        <v>0</v>
      </c>
      <c r="R81" s="260"/>
      <c r="S81" s="260"/>
      <c r="T81" s="455">
        <f t="shared" si="4"/>
        <v>0</v>
      </c>
      <c r="U81" s="456"/>
      <c r="V81" s="457"/>
      <c r="W81" s="56"/>
      <c r="X81" s="306" t="s">
        <v>930</v>
      </c>
      <c r="Y81" s="255"/>
      <c r="Z81" s="255"/>
      <c r="AA81" s="255"/>
      <c r="AB81" s="255"/>
      <c r="AC81" s="255"/>
      <c r="AD81" s="255"/>
      <c r="AE81" s="255"/>
      <c r="AF81" s="256"/>
      <c r="AG81" s="260">
        <f>SUMIFS(Input[Cap Out fund E&amp;G],Input[Institution Name],$X$1)+SUMIFS(Input[Cap Out fund Desg],Input[Institution Name],$X$1)+SUMIFS(Input[Cap Out fund Aux],Input[Institution Name],$X$1)+SUMIFS(Input[Cap Out fund R Exp],Input[Institution Name],$X$1)+SUMIFS(Input[Cap Out fund Loan],Input[Institution Name],$X$1)+SUMIFS(Input[Cap Out fund Annuity],Input[Institution Name],$X$1)+SUMIFS(Input[Cap Out fund Unexp],Input[Institution Name],$X$1)+SUMIFS(Input[Cap Out fund R of Ind],Input[Institution Name],$X$1)+SUMIFS(Input[Cap Out fund Inv in P],Input[Institution Name],$X$1)</f>
        <v>0</v>
      </c>
      <c r="AH81" s="260"/>
      <c r="AI81" s="260"/>
      <c r="AJ81" s="455">
        <f t="shared" si="3"/>
        <v>0</v>
      </c>
      <c r="AK81" s="456"/>
      <c r="AL81" s="457"/>
      <c r="AM81" s="56"/>
      <c r="AN81" s="306" t="s">
        <v>930</v>
      </c>
      <c r="AO81" s="255"/>
      <c r="AP81" s="255"/>
      <c r="AQ81" s="255"/>
      <c r="AR81" s="255"/>
      <c r="AS81" s="255"/>
      <c r="AT81" s="255"/>
      <c r="AU81" s="255"/>
      <c r="AV81" s="256"/>
      <c r="AW81" s="260">
        <f>SUMIFS(Input[Cap Out fund E&amp;G],Input[Institution Name],$AN$1)+SUMIFS(Input[Cap Out fund Desg],Input[Institution Name],$AN$1)+SUMIFS(Input[Cap Out fund Aux],Input[Institution Name],$AN$1)+SUMIFS(Input[Cap Out fund R Exp],Input[Institution Name],$AN$1)+SUMIFS(Input[Cap Out fund Loan],Input[Institution Name],$AN$1)+SUMIFS(Input[Cap Out fund Annuity],Input[Institution Name],$AN$1)+SUMIFS(Input[Cap Out fund Unexp],Input[Institution Name],$AN$1)+SUMIFS(Input[Cap Out fund R of Ind],Input[Institution Name],$AN$1)+SUMIFS(Input[Cap Out fund Inv in P],Input[Institution Name],$AN$1)</f>
        <v>0</v>
      </c>
      <c r="AX81" s="260"/>
      <c r="AY81" s="260"/>
      <c r="AZ81" s="455">
        <f t="shared" si="5"/>
        <v>0</v>
      </c>
      <c r="BA81" s="456"/>
      <c r="BB81" s="457"/>
      <c r="BC81" s="56"/>
      <c r="BD81" s="56"/>
      <c r="BE81" s="56"/>
    </row>
    <row r="82" spans="1:57" s="57" customFormat="1" ht="30" customHeight="1" x14ac:dyDescent="0.3">
      <c r="A82" s="56"/>
      <c r="B82" s="56"/>
      <c r="C82" s="56"/>
      <c r="D82" s="56"/>
      <c r="E82" s="56"/>
      <c r="F82" s="56"/>
      <c r="G82" s="56"/>
      <c r="H82" s="306" t="s">
        <v>931</v>
      </c>
      <c r="I82" s="255"/>
      <c r="J82" s="255"/>
      <c r="K82" s="255"/>
      <c r="L82" s="255"/>
      <c r="M82" s="255"/>
      <c r="N82" s="255"/>
      <c r="O82" s="255"/>
      <c r="P82" s="256"/>
      <c r="Q82" s="260">
        <f>SUMIFS(Input[Oth Exp E&amp;G],Input[Institution Name],$H$1)+SUMIFS(Input[Oth Exp Desg],Input[Institution Name],$H$1)+SUMIFS(Input[Oth Exp Aux],Input[Institution Name],$H$1)+SUMIFS(Input[Oth Exp R Exp],Input[Institution Name],$H$1)+SUMIFS(Input[Oth Exp Loan],Input[Institution Name],$H$1)+SUMIFS(Input[Oth Exp Annuity],Input[Institution Name],$H$1)+SUMIFS(Input[Oth Exp Unexp],Input[Institution Name],$H$1)+SUMIFS(Input[Oth Exp R of Ind],Input[Institution Name],$H$1)+SUMIFS(Input[Oth Exp Inv in P],Input[Institution Name],$H$1)</f>
        <v>0</v>
      </c>
      <c r="R82" s="260"/>
      <c r="S82" s="260"/>
      <c r="T82" s="458">
        <f t="shared" si="4"/>
        <v>0</v>
      </c>
      <c r="U82" s="459"/>
      <c r="V82" s="460"/>
      <c r="W82" s="56"/>
      <c r="X82" s="306" t="s">
        <v>931</v>
      </c>
      <c r="Y82" s="255"/>
      <c r="Z82" s="255"/>
      <c r="AA82" s="255"/>
      <c r="AB82" s="255"/>
      <c r="AC82" s="255"/>
      <c r="AD82" s="255"/>
      <c r="AE82" s="255"/>
      <c r="AF82" s="256"/>
      <c r="AG82" s="260">
        <f>SUMIFS(Input[Oth Exp E&amp;G],Input[Institution Name],$X$1)+SUMIFS(Input[Oth Exp Desg],Input[Institution Name],$X$1)+SUMIFS(Input[Oth Exp Aux],Input[Institution Name],$X$1)+SUMIFS(Input[Oth Exp R Exp],Input[Institution Name],$X$1)+SUMIFS(Input[Oth Exp Loan],Input[Institution Name],$X$1)+SUMIFS(Input[Oth Exp Annuity],Input[Institution Name],$X$1)+SUMIFS(Input[Oth Exp Unexp],Input[Institution Name],$X$1)+SUMIFS(Input[Oth Exp R of Ind],Input[Institution Name],$X$1)+SUMIFS(Input[Oth Exp Inv in P],Input[Institution Name],$X$1)</f>
        <v>0</v>
      </c>
      <c r="AH82" s="260"/>
      <c r="AI82" s="260"/>
      <c r="AJ82" s="458">
        <f t="shared" si="3"/>
        <v>0</v>
      </c>
      <c r="AK82" s="459"/>
      <c r="AL82" s="460"/>
      <c r="AM82" s="56"/>
      <c r="AN82" s="306" t="s">
        <v>931</v>
      </c>
      <c r="AO82" s="255"/>
      <c r="AP82" s="255"/>
      <c r="AQ82" s="255"/>
      <c r="AR82" s="255"/>
      <c r="AS82" s="255"/>
      <c r="AT82" s="255"/>
      <c r="AU82" s="255"/>
      <c r="AV82" s="256"/>
      <c r="AW82" s="260">
        <f>SUMIFS(Input[Oth Exp E&amp;G],Input[Institution Name],$AN$1)+SUMIFS(Input[Oth Exp Desg],Input[Institution Name],$AN$1)+SUMIFS(Input[Oth Exp Aux],Input[Institution Name],$AN$1)+SUMIFS(Input[Oth Exp R Exp],Input[Institution Name],$AN$1)+SUMIFS(Input[Oth Exp Loan],Input[Institution Name],$AN$1)+SUMIFS(Input[Oth Exp Annuity],Input[Institution Name],$AN$1)+SUMIFS(Input[Oth Exp Unexp],Input[Institution Name],$AN$1)+SUMIFS(Input[Oth Exp R of Ind],Input[Institution Name],$AN$1)+SUMIFS(Input[Oth Exp Inv in P],Input[Institution Name],$AN$1)</f>
        <v>0</v>
      </c>
      <c r="AX82" s="260"/>
      <c r="AY82" s="260"/>
      <c r="AZ82" s="458">
        <f t="shared" si="5"/>
        <v>0</v>
      </c>
      <c r="BA82" s="459"/>
      <c r="BB82" s="460"/>
      <c r="BC82" s="56"/>
      <c r="BD82" s="56"/>
      <c r="BE82" s="56"/>
    </row>
    <row r="83" spans="1:57" s="57" customFormat="1" ht="30" customHeight="1" x14ac:dyDescent="0.3">
      <c r="A83" s="56"/>
      <c r="B83" s="56"/>
      <c r="C83" s="56"/>
      <c r="D83" s="56"/>
      <c r="E83" s="56"/>
      <c r="F83" s="56"/>
      <c r="G83" s="56"/>
      <c r="H83" s="323" t="s">
        <v>917</v>
      </c>
      <c r="I83" s="324"/>
      <c r="J83" s="324"/>
      <c r="K83" s="324"/>
      <c r="L83" s="324"/>
      <c r="M83" s="324"/>
      <c r="N83" s="324"/>
      <c r="O83" s="324"/>
      <c r="P83" s="324"/>
      <c r="Q83" s="329">
        <f>SUM(Q71:S82)</f>
        <v>0</v>
      </c>
      <c r="R83" s="329"/>
      <c r="S83" s="329"/>
      <c r="T83" s="329">
        <f>SUM(T71:V82)</f>
        <v>0</v>
      </c>
      <c r="U83" s="329"/>
      <c r="V83" s="330"/>
      <c r="W83" s="56"/>
      <c r="X83" s="323" t="s">
        <v>917</v>
      </c>
      <c r="Y83" s="324"/>
      <c r="Z83" s="324"/>
      <c r="AA83" s="324"/>
      <c r="AB83" s="324"/>
      <c r="AC83" s="324"/>
      <c r="AD83" s="324"/>
      <c r="AE83" s="324"/>
      <c r="AF83" s="324"/>
      <c r="AG83" s="329">
        <f>SUM(AG71:AI82)</f>
        <v>0</v>
      </c>
      <c r="AH83" s="329"/>
      <c r="AI83" s="329"/>
      <c r="AJ83" s="329">
        <f>SUM(AJ71:AL82)</f>
        <v>0</v>
      </c>
      <c r="AK83" s="329"/>
      <c r="AL83" s="330"/>
      <c r="AM83" s="56"/>
      <c r="AN83" s="323" t="s">
        <v>917</v>
      </c>
      <c r="AO83" s="324"/>
      <c r="AP83" s="324"/>
      <c r="AQ83" s="324"/>
      <c r="AR83" s="324"/>
      <c r="AS83" s="324"/>
      <c r="AT83" s="324"/>
      <c r="AU83" s="324"/>
      <c r="AV83" s="324"/>
      <c r="AW83" s="329">
        <f>SUM(AW71:AY82)</f>
        <v>0</v>
      </c>
      <c r="AX83" s="329"/>
      <c r="AY83" s="329"/>
      <c r="AZ83" s="329">
        <f>SUM(AZ71:BB82)</f>
        <v>0</v>
      </c>
      <c r="BA83" s="329"/>
      <c r="BB83" s="330"/>
      <c r="BC83" s="56"/>
      <c r="BD83" s="56"/>
      <c r="BE83" s="56"/>
    </row>
    <row r="84" spans="1:57" s="57" customFormat="1" ht="30" customHeight="1" x14ac:dyDescent="0.3">
      <c r="A84" s="56"/>
      <c r="B84" s="56"/>
      <c r="C84" s="56"/>
      <c r="D84" s="56"/>
      <c r="E84" s="56"/>
      <c r="F84" s="56"/>
      <c r="G84" s="56"/>
      <c r="H84" s="59"/>
      <c r="I84" s="59"/>
      <c r="J84" s="59"/>
      <c r="K84" s="59"/>
      <c r="L84" s="59"/>
      <c r="M84" s="59"/>
      <c r="N84" s="59"/>
      <c r="O84" s="59"/>
      <c r="P84" s="59"/>
      <c r="Q84" s="80"/>
      <c r="R84" s="80"/>
      <c r="S84" s="80"/>
      <c r="T84" s="80"/>
      <c r="U84" s="80"/>
      <c r="V84" s="80"/>
      <c r="W84" s="56"/>
      <c r="X84" s="59"/>
      <c r="Y84" s="59"/>
      <c r="Z84" s="59"/>
      <c r="AA84" s="59"/>
      <c r="AB84" s="59"/>
      <c r="AC84" s="59"/>
      <c r="AD84" s="59"/>
      <c r="AE84" s="59"/>
      <c r="AF84" s="59"/>
      <c r="AG84" s="80"/>
      <c r="AH84" s="80"/>
      <c r="AI84" s="80"/>
      <c r="AJ84" s="80"/>
      <c r="AK84" s="80"/>
      <c r="AL84" s="80"/>
      <c r="AM84" s="56"/>
      <c r="AN84" s="59"/>
      <c r="AO84" s="59"/>
      <c r="AP84" s="59"/>
      <c r="AQ84" s="59"/>
      <c r="AR84" s="59"/>
      <c r="AS84" s="59"/>
      <c r="AT84" s="59"/>
      <c r="AU84" s="59"/>
      <c r="AV84" s="59"/>
      <c r="AW84" s="80"/>
      <c r="AX84" s="80"/>
      <c r="AY84" s="80"/>
      <c r="AZ84" s="80"/>
      <c r="BA84" s="80"/>
      <c r="BB84" s="80"/>
      <c r="BC84" s="56"/>
      <c r="BD84" s="56"/>
      <c r="BE84" s="56"/>
    </row>
    <row r="85" spans="1:57" s="57" customFormat="1" ht="30" customHeight="1" x14ac:dyDescent="0.3">
      <c r="A85" s="56"/>
      <c r="B85" s="56"/>
      <c r="C85" s="56"/>
      <c r="D85" s="56"/>
      <c r="E85" s="56"/>
      <c r="F85" s="56"/>
      <c r="G85" s="56"/>
      <c r="H85" s="560" t="s">
        <v>932</v>
      </c>
      <c r="I85" s="561"/>
      <c r="J85" s="561"/>
      <c r="K85" s="561"/>
      <c r="L85" s="561"/>
      <c r="M85" s="561"/>
      <c r="N85" s="561"/>
      <c r="O85" s="561"/>
      <c r="P85" s="561"/>
      <c r="Q85" s="562" t="s">
        <v>981</v>
      </c>
      <c r="R85" s="562"/>
      <c r="S85" s="562"/>
      <c r="T85" s="562" t="s">
        <v>982</v>
      </c>
      <c r="U85" s="562"/>
      <c r="V85" s="563"/>
      <c r="W85" s="56"/>
      <c r="X85" s="560" t="s">
        <v>932</v>
      </c>
      <c r="Y85" s="561"/>
      <c r="Z85" s="561"/>
      <c r="AA85" s="561"/>
      <c r="AB85" s="561"/>
      <c r="AC85" s="561"/>
      <c r="AD85" s="561"/>
      <c r="AE85" s="561"/>
      <c r="AF85" s="561"/>
      <c r="AG85" s="562" t="s">
        <v>981</v>
      </c>
      <c r="AH85" s="562"/>
      <c r="AI85" s="562"/>
      <c r="AJ85" s="562" t="s">
        <v>982</v>
      </c>
      <c r="AK85" s="562"/>
      <c r="AL85" s="563"/>
      <c r="AM85" s="56"/>
      <c r="AN85" s="560" t="s">
        <v>932</v>
      </c>
      <c r="AO85" s="561"/>
      <c r="AP85" s="561"/>
      <c r="AQ85" s="561"/>
      <c r="AR85" s="561"/>
      <c r="AS85" s="561"/>
      <c r="AT85" s="561"/>
      <c r="AU85" s="561"/>
      <c r="AV85" s="561"/>
      <c r="AW85" s="562" t="s">
        <v>981</v>
      </c>
      <c r="AX85" s="562"/>
      <c r="AY85" s="562"/>
      <c r="AZ85" s="562" t="s">
        <v>982</v>
      </c>
      <c r="BA85" s="562"/>
      <c r="BB85" s="563"/>
      <c r="BC85" s="56"/>
      <c r="BD85" s="56"/>
      <c r="BE85" s="56"/>
    </row>
    <row r="86" spans="1:57" s="57" customFormat="1" ht="30" customHeight="1" x14ac:dyDescent="0.3">
      <c r="A86" s="56"/>
      <c r="B86" s="56"/>
      <c r="C86" s="56"/>
      <c r="D86" s="56"/>
      <c r="E86" s="56"/>
      <c r="F86" s="56"/>
      <c r="G86" s="56"/>
      <c r="H86" s="306" t="s">
        <v>933</v>
      </c>
      <c r="I86" s="255"/>
      <c r="J86" s="255"/>
      <c r="K86" s="255"/>
      <c r="L86" s="255"/>
      <c r="M86" s="255"/>
      <c r="N86" s="255"/>
      <c r="O86" s="255"/>
      <c r="P86" s="256"/>
      <c r="Q86" s="258">
        <f>SUMIFS(Input[Cap Out n-Fund E&amp;G],Input[Institution Name],$H$1)+SUMIFS(Input[Cap Out n-Fund Desg],Input[Institution Name],$H$1)+SUMIFS(Input[Cap Out n-Fund Aux],Input[Institution Name],$H$1)+SUMIFS(Input[Cap Out n-Fund R Exp],Input[Institution Name],$H$1)+SUMIFS(Input[Cap Out n-Fund Loan],Input[Institution Name],$H$1)+SUMIFS(Input[Cap Out n-Fund Annuity],Input[Institution Name],$H$1)+SUMIFS(Input[Cap Out n-Fund Unexp],Input[Institution Name],$H$1)+SUMIFS(Input[Cap Out n-Fund R of Ind],Input[Institution Name],$H$1)+SUMIFS(Input[Cap Out n-Fund Inv in P],Input[Institution Name],$H$1)</f>
        <v>0</v>
      </c>
      <c r="R86" s="258"/>
      <c r="S86" s="258"/>
      <c r="T86" s="258">
        <f>IFERROR(ROUND(Q86/$Q$6,0),0)</f>
        <v>0</v>
      </c>
      <c r="U86" s="258"/>
      <c r="V86" s="357"/>
      <c r="W86" s="56"/>
      <c r="X86" s="306" t="s">
        <v>933</v>
      </c>
      <c r="Y86" s="255"/>
      <c r="Z86" s="255"/>
      <c r="AA86" s="255"/>
      <c r="AB86" s="255"/>
      <c r="AC86" s="255"/>
      <c r="AD86" s="255"/>
      <c r="AE86" s="255"/>
      <c r="AF86" s="256"/>
      <c r="AG86" s="258">
        <f>SUMIFS(Input[Cap Out n-Fund E&amp;G],Input[Institution Name],$X$1)+SUMIFS(Input[Cap Out n-Fund Desg],Input[Institution Name],$X$1)+SUMIFS(Input[Cap Out n-Fund Aux],Input[Institution Name],$X$1)+SUMIFS(Input[Cap Out n-Fund R Exp],Input[Institution Name],$X$1)+SUMIFS(Input[Cap Out n-Fund Loan],Input[Institution Name],$X$1)+SUMIFS(Input[Cap Out n-Fund Annuity],Input[Institution Name],$X$1)+SUMIFS(Input[Cap Out n-Fund Unexp],Input[Institution Name],$X$1)+SUMIFS(Input[Cap Out n-Fund R of Ind],Input[Institution Name],$X$1)+SUMIFS(Input[Cap Out n-Fund Inv in P],Input[Institution Name],$X$1)</f>
        <v>0</v>
      </c>
      <c r="AH86" s="258"/>
      <c r="AI86" s="258"/>
      <c r="AJ86" s="258">
        <f>IFERROR(ROUND(AG86/$AG$6,0),0)</f>
        <v>0</v>
      </c>
      <c r="AK86" s="258"/>
      <c r="AL86" s="357"/>
      <c r="AM86" s="59"/>
      <c r="AN86" s="306" t="s">
        <v>933</v>
      </c>
      <c r="AO86" s="255"/>
      <c r="AP86" s="255"/>
      <c r="AQ86" s="255"/>
      <c r="AR86" s="255"/>
      <c r="AS86" s="255"/>
      <c r="AT86" s="255"/>
      <c r="AU86" s="255"/>
      <c r="AV86" s="256"/>
      <c r="AW86" s="258">
        <f>SUMIFS(Input[Cap Out n-Fund E&amp;G],Input[Institution Name],$AN$1)+SUMIFS(Input[Cap Out n-Fund Desg],Input[Institution Name],$AN$1)+SUMIFS(Input[Cap Out n-Fund Aux],Input[Institution Name],$AN$1)+SUMIFS(Input[Cap Out n-Fund R Exp],Input[Institution Name],$AN$1)+SUMIFS(Input[Cap Out n-Fund Loan],Input[Institution Name],$AN$1)+SUMIFS(Input[Cap Out n-Fund Annuity],Input[Institution Name],$AN$1)+SUMIFS(Input[Cap Out n-Fund Unexp],Input[Institution Name],$AN$1)+SUMIFS(Input[Cap Out n-Fund R of Ind],Input[Institution Name],$AN$1)+SUMIFS(Input[Cap Out n-Fund Inv in P],Input[Institution Name],$AN$1)</f>
        <v>0</v>
      </c>
      <c r="AX86" s="258"/>
      <c r="AY86" s="258"/>
      <c r="AZ86" s="258">
        <f>IFERROR(ROUND(AW86/$AW$6,0),0)</f>
        <v>0</v>
      </c>
      <c r="BA86" s="258"/>
      <c r="BB86" s="357"/>
      <c r="BC86" s="56"/>
      <c r="BD86" s="56"/>
      <c r="BE86" s="56"/>
    </row>
    <row r="87" spans="1:57" s="57" customFormat="1" ht="30" customHeight="1" x14ac:dyDescent="0.3">
      <c r="A87" s="56"/>
      <c r="B87" s="56"/>
      <c r="C87" s="56"/>
      <c r="D87" s="56"/>
      <c r="E87" s="56"/>
      <c r="F87" s="56"/>
      <c r="G87" s="56"/>
      <c r="H87" s="306" t="s">
        <v>934</v>
      </c>
      <c r="I87" s="255"/>
      <c r="J87" s="255"/>
      <c r="K87" s="255"/>
      <c r="L87" s="255"/>
      <c r="M87" s="255"/>
      <c r="N87" s="255"/>
      <c r="O87" s="255"/>
      <c r="P87" s="256"/>
      <c r="Q87" s="260">
        <f>SUMIFS(Input[M&amp;Nm Xfrs E&amp;G],Input[Institution Name],$H$1)+SUMIFS(Input[M&amp;Nm Xfrs Desg],Input[Institution Name],$H$1)+SUMIFS(Input[M&amp;Nm Xfrs Aux],Input[Institution Name],$H$1)+SUMIFS(Input[M&amp;Nm Xfrs R Exp],Input[Institution Name],$H$1)+SUMIFS(Input[M&amp;Nm Xfrs Loan],Input[Institution Name],$H$1)+SUMIFS(Input[M&amp;Nm Xfrs Annuity],Input[Institution Name],$H$1)+SUMIFS(Input[M&amp;Nm Xfrs Unexp],Input[Institution Name],$H$1)+SUMIFS(Input[M&amp;Nm Xfrs R of Ind],Input[Institution Name],$H$1)+SUMIFS(Input[M&amp;Nm Xfrs Inv in P],Input[Institution Name],$H$1)</f>
        <v>0</v>
      </c>
      <c r="R87" s="260"/>
      <c r="S87" s="260"/>
      <c r="T87" s="260">
        <f>IFERROR(ROUND(Q87/$Q$6,0),0)</f>
        <v>0</v>
      </c>
      <c r="U87" s="260"/>
      <c r="V87" s="308"/>
      <c r="W87" s="56"/>
      <c r="X87" s="306" t="s">
        <v>934</v>
      </c>
      <c r="Y87" s="255"/>
      <c r="Z87" s="255"/>
      <c r="AA87" s="255"/>
      <c r="AB87" s="255"/>
      <c r="AC87" s="255"/>
      <c r="AD87" s="255"/>
      <c r="AE87" s="255"/>
      <c r="AF87" s="256"/>
      <c r="AG87" s="260">
        <f>SUMIFS(Input[M&amp;Nm Xfrs E&amp;G],Input[Institution Name],$X$1)+SUMIFS(Input[M&amp;Nm Xfrs Desg],Input[Institution Name],$X$1)+SUMIFS(Input[M&amp;Nm Xfrs Aux],Input[Institution Name],$X$1)+SUMIFS(Input[M&amp;Nm Xfrs R Exp],Input[Institution Name],$X$1)+SUMIFS(Input[M&amp;Nm Xfrs Loan],Input[Institution Name],$X$1)+SUMIFS(Input[M&amp;Nm Xfrs Annuity],Input[Institution Name],$X$1)+SUMIFS(Input[M&amp;Nm Xfrs Unexp],Input[Institution Name],$X$1)+SUMIFS(Input[M&amp;Nm Xfrs R of Ind],Input[Institution Name],$X$1)+SUMIFS(Input[M&amp;Nm Xfrs Inv in P],Input[Institution Name],$X$1)</f>
        <v>0</v>
      </c>
      <c r="AH87" s="260"/>
      <c r="AI87" s="260"/>
      <c r="AJ87" s="260">
        <f>IFERROR(ROUND(AG87/$AG$6,0),0)</f>
        <v>0</v>
      </c>
      <c r="AK87" s="260"/>
      <c r="AL87" s="308"/>
      <c r="AM87" s="59"/>
      <c r="AN87" s="306" t="s">
        <v>934</v>
      </c>
      <c r="AO87" s="255"/>
      <c r="AP87" s="255"/>
      <c r="AQ87" s="255"/>
      <c r="AR87" s="255"/>
      <c r="AS87" s="255"/>
      <c r="AT87" s="255"/>
      <c r="AU87" s="255"/>
      <c r="AV87" s="256"/>
      <c r="AW87" s="260">
        <f>SUMIFS(Input[M&amp;Nm Xfrs E&amp;G],Input[Institution Name],$AN$1)+SUMIFS(Input[M&amp;Nm Xfrs Desg],Input[Institution Name],$AN$1)+SUMIFS(Input[M&amp;Nm Xfrs Aux],Input[Institution Name],$AN$1)+SUMIFS(Input[M&amp;Nm Xfrs R Exp],Input[Institution Name],$AN$1)+SUMIFS(Input[M&amp;Nm Xfrs Loan],Input[Institution Name],$AN$1)+SUMIFS(Input[M&amp;Nm Xfrs Annuity],Input[Institution Name],$AN$1)+SUMIFS(Input[M&amp;Nm Xfrs Unexp],Input[Institution Name],$AN$1)+SUMIFS(Input[M&amp;Nm Xfrs R of Ind],Input[Institution Name],$AN$1)+SUMIFS(Input[M&amp;Nm Xfrs Inv in P],Input[Institution Name],$AN$1)</f>
        <v>0</v>
      </c>
      <c r="AX87" s="260"/>
      <c r="AY87" s="260"/>
      <c r="AZ87" s="260">
        <f>IFERROR(ROUND(AW87/$AW$6,0),0)</f>
        <v>0</v>
      </c>
      <c r="BA87" s="260"/>
      <c r="BB87" s="308"/>
      <c r="BC87" s="56"/>
      <c r="BD87" s="56"/>
      <c r="BE87" s="56"/>
    </row>
    <row r="88" spans="1:57" s="57" customFormat="1" ht="30" customHeight="1" x14ac:dyDescent="0.3">
      <c r="A88" s="56"/>
      <c r="B88" s="56"/>
      <c r="C88" s="56"/>
      <c r="D88" s="56"/>
      <c r="E88" s="56"/>
      <c r="F88" s="56"/>
      <c r="G88" s="56"/>
      <c r="H88" s="306" t="s">
        <v>935</v>
      </c>
      <c r="I88" s="255"/>
      <c r="J88" s="255"/>
      <c r="K88" s="255"/>
      <c r="L88" s="255"/>
      <c r="M88" s="255"/>
      <c r="N88" s="255"/>
      <c r="O88" s="255"/>
      <c r="P88" s="256"/>
      <c r="Q88" s="260">
        <f>SUMIFS(Input[Bond Xfrs In E&amp;G],Input[Institution Name],$H$1)+SUMIFS(Input[Bond Xfrs In Desg],Input[Institution Name],$H$1)+SUMIFS(Input[Bond Xfrs In Aux],Input[Institution Name],$H$1)+SUMIFS(Input[Bond Xfrs In R Exp],Input[Institution Name],$H$1)+SUMIFS(Input[Bond Xfrs In Loan],Input[Institution Name],$H$1)+SUMIFS(Input[Bond Xfrs In Annuity],Input[Institution Name],$H$1)+SUMIFS(Input[Bond Xfrs In Unexp],Input[Institution Name],$H$1)+SUMIFS(Input[Bond Xfrs In R of Ind],Input[Institution Name],$H$1)+SUMIFS(Input[Bond Xfrs In Inv in P],Input[Institution Name],$H$1)</f>
        <v>0</v>
      </c>
      <c r="R88" s="260"/>
      <c r="S88" s="260"/>
      <c r="T88" s="260">
        <f>IFERROR(ROUND(Q88/$Q$6,0),0)</f>
        <v>0</v>
      </c>
      <c r="U88" s="260"/>
      <c r="V88" s="308"/>
      <c r="W88" s="56"/>
      <c r="X88" s="306" t="s">
        <v>935</v>
      </c>
      <c r="Y88" s="255"/>
      <c r="Z88" s="255"/>
      <c r="AA88" s="255"/>
      <c r="AB88" s="255"/>
      <c r="AC88" s="255"/>
      <c r="AD88" s="255"/>
      <c r="AE88" s="255"/>
      <c r="AF88" s="256"/>
      <c r="AG88" s="260">
        <f>SUMIFS(Input[Bond Xfrs In E&amp;G],Input[Institution Name],$X$1)+SUMIFS(Input[Bond Xfrs In Desg],Input[Institution Name],$X$1)+SUMIFS(Input[Bond Xfrs In Aux],Input[Institution Name],$X$1)+SUMIFS(Input[Bond Xfrs In R Exp],Input[Institution Name],$X$1)+SUMIFS(Input[Bond Xfrs In Loan],Input[Institution Name],$X$1)+SUMIFS(Input[Bond Xfrs In Annuity],Input[Institution Name],$X$1)+SUMIFS(Input[Bond Xfrs In Unexp],Input[Institution Name],$X$1)+SUMIFS(Input[Bond Xfrs In R of Ind],Input[Institution Name],$X$1)+SUMIFS(Input[Bond Xfrs In Inv in P],Input[Institution Name],$X$1)</f>
        <v>0</v>
      </c>
      <c r="AH88" s="260"/>
      <c r="AI88" s="260"/>
      <c r="AJ88" s="260">
        <f>IFERROR(ROUND(AG88/$AG$6,0),0)</f>
        <v>0</v>
      </c>
      <c r="AK88" s="260"/>
      <c r="AL88" s="308"/>
      <c r="AM88" s="59"/>
      <c r="AN88" s="306" t="s">
        <v>935</v>
      </c>
      <c r="AO88" s="255"/>
      <c r="AP88" s="255"/>
      <c r="AQ88" s="255"/>
      <c r="AR88" s="255"/>
      <c r="AS88" s="255"/>
      <c r="AT88" s="255"/>
      <c r="AU88" s="255"/>
      <c r="AV88" s="256"/>
      <c r="AW88" s="260">
        <f>SUMIFS(Input[Bond Xfrs In E&amp;G],Input[Institution Name],$AN$1)+SUMIFS(Input[Bond Xfrs In Desg],Input[Institution Name],$AN$1)+SUMIFS(Input[Bond Xfrs In Aux],Input[Institution Name],$AN$1)+SUMIFS(Input[Bond Xfrs In R Exp],Input[Institution Name],$AN$1)+SUMIFS(Input[Bond Xfrs In Loan],Input[Institution Name],$AN$1)+SUMIFS(Input[Bond Xfrs In Annuity],Input[Institution Name],$AN$1)+SUMIFS(Input[Bond Xfrs In Unexp],Input[Institution Name],$AN$1)+SUMIFS(Input[Bond Xfrs In R of Ind],Input[Institution Name],$AN$1)+SUMIFS(Input[Bond Xfrs In Inv in P],Input[Institution Name],$AN$1)</f>
        <v>0</v>
      </c>
      <c r="AX88" s="260"/>
      <c r="AY88" s="260"/>
      <c r="AZ88" s="260">
        <f>IFERROR(ROUND(AW88/$AW$6,0),0)</f>
        <v>0</v>
      </c>
      <c r="BA88" s="260"/>
      <c r="BB88" s="308"/>
      <c r="BC88" s="56"/>
      <c r="BD88" s="56"/>
      <c r="BE88" s="56"/>
    </row>
    <row r="89" spans="1:57" s="57" customFormat="1" ht="30" customHeight="1" x14ac:dyDescent="0.3">
      <c r="A89" s="56"/>
      <c r="B89" s="56"/>
      <c r="C89" s="56"/>
      <c r="D89" s="56"/>
      <c r="E89" s="56"/>
      <c r="F89" s="56"/>
      <c r="G89" s="56"/>
      <c r="H89" s="306" t="s">
        <v>936</v>
      </c>
      <c r="I89" s="255"/>
      <c r="J89" s="255"/>
      <c r="K89" s="255"/>
      <c r="L89" s="255"/>
      <c r="M89" s="255"/>
      <c r="N89" s="255"/>
      <c r="O89" s="255"/>
      <c r="P89" s="256"/>
      <c r="Q89" s="260">
        <f>SUMIFS(Input[Debt Srv Pay E&amp;G],Input[Institution Name],$H$1)+SUMIFS(Input[Debt Srv Pay Desg],Input[Institution Name],$H$1)+SUMIFS(Input[Debt Srv Pay Aux],Input[Institution Name],$H$1)+SUMIFS(Input[Debt Srv Pay R Exp],Input[Institution Name],$H$1)+SUMIFS(Input[Debt Srv Pay Loan],Input[Institution Name],$H$1)+SUMIFS(Input[Debt Srv Pay Annuity],Input[Institution Name],$H$1)+SUMIFS(Input[Debt Srv Pay Unexp],Input[Institution Name],$H$1)+SUMIFS(Input[Debt Srv Pay R of Ind],Input[Institution Name],$H$1)+SUMIFS(Input[Debt Srv Pay Inv in P],Input[Institution Name],$H$1)</f>
        <v>0</v>
      </c>
      <c r="R89" s="260"/>
      <c r="S89" s="260"/>
      <c r="T89" s="260">
        <f>IFERROR(ROUND(Q89/$Q$6,0),0)</f>
        <v>0</v>
      </c>
      <c r="U89" s="260"/>
      <c r="V89" s="308"/>
      <c r="W89" s="56"/>
      <c r="X89" s="306" t="s">
        <v>936</v>
      </c>
      <c r="Y89" s="255"/>
      <c r="Z89" s="255"/>
      <c r="AA89" s="255"/>
      <c r="AB89" s="255"/>
      <c r="AC89" s="255"/>
      <c r="AD89" s="255"/>
      <c r="AE89" s="255"/>
      <c r="AF89" s="256"/>
      <c r="AG89" s="260">
        <f>SUMIFS(Input[Debt Srv Pay E&amp;G],Input[Institution Name],$X$1)+SUMIFS(Input[Debt Srv Pay Desg],Input[Institution Name],$X$1)+SUMIFS(Input[Debt Srv Pay Aux],Input[Institution Name],$X$1)+SUMIFS(Input[Debt Srv Pay R Exp],Input[Institution Name],$X$1)+SUMIFS(Input[Debt Srv Pay Loan],Input[Institution Name],$X$1)+SUMIFS(Input[Debt Srv Pay Annuity],Input[Institution Name],$X$1)+SUMIFS(Input[Debt Srv Pay Unexp],Input[Institution Name],$X$1)+SUMIFS(Input[Debt Srv Pay R of Ind],Input[Institution Name],$X$1)+SUMIFS(Input[Debt Srv Pay Inv in P],Input[Institution Name],$X$1)</f>
        <v>0</v>
      </c>
      <c r="AH89" s="260"/>
      <c r="AI89" s="260"/>
      <c r="AJ89" s="260">
        <f>IFERROR(ROUND(AG89/$AG$6,0),0)</f>
        <v>0</v>
      </c>
      <c r="AK89" s="260"/>
      <c r="AL89" s="308"/>
      <c r="AM89" s="59"/>
      <c r="AN89" s="306" t="s">
        <v>936</v>
      </c>
      <c r="AO89" s="255"/>
      <c r="AP89" s="255"/>
      <c r="AQ89" s="255"/>
      <c r="AR89" s="255"/>
      <c r="AS89" s="255"/>
      <c r="AT89" s="255"/>
      <c r="AU89" s="255"/>
      <c r="AV89" s="256"/>
      <c r="AW89" s="260">
        <f>SUMIFS(Input[Debt Srv Pay E&amp;G],Input[Institution Name],$AN$1)+SUMIFS(Input[Debt Srv Pay Desg],Input[Institution Name],$AN$1)+SUMIFS(Input[Debt Srv Pay Aux],Input[Institution Name],$AN$1)+SUMIFS(Input[Debt Srv Pay R Exp],Input[Institution Name],$AN$1)+SUMIFS(Input[Debt Srv Pay Loan],Input[Institution Name],$AN$1)+SUMIFS(Input[Debt Srv Pay Annuity],Input[Institution Name],$AN$1)+SUMIFS(Input[Debt Srv Pay Unexp],Input[Institution Name],$AN$1)+SUMIFS(Input[Debt Srv Pay R of Ind],Input[Institution Name],$AN$1)+SUMIFS(Input[Debt Srv Pay Inv in P],Input[Institution Name],$AN$1)</f>
        <v>0</v>
      </c>
      <c r="AX89" s="260"/>
      <c r="AY89" s="260"/>
      <c r="AZ89" s="260">
        <f>IFERROR(ROUND(AW89/$AW$6,0),0)</f>
        <v>0</v>
      </c>
      <c r="BA89" s="260"/>
      <c r="BB89" s="308"/>
      <c r="BC89" s="56"/>
      <c r="BD89" s="56"/>
      <c r="BE89" s="56"/>
    </row>
    <row r="90" spans="1:57" s="57" customFormat="1" ht="30" customHeight="1" x14ac:dyDescent="0.3">
      <c r="A90" s="56"/>
      <c r="B90" s="56"/>
      <c r="C90" s="56"/>
      <c r="D90" s="56"/>
      <c r="E90" s="56"/>
      <c r="F90" s="56"/>
      <c r="G90" s="56"/>
      <c r="H90" s="323" t="s">
        <v>917</v>
      </c>
      <c r="I90" s="324"/>
      <c r="J90" s="324"/>
      <c r="K90" s="324"/>
      <c r="L90" s="324"/>
      <c r="M90" s="324"/>
      <c r="N90" s="324"/>
      <c r="O90" s="324"/>
      <c r="P90" s="324"/>
      <c r="Q90" s="329">
        <f>SUM(Q86:S89)</f>
        <v>0</v>
      </c>
      <c r="R90" s="329"/>
      <c r="S90" s="329"/>
      <c r="T90" s="329">
        <f>SUM(T86:V89)</f>
        <v>0</v>
      </c>
      <c r="U90" s="329"/>
      <c r="V90" s="330"/>
      <c r="W90" s="56"/>
      <c r="X90" s="323" t="s">
        <v>917</v>
      </c>
      <c r="Y90" s="324"/>
      <c r="Z90" s="324"/>
      <c r="AA90" s="324"/>
      <c r="AB90" s="324"/>
      <c r="AC90" s="324"/>
      <c r="AD90" s="324"/>
      <c r="AE90" s="324"/>
      <c r="AF90" s="324"/>
      <c r="AG90" s="329">
        <f>SUM(AG86:AI89)</f>
        <v>0</v>
      </c>
      <c r="AH90" s="329"/>
      <c r="AI90" s="329"/>
      <c r="AJ90" s="329">
        <f>SUM(AJ86:AL89)</f>
        <v>0</v>
      </c>
      <c r="AK90" s="329"/>
      <c r="AL90" s="330"/>
      <c r="AM90" s="59"/>
      <c r="AN90" s="323" t="s">
        <v>917</v>
      </c>
      <c r="AO90" s="324"/>
      <c r="AP90" s="324"/>
      <c r="AQ90" s="324"/>
      <c r="AR90" s="324"/>
      <c r="AS90" s="324"/>
      <c r="AT90" s="324"/>
      <c r="AU90" s="324"/>
      <c r="AV90" s="324"/>
      <c r="AW90" s="329">
        <f>SUM(AW86:AY89)</f>
        <v>0</v>
      </c>
      <c r="AX90" s="329"/>
      <c r="AY90" s="329"/>
      <c r="AZ90" s="329">
        <f>SUM(AZ86:BB89)</f>
        <v>0</v>
      </c>
      <c r="BA90" s="329"/>
      <c r="BB90" s="330"/>
      <c r="BC90" s="56"/>
      <c r="BD90" s="56"/>
      <c r="BE90" s="56"/>
    </row>
    <row r="91" spans="1:57" s="57" customFormat="1" ht="30" customHeight="1" x14ac:dyDescent="0.3">
      <c r="A91" s="56"/>
      <c r="B91" s="56"/>
      <c r="C91" s="56"/>
      <c r="D91" s="56"/>
      <c r="E91" s="56"/>
      <c r="F91" s="56"/>
      <c r="G91" s="56"/>
      <c r="H91" s="59"/>
      <c r="I91" s="59"/>
      <c r="J91" s="59"/>
      <c r="K91" s="59"/>
      <c r="L91" s="59"/>
      <c r="M91" s="59"/>
      <c r="N91" s="59"/>
      <c r="O91" s="59"/>
      <c r="P91" s="59"/>
      <c r="Q91" s="80"/>
      <c r="R91" s="80"/>
      <c r="S91" s="80"/>
      <c r="T91" s="80"/>
      <c r="U91" s="80"/>
      <c r="V91" s="80"/>
      <c r="W91" s="56"/>
      <c r="X91" s="59"/>
      <c r="Y91" s="59"/>
      <c r="Z91" s="59"/>
      <c r="AA91" s="59"/>
      <c r="AB91" s="59"/>
      <c r="AC91" s="59"/>
      <c r="AD91" s="59"/>
      <c r="AE91" s="59"/>
      <c r="AF91" s="59"/>
      <c r="AG91" s="80"/>
      <c r="AH91" s="80"/>
      <c r="AI91" s="80"/>
      <c r="AJ91" s="80"/>
      <c r="AK91" s="80"/>
      <c r="AL91" s="80"/>
      <c r="AM91" s="59"/>
      <c r="AN91" s="59"/>
      <c r="AO91" s="59"/>
      <c r="AP91" s="59"/>
      <c r="AQ91" s="59"/>
      <c r="AR91" s="59"/>
      <c r="AS91" s="59"/>
      <c r="AT91" s="59"/>
      <c r="AU91" s="59"/>
      <c r="AV91" s="59"/>
      <c r="AW91" s="80"/>
      <c r="AX91" s="80"/>
      <c r="AY91" s="80"/>
      <c r="AZ91" s="80"/>
      <c r="BA91" s="80"/>
      <c r="BB91" s="80"/>
      <c r="BC91" s="56"/>
      <c r="BD91" s="56"/>
      <c r="BE91" s="56"/>
    </row>
    <row r="92" spans="1:57" s="57" customFormat="1" ht="30" customHeight="1" x14ac:dyDescent="0.3">
      <c r="A92" s="56"/>
      <c r="B92" s="56"/>
      <c r="C92" s="56"/>
      <c r="D92" s="56"/>
      <c r="E92" s="56"/>
      <c r="F92" s="56"/>
      <c r="G92" s="56"/>
      <c r="H92" s="560" t="s">
        <v>937</v>
      </c>
      <c r="I92" s="561"/>
      <c r="J92" s="561"/>
      <c r="K92" s="561"/>
      <c r="L92" s="561"/>
      <c r="M92" s="561"/>
      <c r="N92" s="561"/>
      <c r="O92" s="561"/>
      <c r="P92" s="561"/>
      <c r="Q92" s="562" t="s">
        <v>981</v>
      </c>
      <c r="R92" s="562"/>
      <c r="S92" s="562"/>
      <c r="T92" s="562" t="s">
        <v>982</v>
      </c>
      <c r="U92" s="562"/>
      <c r="V92" s="563"/>
      <c r="W92" s="56"/>
      <c r="X92" s="560" t="s">
        <v>937</v>
      </c>
      <c r="Y92" s="561"/>
      <c r="Z92" s="561"/>
      <c r="AA92" s="561"/>
      <c r="AB92" s="561"/>
      <c r="AC92" s="561"/>
      <c r="AD92" s="561"/>
      <c r="AE92" s="561"/>
      <c r="AF92" s="561"/>
      <c r="AG92" s="562" t="s">
        <v>981</v>
      </c>
      <c r="AH92" s="562"/>
      <c r="AI92" s="562"/>
      <c r="AJ92" s="562" t="s">
        <v>982</v>
      </c>
      <c r="AK92" s="562"/>
      <c r="AL92" s="563"/>
      <c r="AM92" s="59"/>
      <c r="AN92" s="560" t="s">
        <v>937</v>
      </c>
      <c r="AO92" s="561"/>
      <c r="AP92" s="561"/>
      <c r="AQ92" s="561"/>
      <c r="AR92" s="561"/>
      <c r="AS92" s="561"/>
      <c r="AT92" s="561"/>
      <c r="AU92" s="561"/>
      <c r="AV92" s="561"/>
      <c r="AW92" s="562" t="s">
        <v>981</v>
      </c>
      <c r="AX92" s="562"/>
      <c r="AY92" s="562"/>
      <c r="AZ92" s="562" t="s">
        <v>982</v>
      </c>
      <c r="BA92" s="562"/>
      <c r="BB92" s="563"/>
      <c r="BC92" s="56"/>
      <c r="BD92" s="56"/>
      <c r="BE92" s="56"/>
    </row>
    <row r="93" spans="1:57" s="57" customFormat="1" ht="30" customHeight="1" x14ac:dyDescent="0.3">
      <c r="A93" s="56"/>
      <c r="B93" s="56"/>
      <c r="C93" s="56"/>
      <c r="D93" s="56"/>
      <c r="E93" s="56"/>
      <c r="F93" s="56"/>
      <c r="G93" s="56"/>
      <c r="H93" s="306" t="s">
        <v>938</v>
      </c>
      <c r="I93" s="255"/>
      <c r="J93" s="255"/>
      <c r="K93" s="255"/>
      <c r="L93" s="255"/>
      <c r="M93" s="255"/>
      <c r="N93" s="255"/>
      <c r="O93" s="255"/>
      <c r="P93" s="256"/>
      <c r="Q93" s="258">
        <f>SUMIFS(Input[Unreal G/L E&amp;G],Input[Institution Name],$H$1)+SUMIFS(Input[Unreal G/L Desg],Input[Institution Name],$H$1)+SUMIFS(Input[Unreal G/L Aux],Input[Institution Name],$H$1)+SUMIFS(Input[Unreal G/L R Exp],Input[Institution Name],$H$1)+SUMIFS(Input[Unreal G/L Loan],Input[Institution Name],$H$1)+SUMIFS(Input[Unreal G/L Annuity],Input[Institution Name],$H$1)+SUMIFS(Input[Unreal G/L Unexp],Input[Institution Name],$H$1)+SUMIFS(Input[Unreal G/L R of Ind],Input[Institution Name],$H$1)+SUMIFS(Input[Unreal G/L Inv in P],Input[Institution Name],$H$1)</f>
        <v>0</v>
      </c>
      <c r="R93" s="258"/>
      <c r="S93" s="258"/>
      <c r="T93" s="258">
        <f>IFERROR(ROUND(Q93/$Q$6,0),0)</f>
        <v>0</v>
      </c>
      <c r="U93" s="258"/>
      <c r="V93" s="357"/>
      <c r="W93" s="56"/>
      <c r="X93" s="306" t="s">
        <v>938</v>
      </c>
      <c r="Y93" s="255"/>
      <c r="Z93" s="255"/>
      <c r="AA93" s="255"/>
      <c r="AB93" s="255"/>
      <c r="AC93" s="255"/>
      <c r="AD93" s="255"/>
      <c r="AE93" s="255"/>
      <c r="AF93" s="256"/>
      <c r="AG93" s="258">
        <f>SUMIFS(Input[Unreal G/L E&amp;G],Input[Institution Name],$X$1)+SUMIFS(Input[Unreal G/L Desg],Input[Institution Name],$X$1)+SUMIFS(Input[Unreal G/L Aux],Input[Institution Name],$X$1)+SUMIFS(Input[Unreal G/L R Exp],Input[Institution Name],$X$1)+SUMIFS(Input[Unreal G/L Loan],Input[Institution Name],$X$1)+SUMIFS(Input[Unreal G/L Annuity],Input[Institution Name],$X$1)+SUMIFS(Input[Unreal G/L Unexp],Input[Institution Name],$X$1)+SUMIFS(Input[Unreal G/L R of Ind],Input[Institution Name],$X$1)+SUMIFS(Input[Unreal G/L Inv in P],Input[Institution Name],$X$1)</f>
        <v>0</v>
      </c>
      <c r="AH93" s="258"/>
      <c r="AI93" s="258"/>
      <c r="AJ93" s="258">
        <f>IFERROR(ROUND(AG93/$AG$6,0),0)</f>
        <v>0</v>
      </c>
      <c r="AK93" s="258"/>
      <c r="AL93" s="357"/>
      <c r="AM93" s="59"/>
      <c r="AN93" s="306" t="s">
        <v>938</v>
      </c>
      <c r="AO93" s="255"/>
      <c r="AP93" s="255"/>
      <c r="AQ93" s="255"/>
      <c r="AR93" s="255"/>
      <c r="AS93" s="255"/>
      <c r="AT93" s="255"/>
      <c r="AU93" s="255"/>
      <c r="AV93" s="256"/>
      <c r="AW93" s="258">
        <f>SUMIFS(Input[Unreal G/L E&amp;G],Input[Institution Name],$AN$1)+SUMIFS(Input[Unreal G/L Desg],Input[Institution Name],$AN$1)+SUMIFS(Input[Unreal G/L Aux],Input[Institution Name],$AN$1)+SUMIFS(Input[Unreal G/L R Exp],Input[Institution Name],$AN$1)+SUMIFS(Input[Unreal G/L Loan],Input[Institution Name],$AN$1)+SUMIFS(Input[Unreal G/L Annuity],Input[Institution Name],$AN$1)+SUMIFS(Input[Unreal G/L Unexp],Input[Institution Name],$AN$1)+SUMIFS(Input[Unreal G/L R of Ind],Input[Institution Name],$AN$1)+SUMIFS(Input[Unreal G/L Inv in P],Input[Institution Name],$AN$1)</f>
        <v>0</v>
      </c>
      <c r="AX93" s="258"/>
      <c r="AY93" s="258"/>
      <c r="AZ93" s="258">
        <f>IFERROR(ROUND(AW93/$AW$6,0),0)</f>
        <v>0</v>
      </c>
      <c r="BA93" s="258"/>
      <c r="BB93" s="357"/>
      <c r="BC93" s="56"/>
      <c r="BD93" s="56"/>
      <c r="BE93" s="56"/>
    </row>
    <row r="94" spans="1:57" s="57" customFormat="1" ht="30" customHeight="1" x14ac:dyDescent="0.3">
      <c r="A94" s="56"/>
      <c r="B94" s="56"/>
      <c r="C94" s="56"/>
      <c r="D94" s="56"/>
      <c r="E94" s="56"/>
      <c r="F94" s="56"/>
      <c r="G94" s="56"/>
      <c r="H94" s="306" t="s">
        <v>939</v>
      </c>
      <c r="I94" s="255"/>
      <c r="J94" s="255"/>
      <c r="K94" s="255"/>
      <c r="L94" s="255"/>
      <c r="M94" s="255"/>
      <c r="N94" s="255"/>
      <c r="O94" s="255"/>
      <c r="P94" s="256"/>
      <c r="Q94" s="260">
        <f>SUMIFS(Input[Add End E&amp;G],Input[Institution Name],$H$1)+SUMIFS(Input[Add End Desg],Input[Institution Name],$H$1)+SUMIFS(Input[Add End Aux],Input[Institution Name],$H$1)+SUMIFS(Input[Add End R Exp],Input[Institution Name],$H$1)+SUMIFS(Input[Add End Loan],Input[Institution Name],$H$1)+SUMIFS(Input[Add End Annuity],Input[Institution Name],$H$1)+SUMIFS(Input[Add End Unexp],Input[Institution Name],$H$1)+SUMIFS(Input[Add End R of Ind],Input[Institution Name],$H$1)+SUMIFS(Input[Add End Inv in P],Input[Institution Name],$H$1)</f>
        <v>0</v>
      </c>
      <c r="R94" s="260"/>
      <c r="S94" s="260"/>
      <c r="T94" s="458">
        <f>IFERROR(ROUND(Q94/$Q$6,0),0)</f>
        <v>0</v>
      </c>
      <c r="U94" s="459"/>
      <c r="V94" s="460"/>
      <c r="W94" s="56"/>
      <c r="X94" s="306" t="s">
        <v>939</v>
      </c>
      <c r="Y94" s="255"/>
      <c r="Z94" s="255"/>
      <c r="AA94" s="255"/>
      <c r="AB94" s="255"/>
      <c r="AC94" s="255"/>
      <c r="AD94" s="255"/>
      <c r="AE94" s="255"/>
      <c r="AF94" s="256"/>
      <c r="AG94" s="260">
        <f>SUMIFS(Input[Add End E&amp;G],Input[Institution Name],$X$1)+SUMIFS(Input[Add End Desg],Input[Institution Name],$X$1)+SUMIFS(Input[Add End Aux],Input[Institution Name],$X$1)+SUMIFS(Input[Add End R Exp],Input[Institution Name],$X$1)+SUMIFS(Input[Add End Loan],Input[Institution Name],$X$1)+SUMIFS(Input[Add End Annuity],Input[Institution Name],$X$1)+SUMIFS(Input[Add End Unexp],Input[Institution Name],$X$1)+SUMIFS(Input[Add End R of Ind],Input[Institution Name],$X$1)+SUMIFS(Input[Add End Inv in P],Input[Institution Name],$X$1)</f>
        <v>0</v>
      </c>
      <c r="AH94" s="260"/>
      <c r="AI94" s="260"/>
      <c r="AJ94" s="458">
        <f>IFERROR(ROUND(AG94/$AG$6,0),0)</f>
        <v>0</v>
      </c>
      <c r="AK94" s="459"/>
      <c r="AL94" s="460"/>
      <c r="AM94" s="59"/>
      <c r="AN94" s="306" t="s">
        <v>939</v>
      </c>
      <c r="AO94" s="255"/>
      <c r="AP94" s="255"/>
      <c r="AQ94" s="255"/>
      <c r="AR94" s="255"/>
      <c r="AS94" s="255"/>
      <c r="AT94" s="255"/>
      <c r="AU94" s="255"/>
      <c r="AV94" s="256"/>
      <c r="AW94" s="260">
        <f>SUMIFS(Input[Add End E&amp;G],Input[Institution Name],$AN$1)+SUMIFS(Input[Add End Desg],Input[Institution Name],$AN$1)+SUMIFS(Input[Add End Aux],Input[Institution Name],$AN$1)+SUMIFS(Input[Add End R Exp],Input[Institution Name],$AN$1)+SUMIFS(Input[Add End Loan],Input[Institution Name],$AN$1)+SUMIFS(Input[Add End Annuity],Input[Institution Name],$AN$1)+SUMIFS(Input[Add End Unexp],Input[Institution Name],$AN$1)+SUMIFS(Input[Add End R of Ind],Input[Institution Name],$AN$1)+SUMIFS(Input[Add End Inv in P],Input[Institution Name],$AN$1)</f>
        <v>0</v>
      </c>
      <c r="AX94" s="260"/>
      <c r="AY94" s="260"/>
      <c r="AZ94" s="458">
        <f>IFERROR(ROUND(AW94/$AW$6,0),0)</f>
        <v>0</v>
      </c>
      <c r="BA94" s="459"/>
      <c r="BB94" s="460"/>
      <c r="BC94" s="56"/>
      <c r="BD94" s="56"/>
      <c r="BE94" s="56"/>
    </row>
    <row r="95" spans="1:57" s="57" customFormat="1" ht="30" customHeight="1" x14ac:dyDescent="0.3">
      <c r="A95" s="56"/>
      <c r="B95" s="56"/>
      <c r="C95" s="56"/>
      <c r="D95" s="56"/>
      <c r="E95" s="56"/>
      <c r="F95" s="56"/>
      <c r="G95" s="56"/>
      <c r="H95" s="323" t="s">
        <v>917</v>
      </c>
      <c r="I95" s="324"/>
      <c r="J95" s="324"/>
      <c r="K95" s="324"/>
      <c r="L95" s="324"/>
      <c r="M95" s="324"/>
      <c r="N95" s="324"/>
      <c r="O95" s="324"/>
      <c r="P95" s="324"/>
      <c r="Q95" s="329">
        <f>SUM(Q93:S94)</f>
        <v>0</v>
      </c>
      <c r="R95" s="329"/>
      <c r="S95" s="329"/>
      <c r="T95" s="329">
        <f>SUM(T93:V94)</f>
        <v>0</v>
      </c>
      <c r="U95" s="329"/>
      <c r="V95" s="330"/>
      <c r="W95" s="56"/>
      <c r="X95" s="323" t="s">
        <v>917</v>
      </c>
      <c r="Y95" s="324"/>
      <c r="Z95" s="324"/>
      <c r="AA95" s="324"/>
      <c r="AB95" s="324"/>
      <c r="AC95" s="324"/>
      <c r="AD95" s="324"/>
      <c r="AE95" s="324"/>
      <c r="AF95" s="324"/>
      <c r="AG95" s="329">
        <f>SUM(AG93:AI94)</f>
        <v>0</v>
      </c>
      <c r="AH95" s="329"/>
      <c r="AI95" s="329"/>
      <c r="AJ95" s="329">
        <f>SUM(AJ93:AL94)</f>
        <v>0</v>
      </c>
      <c r="AK95" s="329"/>
      <c r="AL95" s="330"/>
      <c r="AM95" s="59"/>
      <c r="AN95" s="323" t="s">
        <v>917</v>
      </c>
      <c r="AO95" s="324"/>
      <c r="AP95" s="324"/>
      <c r="AQ95" s="324"/>
      <c r="AR95" s="324"/>
      <c r="AS95" s="324"/>
      <c r="AT95" s="324"/>
      <c r="AU95" s="324"/>
      <c r="AV95" s="324"/>
      <c r="AW95" s="329">
        <f>SUM(AW93:AY94)</f>
        <v>0</v>
      </c>
      <c r="AX95" s="329"/>
      <c r="AY95" s="329"/>
      <c r="AZ95" s="329">
        <f>SUM(AZ93:BB94)</f>
        <v>0</v>
      </c>
      <c r="BA95" s="329"/>
      <c r="BB95" s="330"/>
      <c r="BC95" s="56"/>
      <c r="BD95" s="56"/>
      <c r="BE95" s="56"/>
    </row>
    <row r="96" spans="1:57" s="57" customFormat="1" ht="30" customHeight="1" x14ac:dyDescent="0.3">
      <c r="A96" s="56"/>
      <c r="B96" s="56"/>
      <c r="C96" s="56"/>
      <c r="D96" s="56"/>
      <c r="E96" s="56"/>
      <c r="F96" s="56"/>
      <c r="G96" s="56"/>
      <c r="H96" s="59"/>
      <c r="I96" s="59"/>
      <c r="J96" s="59"/>
      <c r="K96" s="59"/>
      <c r="L96" s="59"/>
      <c r="M96" s="59"/>
      <c r="N96" s="59"/>
      <c r="O96" s="59"/>
      <c r="P96" s="59"/>
      <c r="Q96" s="80"/>
      <c r="R96" s="80"/>
      <c r="S96" s="80"/>
      <c r="T96" s="80"/>
      <c r="U96" s="80"/>
      <c r="V96" s="80"/>
      <c r="W96" s="56"/>
      <c r="X96" s="59"/>
      <c r="Y96" s="59"/>
      <c r="Z96" s="59"/>
      <c r="AA96" s="59"/>
      <c r="AB96" s="59"/>
      <c r="AC96" s="59"/>
      <c r="AD96" s="59"/>
      <c r="AE96" s="59"/>
      <c r="AF96" s="59"/>
      <c r="AG96" s="80"/>
      <c r="AH96" s="80"/>
      <c r="AI96" s="80"/>
      <c r="AJ96" s="80"/>
      <c r="AK96" s="80"/>
      <c r="AL96" s="80"/>
      <c r="AM96" s="59"/>
      <c r="AN96" s="59"/>
      <c r="AO96" s="59"/>
      <c r="AP96" s="59"/>
      <c r="AQ96" s="59"/>
      <c r="AR96" s="59"/>
      <c r="AS96" s="59"/>
      <c r="AT96" s="59"/>
      <c r="AU96" s="59"/>
      <c r="AV96" s="59"/>
      <c r="AW96" s="80"/>
      <c r="AX96" s="80"/>
      <c r="AY96" s="80"/>
      <c r="AZ96" s="80"/>
      <c r="BA96" s="80"/>
      <c r="BB96" s="80"/>
      <c r="BC96" s="56"/>
      <c r="BD96" s="56"/>
      <c r="BE96" s="56"/>
    </row>
    <row r="97" spans="1:57" s="57" customFormat="1" ht="30" customHeight="1" x14ac:dyDescent="0.3">
      <c r="A97" s="56"/>
      <c r="B97" s="56"/>
      <c r="C97" s="56"/>
      <c r="D97" s="56"/>
      <c r="E97" s="56"/>
      <c r="F97" s="56"/>
      <c r="G97" s="56"/>
      <c r="H97" s="369" t="s">
        <v>940</v>
      </c>
      <c r="I97" s="370"/>
      <c r="J97" s="370"/>
      <c r="K97" s="370"/>
      <c r="L97" s="370"/>
      <c r="M97" s="370"/>
      <c r="N97" s="370"/>
      <c r="O97" s="370"/>
      <c r="P97" s="370"/>
      <c r="Q97" s="367">
        <f>Q67-Q83+Q90+Q95</f>
        <v>0</v>
      </c>
      <c r="R97" s="367"/>
      <c r="S97" s="367"/>
      <c r="T97" s="367">
        <f>IFERROR(ROUND(Q97/$Q$6,0),0)</f>
        <v>0</v>
      </c>
      <c r="U97" s="367"/>
      <c r="V97" s="368"/>
      <c r="W97" s="56"/>
      <c r="X97" s="369" t="s">
        <v>940</v>
      </c>
      <c r="Y97" s="370"/>
      <c r="Z97" s="370"/>
      <c r="AA97" s="370"/>
      <c r="AB97" s="370"/>
      <c r="AC97" s="370"/>
      <c r="AD97" s="370"/>
      <c r="AE97" s="370"/>
      <c r="AF97" s="370"/>
      <c r="AG97" s="367">
        <f>AG67-AG83+AG90+AG95</f>
        <v>0</v>
      </c>
      <c r="AH97" s="367"/>
      <c r="AI97" s="367"/>
      <c r="AJ97" s="367">
        <f>AJ67-AJ83+AJ90+AJ95</f>
        <v>0</v>
      </c>
      <c r="AK97" s="367"/>
      <c r="AL97" s="368"/>
      <c r="AM97" s="59"/>
      <c r="AN97" s="369" t="s">
        <v>940</v>
      </c>
      <c r="AO97" s="370"/>
      <c r="AP97" s="370"/>
      <c r="AQ97" s="370"/>
      <c r="AR97" s="370"/>
      <c r="AS97" s="370"/>
      <c r="AT97" s="370"/>
      <c r="AU97" s="370"/>
      <c r="AV97" s="370"/>
      <c r="AW97" s="367">
        <f>AW67-AW83+AW90+AW95</f>
        <v>0</v>
      </c>
      <c r="AX97" s="367"/>
      <c r="AY97" s="367"/>
      <c r="AZ97" s="367">
        <f>AZ67-AZ83+AZ90+AZ95</f>
        <v>0</v>
      </c>
      <c r="BA97" s="367"/>
      <c r="BB97" s="368"/>
      <c r="BC97" s="56"/>
      <c r="BD97" s="56"/>
      <c r="BE97" s="56"/>
    </row>
    <row r="98" spans="1:57" s="57" customFormat="1" ht="30" customHeight="1" x14ac:dyDescent="0.3">
      <c r="A98" s="56"/>
      <c r="B98" s="56"/>
      <c r="C98" s="56"/>
      <c r="D98" s="56"/>
      <c r="E98" s="56"/>
      <c r="F98" s="56"/>
      <c r="G98" s="56"/>
      <c r="H98" s="59"/>
      <c r="I98" s="59"/>
      <c r="J98" s="59"/>
      <c r="K98" s="59"/>
      <c r="L98" s="59"/>
      <c r="M98" s="59"/>
      <c r="N98" s="59"/>
      <c r="O98" s="59"/>
      <c r="P98" s="59"/>
      <c r="Q98" s="80"/>
      <c r="R98" s="80"/>
      <c r="S98" s="80"/>
      <c r="T98" s="80"/>
      <c r="U98" s="80"/>
      <c r="V98" s="80"/>
      <c r="W98" s="56"/>
      <c r="X98" s="59"/>
      <c r="Y98" s="59"/>
      <c r="Z98" s="59"/>
      <c r="AA98" s="59"/>
      <c r="AB98" s="59"/>
      <c r="AC98" s="59"/>
      <c r="AD98" s="59"/>
      <c r="AE98" s="59"/>
      <c r="AF98" s="59"/>
      <c r="AG98" s="80"/>
      <c r="AH98" s="80"/>
      <c r="AI98" s="80"/>
      <c r="AJ98" s="80"/>
      <c r="AK98" s="80"/>
      <c r="AL98" s="80"/>
      <c r="AM98" s="59"/>
      <c r="AN98" s="59"/>
      <c r="AO98" s="59"/>
      <c r="AP98" s="59"/>
      <c r="AQ98" s="59"/>
      <c r="AR98" s="59"/>
      <c r="AS98" s="59"/>
      <c r="AT98" s="59"/>
      <c r="AU98" s="59"/>
      <c r="AV98" s="59"/>
      <c r="AW98" s="80"/>
      <c r="AX98" s="80"/>
      <c r="AY98" s="80"/>
      <c r="AZ98" s="80"/>
      <c r="BA98" s="80"/>
      <c r="BB98" s="80"/>
      <c r="BC98" s="56"/>
      <c r="BD98" s="56"/>
      <c r="BE98" s="56"/>
    </row>
    <row r="99" spans="1:57" s="57" customFormat="1" ht="30" customHeight="1" x14ac:dyDescent="0.3">
      <c r="A99" s="56"/>
      <c r="B99" s="56"/>
      <c r="C99" s="56"/>
      <c r="D99" s="56"/>
      <c r="E99" s="56"/>
      <c r="F99" s="56"/>
      <c r="G99" s="56"/>
      <c r="H99" s="560"/>
      <c r="I99" s="561"/>
      <c r="J99" s="561"/>
      <c r="K99" s="561"/>
      <c r="L99" s="561"/>
      <c r="M99" s="561"/>
      <c r="N99" s="561"/>
      <c r="O99" s="561"/>
      <c r="P99" s="561"/>
      <c r="Q99" s="562" t="s">
        <v>981</v>
      </c>
      <c r="R99" s="562"/>
      <c r="S99" s="562"/>
      <c r="T99" s="562" t="s">
        <v>982</v>
      </c>
      <c r="U99" s="562"/>
      <c r="V99" s="563"/>
      <c r="W99" s="56"/>
      <c r="X99" s="560"/>
      <c r="Y99" s="561"/>
      <c r="Z99" s="561"/>
      <c r="AA99" s="561"/>
      <c r="AB99" s="561"/>
      <c r="AC99" s="561"/>
      <c r="AD99" s="561"/>
      <c r="AE99" s="561"/>
      <c r="AF99" s="561"/>
      <c r="AG99" s="562" t="s">
        <v>981</v>
      </c>
      <c r="AH99" s="562"/>
      <c r="AI99" s="562"/>
      <c r="AJ99" s="562" t="s">
        <v>982</v>
      </c>
      <c r="AK99" s="562"/>
      <c r="AL99" s="563"/>
      <c r="AM99" s="59"/>
      <c r="AN99" s="560"/>
      <c r="AO99" s="561"/>
      <c r="AP99" s="561"/>
      <c r="AQ99" s="561"/>
      <c r="AR99" s="561"/>
      <c r="AS99" s="561"/>
      <c r="AT99" s="561"/>
      <c r="AU99" s="561"/>
      <c r="AV99" s="561"/>
      <c r="AW99" s="562" t="s">
        <v>981</v>
      </c>
      <c r="AX99" s="562"/>
      <c r="AY99" s="562"/>
      <c r="AZ99" s="562" t="s">
        <v>982</v>
      </c>
      <c r="BA99" s="562"/>
      <c r="BB99" s="563"/>
      <c r="BC99" s="56"/>
      <c r="BD99" s="56"/>
      <c r="BE99" s="56"/>
    </row>
    <row r="100" spans="1:57" s="57" customFormat="1" ht="30" customHeight="1" x14ac:dyDescent="0.3">
      <c r="A100" s="56"/>
      <c r="B100" s="56"/>
      <c r="C100" s="56"/>
      <c r="D100" s="56"/>
      <c r="E100" s="56"/>
      <c r="F100" s="56"/>
      <c r="G100" s="56"/>
      <c r="H100" s="306" t="s">
        <v>941</v>
      </c>
      <c r="I100" s="255"/>
      <c r="J100" s="255"/>
      <c r="K100" s="255"/>
      <c r="L100" s="255"/>
      <c r="M100" s="255"/>
      <c r="N100" s="255"/>
      <c r="O100" s="255"/>
      <c r="P100" s="256"/>
      <c r="Q100" s="258">
        <f>SUMIFS(Input[Bond Proceeds E&amp;G],Input[Institution Name],$H$1)+SUMIFS(Input[Bond Proceeds Desg],Input[Institution Name],$H$1)+SUMIFS(Input[Bond Proceeds Aux],Input[Institution Name],$H$1)+SUMIFS(Input[Bond Proceeds R Exp],Input[Institution Name],$H$1)+SUMIFS(Input[Bond Proceeds Loan],Input[Institution Name],$H$1)+SUMIFS(Input[Bond Proceeds Annuity],Input[Institution Name],$H$1)+SUMIFS(Input[Bond Proceeds Unexp],Input[Institution Name],$H$1)+SUMIFS(Input[Bond Proceeds R of Ind],Input[Institution Name],$H$1)+SUMIFS(Input[Bond Proceeds Inv in P],Input[Institution Name],$H$1)</f>
        <v>0</v>
      </c>
      <c r="R100" s="258"/>
      <c r="S100" s="258"/>
      <c r="T100" s="258">
        <f t="shared" ref="T100:T105" si="6">IFERROR(ROUND(Q100/$Q$6,0),0)</f>
        <v>0</v>
      </c>
      <c r="U100" s="258"/>
      <c r="V100" s="357"/>
      <c r="W100" s="56"/>
      <c r="X100" s="306" t="s">
        <v>941</v>
      </c>
      <c r="Y100" s="255"/>
      <c r="Z100" s="255"/>
      <c r="AA100" s="255"/>
      <c r="AB100" s="255"/>
      <c r="AC100" s="255"/>
      <c r="AD100" s="255"/>
      <c r="AE100" s="255"/>
      <c r="AF100" s="256"/>
      <c r="AG100" s="258">
        <f>SUMIFS(Input[Bond Proceeds E&amp;G],Input[Institution Name],$X$1)+SUMIFS(Input[Bond Proceeds Desg],Input[Institution Name],$X$1)+SUMIFS(Input[Bond Proceeds Aux],Input[Institution Name],$X$1)+SUMIFS(Input[Bond Proceeds R Exp],Input[Institution Name],$X$1)+SUMIFS(Input[Bond Proceeds Loan],Input[Institution Name],$X$1)+SUMIFS(Input[Bond Proceeds Annuity],Input[Institution Name],$X$1)+SUMIFS(Input[Bond Proceeds Unexp],Input[Institution Name],$X$1)+SUMIFS(Input[Bond Proceeds R of Ind],Input[Institution Name],$X$1)+SUMIFS(Input[Bond Proceeds Inv in P],Input[Institution Name],$X$1)</f>
        <v>0</v>
      </c>
      <c r="AH100" s="258"/>
      <c r="AI100" s="258"/>
      <c r="AJ100" s="258">
        <f t="shared" ref="AJ100:AJ105" si="7">IFERROR(ROUND(AG100/$AG$6,0),0)</f>
        <v>0</v>
      </c>
      <c r="AK100" s="258"/>
      <c r="AL100" s="357"/>
      <c r="AM100" s="59"/>
      <c r="AN100" s="306" t="s">
        <v>941</v>
      </c>
      <c r="AO100" s="255"/>
      <c r="AP100" s="255"/>
      <c r="AQ100" s="255"/>
      <c r="AR100" s="255"/>
      <c r="AS100" s="255"/>
      <c r="AT100" s="255"/>
      <c r="AU100" s="255"/>
      <c r="AV100" s="256"/>
      <c r="AW100" s="258">
        <f>SUMIFS(Input[Bond Proceeds E&amp;G],Input[Institution Name],$AN$1)+SUMIFS(Input[Bond Proceeds Desg],Input[Institution Name],$AN$1)+SUMIFS(Input[Bond Proceeds Aux],Input[Institution Name],$AN$1)+SUMIFS(Input[Bond Proceeds R Exp],Input[Institution Name],$AN$1)+SUMIFS(Input[Bond Proceeds Loan],Input[Institution Name],$AN$1)+SUMIFS(Input[Bond Proceeds Annuity],Input[Institution Name],$AN$1)+SUMIFS(Input[Bond Proceeds Unexp],Input[Institution Name],$AN$1)+SUMIFS(Input[Bond Proceeds R of Ind],Input[Institution Name],$AN$1)+SUMIFS(Input[Bond Proceeds Inv in P],Input[Institution Name],$AN$1)</f>
        <v>0</v>
      </c>
      <c r="AX100" s="258"/>
      <c r="AY100" s="258"/>
      <c r="AZ100" s="258">
        <f t="shared" ref="AZ100:AZ105" si="8">IFERROR(ROUND(AW100/$AW$6,0),0)</f>
        <v>0</v>
      </c>
      <c r="BA100" s="258"/>
      <c r="BB100" s="357"/>
      <c r="BC100" s="56"/>
      <c r="BD100" s="56"/>
      <c r="BE100" s="56"/>
    </row>
    <row r="101" spans="1:57" s="57" customFormat="1" ht="30" customHeight="1" x14ac:dyDescent="0.3">
      <c r="A101" s="56"/>
      <c r="B101" s="56"/>
      <c r="C101" s="56"/>
      <c r="D101" s="56"/>
      <c r="E101" s="56"/>
      <c r="F101" s="56"/>
      <c r="G101" s="56"/>
      <c r="H101" s="306" t="s">
        <v>942</v>
      </c>
      <c r="I101" s="255"/>
      <c r="J101" s="255"/>
      <c r="K101" s="255"/>
      <c r="L101" s="255"/>
      <c r="M101" s="255"/>
      <c r="N101" s="255"/>
      <c r="O101" s="255"/>
      <c r="P101" s="256"/>
      <c r="Q101" s="260">
        <f>SUMIFS(Input[Dep Exp E&amp;G],Input[Institution Name],$H$1)+SUMIFS(Input[Dep Exp Desg],Input[Institution Name],$H$1)+SUMIFS(Input[Dep Exp Aux],Input[Institution Name],$H$1)+SUMIFS(Input[Dep Exp R Exp],Input[Institution Name],$H$1)+SUMIFS(Input[Dep Exp Loan],Input[Institution Name],$H$1)+SUMIFS(Input[Dep Exp Annuity],Input[Institution Name],$H$1)+SUMIFS(Input[Dep Exp Unexp],Input[Institution Name],$H$1)+SUMIFS(Input[Dep Exp R of Ind],Input[Institution Name],$H$1)+SUMIFS(Input[Dep Exp Inv in P],Input[Institution Name],$H$1)</f>
        <v>0</v>
      </c>
      <c r="R101" s="260"/>
      <c r="S101" s="260"/>
      <c r="T101" s="260">
        <f t="shared" si="6"/>
        <v>0</v>
      </c>
      <c r="U101" s="260"/>
      <c r="V101" s="308"/>
      <c r="W101" s="56"/>
      <c r="X101" s="306" t="s">
        <v>942</v>
      </c>
      <c r="Y101" s="255"/>
      <c r="Z101" s="255"/>
      <c r="AA101" s="255"/>
      <c r="AB101" s="255"/>
      <c r="AC101" s="255"/>
      <c r="AD101" s="255"/>
      <c r="AE101" s="255"/>
      <c r="AF101" s="256"/>
      <c r="AG101" s="260">
        <f>SUMIFS(Input[Dep Exp E&amp;G],Input[Institution Name],$X$1)+SUMIFS(Input[Dep Exp Desg],Input[Institution Name],$X$1)+SUMIFS(Input[Dep Exp Aux],Input[Institution Name],$X$1)+SUMIFS(Input[Dep Exp R Exp],Input[Institution Name],$X$1)+SUMIFS(Input[Dep Exp Loan],Input[Institution Name],$X$1)+SUMIFS(Input[Dep Exp Annuity],Input[Institution Name],$X$1)+SUMIFS(Input[Dep Exp Unexp],Input[Institution Name],$X$1)+SUMIFS(Input[Dep Exp R of Ind],Input[Institution Name],$X$1)+SUMIFS(Input[Dep Exp Inv in P],Input[Institution Name],$X$1)</f>
        <v>0</v>
      </c>
      <c r="AH101" s="260"/>
      <c r="AI101" s="260"/>
      <c r="AJ101" s="260">
        <f t="shared" si="7"/>
        <v>0</v>
      </c>
      <c r="AK101" s="260"/>
      <c r="AL101" s="308"/>
      <c r="AM101" s="59"/>
      <c r="AN101" s="306" t="s">
        <v>942</v>
      </c>
      <c r="AO101" s="255"/>
      <c r="AP101" s="255"/>
      <c r="AQ101" s="255"/>
      <c r="AR101" s="255"/>
      <c r="AS101" s="255"/>
      <c r="AT101" s="255"/>
      <c r="AU101" s="255"/>
      <c r="AV101" s="256"/>
      <c r="AW101" s="260">
        <f>SUMIFS(Input[Dep Exp E&amp;G],Input[Institution Name],$AN$1)+SUMIFS(Input[Dep Exp Desg],Input[Institution Name],$AN$1)+SUMIFS(Input[Dep Exp Aux],Input[Institution Name],$AN$1)+SUMIFS(Input[Dep Exp R Exp],Input[Institution Name],$AN$1)+SUMIFS(Input[Dep Exp Loan],Input[Institution Name],$AN$1)+SUMIFS(Input[Dep Exp Annuity],Input[Institution Name],$AN$1)+SUMIFS(Input[Dep Exp Unexp],Input[Institution Name],$AN$1)+SUMIFS(Input[Dep Exp R of Ind],Input[Institution Name],$AN$1)+SUMIFS(Input[Dep Exp Inv in P],Input[Institution Name],$AN$1)</f>
        <v>0</v>
      </c>
      <c r="AX101" s="260"/>
      <c r="AY101" s="260"/>
      <c r="AZ101" s="260">
        <f t="shared" si="8"/>
        <v>0</v>
      </c>
      <c r="BA101" s="260"/>
      <c r="BB101" s="308"/>
      <c r="BC101" s="56"/>
      <c r="BD101" s="56"/>
      <c r="BE101" s="56"/>
    </row>
    <row r="102" spans="1:57" s="57" customFormat="1" ht="30" customHeight="1" x14ac:dyDescent="0.3">
      <c r="A102" s="56"/>
      <c r="B102" s="56"/>
      <c r="C102" s="56"/>
      <c r="D102" s="56"/>
      <c r="E102" s="56"/>
      <c r="F102" s="56"/>
      <c r="G102" s="56"/>
      <c r="H102" s="306" t="s">
        <v>943</v>
      </c>
      <c r="I102" s="255"/>
      <c r="J102" s="255"/>
      <c r="K102" s="255"/>
      <c r="L102" s="255"/>
      <c r="M102" s="255"/>
      <c r="N102" s="255"/>
      <c r="O102" s="255"/>
      <c r="P102" s="256"/>
      <c r="Q102" s="260">
        <f>SUMIFS(Input[Xfr Cap Sys E&amp;G],Input[Institution Name],$H$1)+SUMIFS(Input[Xfr Cap Sys Desg],Input[Institution Name],$H$1)+SUMIFS(Input[Xfr Cap Sys Aux],Input[Institution Name],$H$1)+SUMIFS(Input[Xfr Cap Sys R Exp],Input[Institution Name],$H$1)+SUMIFS(Input[Xfr Cap Sys Loan],Input[Institution Name],$H$1)+SUMIFS(Input[Xfr Cap Sys Annuity],Input[Institution Name],$H$1)+SUMIFS(Input[Xfr Cap Sys Unexp],Input[Institution Name],$H$1)+SUMIFS(Input[Xfr Cap Sys R of Ind],Input[Institution Name],$H$1)+SUMIFS(Input[Xfr Cap Sys Inv in P],Input[Institution Name],$H$1)</f>
        <v>0</v>
      </c>
      <c r="R102" s="260"/>
      <c r="S102" s="260"/>
      <c r="T102" s="260">
        <f t="shared" si="6"/>
        <v>0</v>
      </c>
      <c r="U102" s="260"/>
      <c r="V102" s="308"/>
      <c r="W102" s="56"/>
      <c r="X102" s="306" t="s">
        <v>943</v>
      </c>
      <c r="Y102" s="255"/>
      <c r="Z102" s="255"/>
      <c r="AA102" s="255"/>
      <c r="AB102" s="255"/>
      <c r="AC102" s="255"/>
      <c r="AD102" s="255"/>
      <c r="AE102" s="255"/>
      <c r="AF102" s="256"/>
      <c r="AG102" s="260">
        <f>SUMIFS(Input[Xfr Cap Sys E&amp;G],Input[Institution Name],$X$1)+SUMIFS(Input[Xfr Cap Sys Desg],Input[Institution Name],$X$1)+SUMIFS(Input[Xfr Cap Sys Aux],Input[Institution Name],$X$1)+SUMIFS(Input[Xfr Cap Sys R Exp],Input[Institution Name],$X$1)+SUMIFS(Input[Xfr Cap Sys Loan],Input[Institution Name],$X$1)+SUMIFS(Input[Xfr Cap Sys Annuity],Input[Institution Name],$X$1)+SUMIFS(Input[Xfr Cap Sys Unexp],Input[Institution Name],$X$1)+SUMIFS(Input[Xfr Cap Sys R of Ind],Input[Institution Name],$X$1)+SUMIFS(Input[Xfr Cap Sys Inv in P],Input[Institution Name],$X$1)</f>
        <v>0</v>
      </c>
      <c r="AH102" s="260"/>
      <c r="AI102" s="260"/>
      <c r="AJ102" s="260">
        <f t="shared" si="7"/>
        <v>0</v>
      </c>
      <c r="AK102" s="260"/>
      <c r="AL102" s="308"/>
      <c r="AM102" s="59"/>
      <c r="AN102" s="306" t="s">
        <v>943</v>
      </c>
      <c r="AO102" s="255"/>
      <c r="AP102" s="255"/>
      <c r="AQ102" s="255"/>
      <c r="AR102" s="255"/>
      <c r="AS102" s="255"/>
      <c r="AT102" s="255"/>
      <c r="AU102" s="255"/>
      <c r="AV102" s="256"/>
      <c r="AW102" s="260">
        <f>SUMIFS(Input[Xfr Cap Sys E&amp;G],Input[Institution Name],$AN$1)+SUMIFS(Input[Xfr Cap Sys Desg],Input[Institution Name],$AN$1)+SUMIFS(Input[Xfr Cap Sys Aux],Input[Institution Name],$AN$1)+SUMIFS(Input[Xfr Cap Sys R Exp],Input[Institution Name],$AN$1)+SUMIFS(Input[Xfr Cap Sys Loan],Input[Institution Name],$AN$1)+SUMIFS(Input[Xfr Cap Sys Annuity],Input[Institution Name],$AN$1)+SUMIFS(Input[Xfr Cap Sys Unexp],Input[Institution Name],$AN$1)+SUMIFS(Input[Xfr Cap Sys R of Ind],Input[Institution Name],$AN$1)+SUMIFS(Input[Xfr Cap Sys Inv in P],Input[Institution Name],$AN$1)</f>
        <v>0</v>
      </c>
      <c r="AX102" s="260"/>
      <c r="AY102" s="260"/>
      <c r="AZ102" s="260">
        <f t="shared" si="8"/>
        <v>0</v>
      </c>
      <c r="BA102" s="260"/>
      <c r="BB102" s="308"/>
      <c r="BC102" s="56"/>
      <c r="BD102" s="56"/>
      <c r="BE102" s="56"/>
    </row>
    <row r="103" spans="1:57" s="57" customFormat="1" ht="30" customHeight="1" x14ac:dyDescent="0.3">
      <c r="A103" s="56"/>
      <c r="B103" s="56"/>
      <c r="C103" s="56"/>
      <c r="D103" s="56"/>
      <c r="E103" s="56"/>
      <c r="F103" s="56"/>
      <c r="G103" s="56"/>
      <c r="H103" s="306" t="s">
        <v>944</v>
      </c>
      <c r="I103" s="255"/>
      <c r="J103" s="255"/>
      <c r="K103" s="255"/>
      <c r="L103" s="255"/>
      <c r="M103" s="255"/>
      <c r="N103" s="255"/>
      <c r="O103" s="255"/>
      <c r="P103" s="256"/>
      <c r="Q103" s="260">
        <f>SUMIFS(Input[OPEB Exp E&amp;G],Input[Institution Name],$H$1)+SUMIFS(Input[OPEB Exp Desg],Input[Institution Name],$H$1)+SUMIFS(Input[OPEB Exp Aux],Input[Institution Name],$H$1)+SUMIFS(Input[OPEB Exp R Exp],Input[Institution Name],$H$1)+SUMIFS(Input[OPEB Exp Loan],Input[Institution Name],$H$1)+SUMIFS(Input[OPEB Exp Annuity],Input[Institution Name],$H$1)+SUMIFS(Input[OPEB Exp Unexp],Input[Institution Name],$H$1)+SUMIFS(Input[OPEB Exp R of Ind],Input[Institution Name],$H$1)+SUMIFS(Input[OPEB Exp Inv in P],Input[Institution Name],$H$1)</f>
        <v>0</v>
      </c>
      <c r="R103" s="260"/>
      <c r="S103" s="260"/>
      <c r="T103" s="455">
        <f t="shared" si="6"/>
        <v>0</v>
      </c>
      <c r="U103" s="456"/>
      <c r="V103" s="457"/>
      <c r="W103" s="56"/>
      <c r="X103" s="306" t="s">
        <v>944</v>
      </c>
      <c r="Y103" s="255"/>
      <c r="Z103" s="255"/>
      <c r="AA103" s="255"/>
      <c r="AB103" s="255"/>
      <c r="AC103" s="255"/>
      <c r="AD103" s="255"/>
      <c r="AE103" s="255"/>
      <c r="AF103" s="256"/>
      <c r="AG103" s="260">
        <f>SUMIFS(Input[OPEB Exp E&amp;G],Input[Institution Name],$X$1)+SUMIFS(Input[OPEB Exp Desg],Input[Institution Name],$X$1)+SUMIFS(Input[OPEB Exp Aux],Input[Institution Name],$X$1)+SUMIFS(Input[OPEB Exp R Exp],Input[Institution Name],$X$1)+SUMIFS(Input[OPEB Exp Loan],Input[Institution Name],$X$1)+SUMIFS(Input[OPEB Exp Annuity],Input[Institution Name],$X$1)+SUMIFS(Input[OPEB Exp Unexp],Input[Institution Name],$X$1)+SUMIFS(Input[OPEB Exp R of Ind],Input[Institution Name],$X$1)+SUMIFS(Input[OPEB Exp Inv in P],Input[Institution Name],$X$1)</f>
        <v>0</v>
      </c>
      <c r="AH103" s="260"/>
      <c r="AI103" s="260"/>
      <c r="AJ103" s="455">
        <f t="shared" si="7"/>
        <v>0</v>
      </c>
      <c r="AK103" s="456"/>
      <c r="AL103" s="457"/>
      <c r="AM103" s="59"/>
      <c r="AN103" s="306" t="s">
        <v>944</v>
      </c>
      <c r="AO103" s="255"/>
      <c r="AP103" s="255"/>
      <c r="AQ103" s="255"/>
      <c r="AR103" s="255"/>
      <c r="AS103" s="255"/>
      <c r="AT103" s="255"/>
      <c r="AU103" s="255"/>
      <c r="AV103" s="256"/>
      <c r="AW103" s="260">
        <f>SUMIFS(Input[OPEB Exp E&amp;G],Input[Institution Name],$AN$1)+SUMIFS(Input[OPEB Exp Desg],Input[Institution Name],$AN$1)+SUMIFS(Input[OPEB Exp Aux],Input[Institution Name],$AN$1)+SUMIFS(Input[OPEB Exp R Exp],Input[Institution Name],$AN$1)+SUMIFS(Input[OPEB Exp Loan],Input[Institution Name],$AN$1)+SUMIFS(Input[OPEB Exp Annuity],Input[Institution Name],$AN$1)+SUMIFS(Input[OPEB Exp Unexp],Input[Institution Name],$AN$1)+SUMIFS(Input[OPEB Exp R of Ind],Input[Institution Name],$AN$1)+SUMIFS(Input[OPEB Exp Inv in P],Input[Institution Name],$AN$1)</f>
        <v>0</v>
      </c>
      <c r="AX103" s="260"/>
      <c r="AY103" s="260"/>
      <c r="AZ103" s="455">
        <f t="shared" si="8"/>
        <v>0</v>
      </c>
      <c r="BA103" s="456"/>
      <c r="BB103" s="457"/>
      <c r="BC103" s="56"/>
      <c r="BD103" s="56"/>
      <c r="BE103" s="56"/>
    </row>
    <row r="104" spans="1:57" s="57" customFormat="1" ht="30" customHeight="1" x14ac:dyDescent="0.3">
      <c r="A104" s="56"/>
      <c r="B104" s="56"/>
      <c r="C104" s="56"/>
      <c r="D104" s="56"/>
      <c r="E104" s="56"/>
      <c r="F104" s="56"/>
      <c r="G104" s="56"/>
      <c r="H104" s="306" t="s">
        <v>945</v>
      </c>
      <c r="I104" s="255"/>
      <c r="J104" s="255"/>
      <c r="K104" s="255"/>
      <c r="L104" s="255"/>
      <c r="M104" s="255"/>
      <c r="N104" s="255"/>
      <c r="O104" s="255"/>
      <c r="P104" s="256"/>
      <c r="Q104" s="260">
        <f>SUMIFS(Input[Non-Cash Cap E&amp;G],Input[Institution Name],$H$1)+SUMIFS(Input[Non-Cash Cap Desg],Input[Institution Name],$H$1)+SUMIFS(Input[Non-Cash Cap Aux],Input[Institution Name],$H$1)+SUMIFS(Input[Non-Cash Cap R Exp],Input[Institution Name],$H$1)+SUMIFS(Input[Non-Cash Cap Loan],Input[Institution Name],$H$1)+SUMIFS(Input[Non-Cash Cap Annuity],Input[Institution Name],$H$1)+SUMIFS(Input[Non-Cash Cap Unexp],Input[Institution Name],$H$1)+SUMIFS(Input[Non-Cash Cap R of Ind],Input[Institution Name],$H$1)+SUMIFS(Input[Non-Cash Cap Inv in P],Input[Institution Name],$H$1)</f>
        <v>0</v>
      </c>
      <c r="R104" s="260"/>
      <c r="S104" s="260"/>
      <c r="T104" s="455">
        <f t="shared" si="6"/>
        <v>0</v>
      </c>
      <c r="U104" s="456"/>
      <c r="V104" s="457"/>
      <c r="W104" s="56"/>
      <c r="X104" s="306" t="s">
        <v>945</v>
      </c>
      <c r="Y104" s="255"/>
      <c r="Z104" s="255"/>
      <c r="AA104" s="255"/>
      <c r="AB104" s="255"/>
      <c r="AC104" s="255"/>
      <c r="AD104" s="255"/>
      <c r="AE104" s="255"/>
      <c r="AF104" s="256"/>
      <c r="AG104" s="260">
        <f>SUMIFS(Input[Non-Cash Cap E&amp;G],Input[Institution Name],$X$1)+SUMIFS(Input[Non-Cash Cap Desg],Input[Institution Name],$X$1)+SUMIFS(Input[Non-Cash Cap Aux],Input[Institution Name],$X$1)+SUMIFS(Input[Non-Cash Cap R Exp],Input[Institution Name],$X$1)+SUMIFS(Input[Non-Cash Cap Loan],Input[Institution Name],$X$1)+SUMIFS(Input[Non-Cash Cap Annuity],Input[Institution Name],$X$1)+SUMIFS(Input[Non-Cash Cap Unexp],Input[Institution Name],$X$1)+SUMIFS(Input[Non-Cash Cap R of Ind],Input[Institution Name],$X$1)+SUMIFS(Input[Non-Cash Cap Inv in P],Input[Institution Name],$X$1)</f>
        <v>0</v>
      </c>
      <c r="AH104" s="260"/>
      <c r="AI104" s="260"/>
      <c r="AJ104" s="455">
        <f t="shared" si="7"/>
        <v>0</v>
      </c>
      <c r="AK104" s="456"/>
      <c r="AL104" s="457"/>
      <c r="AM104" s="59"/>
      <c r="AN104" s="306" t="s">
        <v>945</v>
      </c>
      <c r="AO104" s="255"/>
      <c r="AP104" s="255"/>
      <c r="AQ104" s="255"/>
      <c r="AR104" s="255"/>
      <c r="AS104" s="255"/>
      <c r="AT104" s="255"/>
      <c r="AU104" s="255"/>
      <c r="AV104" s="256"/>
      <c r="AW104" s="260">
        <f>SUMIFS(Input[Non-Cash Cap E&amp;G],Input[Institution Name],$AN$1)+SUMIFS(Input[Non-Cash Cap Desg],Input[Institution Name],$AN$1)+SUMIFS(Input[Non-Cash Cap Aux],Input[Institution Name],$AN$1)+SUMIFS(Input[Non-Cash Cap R Exp],Input[Institution Name],$AN$1)+SUMIFS(Input[Non-Cash Cap Loan],Input[Institution Name],$AN$1)+SUMIFS(Input[Non-Cash Cap Annuity],Input[Institution Name],$AN$1)+SUMIFS(Input[Non-Cash Cap Unexp],Input[Institution Name],$AN$1)+SUMIFS(Input[Non-Cash Cap R of Ind],Input[Institution Name],$AN$1)+SUMIFS(Input[Non-Cash Cap Inv in P],Input[Institution Name],$AN$1)</f>
        <v>0</v>
      </c>
      <c r="AX104" s="260"/>
      <c r="AY104" s="260"/>
      <c r="AZ104" s="455">
        <f t="shared" si="8"/>
        <v>0</v>
      </c>
      <c r="BA104" s="456"/>
      <c r="BB104" s="457"/>
      <c r="BC104" s="56"/>
      <c r="BD104" s="56"/>
      <c r="BE104" s="56"/>
    </row>
    <row r="105" spans="1:57" s="57" customFormat="1" ht="30" customHeight="1" x14ac:dyDescent="0.3">
      <c r="A105" s="56"/>
      <c r="B105" s="56"/>
      <c r="C105" s="56"/>
      <c r="D105" s="56"/>
      <c r="E105" s="56"/>
      <c r="F105" s="56"/>
      <c r="G105" s="56"/>
      <c r="H105" s="306" t="s">
        <v>946</v>
      </c>
      <c r="I105" s="255"/>
      <c r="J105" s="255"/>
      <c r="K105" s="255"/>
      <c r="L105" s="255"/>
      <c r="M105" s="255"/>
      <c r="N105" s="255"/>
      <c r="O105" s="255"/>
      <c r="P105" s="256"/>
      <c r="Q105" s="260">
        <f>SUMIFS(Input[Cap Out E&amp;G],Input[Institution Name],$H$1)+SUMIFS(Input[Cap Out Desg],Input[Institution Name],$H$1)+SUMIFS(Input[Cap Out Aux],Input[Institution Name],$H$1)+SUMIFS(Input[Cap Out R Exp],Input[Institution Name],$H$1)+SUMIFS(Input[Cap Out Loan],Input[Institution Name],$H$1)+SUMIFS(Input[Cap Out Annuity],Input[Institution Name],$H$1)+SUMIFS(Input[Cap Out Unexp],Input[Institution Name],$H$1)+SUMIFS(Input[Cap Out R of Ind],Input[Institution Name],$H$1)+SUMIFS(Input[Cap Out Inv in P],Input[Institution Name],$H$1)</f>
        <v>0</v>
      </c>
      <c r="R105" s="260"/>
      <c r="S105" s="260"/>
      <c r="T105" s="458">
        <f t="shared" si="6"/>
        <v>0</v>
      </c>
      <c r="U105" s="459"/>
      <c r="V105" s="460"/>
      <c r="W105" s="56"/>
      <c r="X105" s="306" t="s">
        <v>946</v>
      </c>
      <c r="Y105" s="255"/>
      <c r="Z105" s="255"/>
      <c r="AA105" s="255"/>
      <c r="AB105" s="255"/>
      <c r="AC105" s="255"/>
      <c r="AD105" s="255"/>
      <c r="AE105" s="255"/>
      <c r="AF105" s="256"/>
      <c r="AG105" s="260">
        <f>SUMIFS(Input[Cap Out E&amp;G],Input[Institution Name],$X$1)+SUMIFS(Input[Cap Out Desg],Input[Institution Name],$X$1)+SUMIFS(Input[Cap Out Aux],Input[Institution Name],$X$1)+SUMIFS(Input[Cap Out R Exp],Input[Institution Name],$X$1)+SUMIFS(Input[Cap Out Loan],Input[Institution Name],$X$1)+SUMIFS(Input[Cap Out Annuity],Input[Institution Name],$X$1)+SUMIFS(Input[Cap Out Unexp],Input[Institution Name],$X$1)+SUMIFS(Input[Cap Out R of Ind],Input[Institution Name],$X$1)+SUMIFS(Input[Cap Out Inv in P],Input[Institution Name],$X$1)</f>
        <v>0</v>
      </c>
      <c r="AH105" s="260"/>
      <c r="AI105" s="260"/>
      <c r="AJ105" s="458">
        <f t="shared" si="7"/>
        <v>0</v>
      </c>
      <c r="AK105" s="459"/>
      <c r="AL105" s="460"/>
      <c r="AM105" s="59"/>
      <c r="AN105" s="306" t="s">
        <v>946</v>
      </c>
      <c r="AO105" s="255"/>
      <c r="AP105" s="255"/>
      <c r="AQ105" s="255"/>
      <c r="AR105" s="255"/>
      <c r="AS105" s="255"/>
      <c r="AT105" s="255"/>
      <c r="AU105" s="255"/>
      <c r="AV105" s="256"/>
      <c r="AW105" s="260">
        <f>SUMIFS(Input[Cap Out E&amp;G],Input[Institution Name],$AN$1)+SUMIFS(Input[Cap Out Desg],Input[Institution Name],$AN$1)+SUMIFS(Input[Cap Out Aux],Input[Institution Name],$AN$1)+SUMIFS(Input[Cap Out R Exp],Input[Institution Name],$AN$1)+SUMIFS(Input[Cap Out Loan],Input[Institution Name],$AN$1)+SUMIFS(Input[Cap Out Annuity],Input[Institution Name],$AN$1)+SUMIFS(Input[Cap Out Unexp],Input[Institution Name],$AN$1)+SUMIFS(Input[Cap Out R of Ind],Input[Institution Name],$AN$1)+SUMIFS(Input[Cap Out Inv in P],Input[Institution Name],$AN$1)</f>
        <v>0</v>
      </c>
      <c r="AX105" s="260"/>
      <c r="AY105" s="260"/>
      <c r="AZ105" s="458">
        <f t="shared" si="8"/>
        <v>0</v>
      </c>
      <c r="BA105" s="459"/>
      <c r="BB105" s="460"/>
      <c r="BC105" s="56"/>
      <c r="BD105" s="56"/>
      <c r="BE105" s="56"/>
    </row>
    <row r="106" spans="1:57" s="57" customFormat="1" ht="30" customHeight="1" x14ac:dyDescent="0.3">
      <c r="A106" s="56"/>
      <c r="B106" s="56"/>
      <c r="C106" s="56"/>
      <c r="D106" s="56"/>
      <c r="E106" s="56"/>
      <c r="F106" s="56"/>
      <c r="G106" s="56"/>
      <c r="H106" s="323"/>
      <c r="I106" s="324"/>
      <c r="J106" s="324"/>
      <c r="K106" s="324"/>
      <c r="L106" s="324"/>
      <c r="M106" s="324"/>
      <c r="N106" s="324"/>
      <c r="O106" s="324"/>
      <c r="P106" s="324"/>
      <c r="Q106" s="329">
        <f>SUM(Q97,Q100:S105)</f>
        <v>0</v>
      </c>
      <c r="R106" s="329"/>
      <c r="S106" s="329"/>
      <c r="T106" s="329">
        <f>SUM(T100:V105)</f>
        <v>0</v>
      </c>
      <c r="U106" s="329"/>
      <c r="V106" s="330"/>
      <c r="W106" s="56"/>
      <c r="X106" s="323"/>
      <c r="Y106" s="324"/>
      <c r="Z106" s="324"/>
      <c r="AA106" s="324"/>
      <c r="AB106" s="324"/>
      <c r="AC106" s="324"/>
      <c r="AD106" s="324"/>
      <c r="AE106" s="324"/>
      <c r="AF106" s="324"/>
      <c r="AG106" s="329">
        <f>SUM(AG97,AG100:AI105)</f>
        <v>0</v>
      </c>
      <c r="AH106" s="329"/>
      <c r="AI106" s="329"/>
      <c r="AJ106" s="329">
        <f>SUM(AJ97,AJ100:AL105)</f>
        <v>0</v>
      </c>
      <c r="AK106" s="329"/>
      <c r="AL106" s="330"/>
      <c r="AM106" s="59"/>
      <c r="AN106" s="323"/>
      <c r="AO106" s="324"/>
      <c r="AP106" s="324"/>
      <c r="AQ106" s="324"/>
      <c r="AR106" s="324"/>
      <c r="AS106" s="324"/>
      <c r="AT106" s="324"/>
      <c r="AU106" s="324"/>
      <c r="AV106" s="324"/>
      <c r="AW106" s="329">
        <f>SUM(AW97,AW100:AY105)</f>
        <v>0</v>
      </c>
      <c r="AX106" s="329"/>
      <c r="AY106" s="329"/>
      <c r="AZ106" s="329">
        <f>SUM(AZ97,AZ100:BB105)</f>
        <v>0</v>
      </c>
      <c r="BA106" s="329"/>
      <c r="BB106" s="330"/>
      <c r="BC106" s="56"/>
      <c r="BD106" s="56"/>
      <c r="BE106" s="56"/>
    </row>
    <row r="107" spans="1:57" s="57" customFormat="1" ht="30" customHeight="1" x14ac:dyDescent="0.3">
      <c r="A107" s="56"/>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row>
    <row r="108" spans="1:57" s="57" customFormat="1" ht="30" customHeight="1" x14ac:dyDescent="0.3">
      <c r="A108" s="56"/>
      <c r="B108" s="56"/>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row>
    <row r="109" spans="1:57" s="57" customFormat="1" ht="24" customHeight="1" x14ac:dyDescent="0.3">
      <c r="AG109" s="28"/>
      <c r="AH109" s="28"/>
      <c r="AI109" s="28"/>
      <c r="AJ109" s="28"/>
      <c r="AK109" s="28"/>
      <c r="AL109" s="28"/>
    </row>
  </sheetData>
  <sheetProtection algorithmName="SHA-512" hashValue="cKZrZ6U3yi4iZHXWqPGjRgJcVem+B4WpjHRLq/+fEEJuu9dLDomqYVeMXne1VtG42bHjiRv7yFV3OiGyFnlhVQ==" saltValue="Ch14YV6ZXZKPJyIg1Rz3mA==" spinCount="100000" sheet="1" objects="1" scenarios="1" formatCells="0" formatColumns="0" formatRows="0"/>
  <mergeCells count="753">
    <mergeCell ref="X10:AF10"/>
    <mergeCell ref="AG10:AI10"/>
    <mergeCell ref="AJ10:AL10"/>
    <mergeCell ref="X8:AL8"/>
    <mergeCell ref="X9:AF9"/>
    <mergeCell ref="AG9:AI9"/>
    <mergeCell ref="AJ9:AL9"/>
    <mergeCell ref="X1:AL1"/>
    <mergeCell ref="AG6:AI6"/>
    <mergeCell ref="AJ6:AL6"/>
    <mergeCell ref="X2:AL2"/>
    <mergeCell ref="X3:AL3"/>
    <mergeCell ref="X13:AF13"/>
    <mergeCell ref="AG13:AI13"/>
    <mergeCell ref="AJ13:AL13"/>
    <mergeCell ref="X12:AF12"/>
    <mergeCell ref="AG12:AI12"/>
    <mergeCell ref="AJ12:AL12"/>
    <mergeCell ref="X11:AF11"/>
    <mergeCell ref="AG11:AI11"/>
    <mergeCell ref="AJ11:AL11"/>
    <mergeCell ref="X16:AF16"/>
    <mergeCell ref="AG16:AI16"/>
    <mergeCell ref="AJ16:AL16"/>
    <mergeCell ref="X17:AF17"/>
    <mergeCell ref="AG17:AI17"/>
    <mergeCell ref="AJ17:AL17"/>
    <mergeCell ref="X14:AF14"/>
    <mergeCell ref="AG14:AI14"/>
    <mergeCell ref="AJ14:AL14"/>
    <mergeCell ref="X20:AF20"/>
    <mergeCell ref="AG20:AI20"/>
    <mergeCell ref="AJ20:AL20"/>
    <mergeCell ref="H20:P20"/>
    <mergeCell ref="Q20:S20"/>
    <mergeCell ref="T20:V20"/>
    <mergeCell ref="H19:P19"/>
    <mergeCell ref="X18:AL18"/>
    <mergeCell ref="X19:AF19"/>
    <mergeCell ref="AG19:AI19"/>
    <mergeCell ref="AJ19:AL19"/>
    <mergeCell ref="H18:V18"/>
    <mergeCell ref="X23:AF23"/>
    <mergeCell ref="AG23:AI23"/>
    <mergeCell ref="AJ23:AL23"/>
    <mergeCell ref="X24:AL24"/>
    <mergeCell ref="X25:AF25"/>
    <mergeCell ref="AG25:AI25"/>
    <mergeCell ref="AJ25:AL25"/>
    <mergeCell ref="X21:AF21"/>
    <mergeCell ref="AG21:AI21"/>
    <mergeCell ref="AJ21:AL21"/>
    <mergeCell ref="X22:AF22"/>
    <mergeCell ref="AG22:AI22"/>
    <mergeCell ref="AJ22:AL22"/>
    <mergeCell ref="X28:AF28"/>
    <mergeCell ref="AG28:AI28"/>
    <mergeCell ref="AJ28:AL28"/>
    <mergeCell ref="H27:P27"/>
    <mergeCell ref="X27:AF27"/>
    <mergeCell ref="AG27:AI27"/>
    <mergeCell ref="AJ27:AL27"/>
    <mergeCell ref="X26:AF26"/>
    <mergeCell ref="AG26:AI26"/>
    <mergeCell ref="AJ26:AL26"/>
    <mergeCell ref="H28:P28"/>
    <mergeCell ref="Q28:S28"/>
    <mergeCell ref="T28:V28"/>
    <mergeCell ref="X32:AF32"/>
    <mergeCell ref="AG32:AI32"/>
    <mergeCell ref="AJ32:AL32"/>
    <mergeCell ref="X30:AF30"/>
    <mergeCell ref="AG30:AI30"/>
    <mergeCell ref="AJ30:AL30"/>
    <mergeCell ref="H30:P30"/>
    <mergeCell ref="Q30:S30"/>
    <mergeCell ref="X29:AF29"/>
    <mergeCell ref="AG29:AI29"/>
    <mergeCell ref="AJ29:AL29"/>
    <mergeCell ref="T30:V30"/>
    <mergeCell ref="H29:P29"/>
    <mergeCell ref="Q29:S29"/>
    <mergeCell ref="T29:V29"/>
    <mergeCell ref="X36:AF36"/>
    <mergeCell ref="AG36:AI36"/>
    <mergeCell ref="AJ36:AL36"/>
    <mergeCell ref="X35:AF35"/>
    <mergeCell ref="AG35:AI35"/>
    <mergeCell ref="AJ35:AL35"/>
    <mergeCell ref="X33:AL33"/>
    <mergeCell ref="X34:AF34"/>
    <mergeCell ref="AG34:AI34"/>
    <mergeCell ref="AJ34:AL34"/>
    <mergeCell ref="X39:AL39"/>
    <mergeCell ref="X40:AF40"/>
    <mergeCell ref="AG40:AI40"/>
    <mergeCell ref="AJ40:AL40"/>
    <mergeCell ref="X38:AF38"/>
    <mergeCell ref="AG38:AI38"/>
    <mergeCell ref="AJ38:AL38"/>
    <mergeCell ref="X37:AF37"/>
    <mergeCell ref="AG37:AI37"/>
    <mergeCell ref="AJ37:AL37"/>
    <mergeCell ref="X42:AF42"/>
    <mergeCell ref="AG42:AI42"/>
    <mergeCell ref="AJ42:AL42"/>
    <mergeCell ref="X43:AF43"/>
    <mergeCell ref="AG43:AI43"/>
    <mergeCell ref="AJ43:AL43"/>
    <mergeCell ref="X41:AF41"/>
    <mergeCell ref="AG41:AI41"/>
    <mergeCell ref="AJ41:AL41"/>
    <mergeCell ref="X47:AF47"/>
    <mergeCell ref="AG47:AI47"/>
    <mergeCell ref="AJ47:AL47"/>
    <mergeCell ref="X49:AF49"/>
    <mergeCell ref="AG49:AI49"/>
    <mergeCell ref="AJ49:AL49"/>
    <mergeCell ref="X44:AF44"/>
    <mergeCell ref="AG44:AI44"/>
    <mergeCell ref="AJ44:AL44"/>
    <mergeCell ref="X45:AF45"/>
    <mergeCell ref="AG45:AI45"/>
    <mergeCell ref="AJ45:AL45"/>
    <mergeCell ref="X53:AF53"/>
    <mergeCell ref="AG53:AI53"/>
    <mergeCell ref="AJ53:AL53"/>
    <mergeCell ref="X55:AF55"/>
    <mergeCell ref="AG55:AI55"/>
    <mergeCell ref="AJ55:AL55"/>
    <mergeCell ref="X50:AF50"/>
    <mergeCell ref="AG50:AI50"/>
    <mergeCell ref="AJ50:AL50"/>
    <mergeCell ref="X52:AF52"/>
    <mergeCell ref="AG52:AI52"/>
    <mergeCell ref="AJ52:AL52"/>
    <mergeCell ref="X59:AF59"/>
    <mergeCell ref="AG59:AI59"/>
    <mergeCell ref="AJ59:AL59"/>
    <mergeCell ref="X60:AF60"/>
    <mergeCell ref="AG60:AI60"/>
    <mergeCell ref="AJ60:AL60"/>
    <mergeCell ref="X56:AF56"/>
    <mergeCell ref="AG56:AI56"/>
    <mergeCell ref="AJ56:AL56"/>
    <mergeCell ref="X58:AF58"/>
    <mergeCell ref="AG58:AI58"/>
    <mergeCell ref="AJ58:AL58"/>
    <mergeCell ref="X63:AF63"/>
    <mergeCell ref="AG63:AI63"/>
    <mergeCell ref="AJ63:AL63"/>
    <mergeCell ref="X64:AF64"/>
    <mergeCell ref="AG64:AI64"/>
    <mergeCell ref="AJ64:AL64"/>
    <mergeCell ref="X61:AF61"/>
    <mergeCell ref="AG61:AI61"/>
    <mergeCell ref="AJ61:AL61"/>
    <mergeCell ref="X62:AF62"/>
    <mergeCell ref="AG62:AI62"/>
    <mergeCell ref="AJ62:AL62"/>
    <mergeCell ref="X71:AF71"/>
    <mergeCell ref="AG71:AI71"/>
    <mergeCell ref="AJ71:AL71"/>
    <mergeCell ref="X70:AF70"/>
    <mergeCell ref="AG70:AI70"/>
    <mergeCell ref="AJ70:AL70"/>
    <mergeCell ref="X65:AF65"/>
    <mergeCell ref="AG65:AI65"/>
    <mergeCell ref="AJ65:AL65"/>
    <mergeCell ref="X67:AF67"/>
    <mergeCell ref="AG67:AI67"/>
    <mergeCell ref="AJ67:AL67"/>
    <mergeCell ref="X69:AL69"/>
    <mergeCell ref="X74:AF74"/>
    <mergeCell ref="AG74:AI74"/>
    <mergeCell ref="AJ74:AL74"/>
    <mergeCell ref="H74:P74"/>
    <mergeCell ref="Q74:S74"/>
    <mergeCell ref="X73:AF73"/>
    <mergeCell ref="AG73:AI73"/>
    <mergeCell ref="AJ73:AL73"/>
    <mergeCell ref="X72:AF72"/>
    <mergeCell ref="AG72:AI72"/>
    <mergeCell ref="AJ72:AL72"/>
    <mergeCell ref="T74:V74"/>
    <mergeCell ref="H73:P73"/>
    <mergeCell ref="Q73:S73"/>
    <mergeCell ref="T73:V73"/>
    <mergeCell ref="H72:P72"/>
    <mergeCell ref="Q72:S72"/>
    <mergeCell ref="T72:V72"/>
    <mergeCell ref="X77:AF77"/>
    <mergeCell ref="AG77:AI77"/>
    <mergeCell ref="AJ77:AL77"/>
    <mergeCell ref="X76:AF76"/>
    <mergeCell ref="AG76:AI76"/>
    <mergeCell ref="AJ76:AL76"/>
    <mergeCell ref="H75:P75"/>
    <mergeCell ref="Q75:S75"/>
    <mergeCell ref="T75:V75"/>
    <mergeCell ref="X75:AF75"/>
    <mergeCell ref="AG75:AI75"/>
    <mergeCell ref="AJ75:AL75"/>
    <mergeCell ref="H77:P77"/>
    <mergeCell ref="Q77:S77"/>
    <mergeCell ref="T77:V77"/>
    <mergeCell ref="H76:P76"/>
    <mergeCell ref="Q76:S76"/>
    <mergeCell ref="T76:V76"/>
    <mergeCell ref="X80:AF80"/>
    <mergeCell ref="AG80:AI80"/>
    <mergeCell ref="AJ80:AL80"/>
    <mergeCell ref="X79:AF79"/>
    <mergeCell ref="AG79:AI79"/>
    <mergeCell ref="AJ79:AL79"/>
    <mergeCell ref="X78:AF78"/>
    <mergeCell ref="AG78:AI78"/>
    <mergeCell ref="AJ78:AL78"/>
    <mergeCell ref="X82:AF82"/>
    <mergeCell ref="AG82:AI82"/>
    <mergeCell ref="AJ82:AL82"/>
    <mergeCell ref="X83:AF83"/>
    <mergeCell ref="AG83:AI83"/>
    <mergeCell ref="AJ83:AL83"/>
    <mergeCell ref="X81:AF81"/>
    <mergeCell ref="AG81:AI81"/>
    <mergeCell ref="AJ81:AL81"/>
    <mergeCell ref="X87:AF87"/>
    <mergeCell ref="AG87:AI87"/>
    <mergeCell ref="AJ87:AL87"/>
    <mergeCell ref="X88:AF88"/>
    <mergeCell ref="AG88:AI88"/>
    <mergeCell ref="AJ88:AL88"/>
    <mergeCell ref="X85:AF85"/>
    <mergeCell ref="AG85:AI85"/>
    <mergeCell ref="AJ85:AL85"/>
    <mergeCell ref="X86:AF86"/>
    <mergeCell ref="AG86:AI86"/>
    <mergeCell ref="AJ86:AL86"/>
    <mergeCell ref="X92:AF92"/>
    <mergeCell ref="AG92:AI92"/>
    <mergeCell ref="AJ92:AL92"/>
    <mergeCell ref="X93:AF93"/>
    <mergeCell ref="AG93:AI93"/>
    <mergeCell ref="AJ93:AL93"/>
    <mergeCell ref="X89:AF89"/>
    <mergeCell ref="AG89:AI89"/>
    <mergeCell ref="AJ89:AL89"/>
    <mergeCell ref="X90:AF90"/>
    <mergeCell ref="AG90:AI90"/>
    <mergeCell ref="AJ90:AL90"/>
    <mergeCell ref="X97:AF97"/>
    <mergeCell ref="AG97:AI97"/>
    <mergeCell ref="AJ97:AL97"/>
    <mergeCell ref="X99:AF99"/>
    <mergeCell ref="AG99:AI99"/>
    <mergeCell ref="AJ99:AL99"/>
    <mergeCell ref="X94:AF94"/>
    <mergeCell ref="AG94:AI94"/>
    <mergeCell ref="AJ94:AL94"/>
    <mergeCell ref="X95:AF95"/>
    <mergeCell ref="AG95:AI95"/>
    <mergeCell ref="AJ95:AL95"/>
    <mergeCell ref="X102:AF102"/>
    <mergeCell ref="AG102:AI102"/>
    <mergeCell ref="AJ102:AL102"/>
    <mergeCell ref="X103:AF103"/>
    <mergeCell ref="AG103:AI103"/>
    <mergeCell ref="AJ103:AL103"/>
    <mergeCell ref="X100:AF100"/>
    <mergeCell ref="AG100:AI100"/>
    <mergeCell ref="AJ100:AL100"/>
    <mergeCell ref="X101:AF101"/>
    <mergeCell ref="AG101:AI101"/>
    <mergeCell ref="AJ101:AL101"/>
    <mergeCell ref="H104:P104"/>
    <mergeCell ref="Q104:S104"/>
    <mergeCell ref="T104:V104"/>
    <mergeCell ref="H105:P105"/>
    <mergeCell ref="Q105:S105"/>
    <mergeCell ref="T105:V105"/>
    <mergeCell ref="X106:AF106"/>
    <mergeCell ref="AG106:AI106"/>
    <mergeCell ref="AJ106:AL106"/>
    <mergeCell ref="H106:P106"/>
    <mergeCell ref="Q106:S106"/>
    <mergeCell ref="T106:V106"/>
    <mergeCell ref="X104:AF104"/>
    <mergeCell ref="AG104:AI104"/>
    <mergeCell ref="AJ104:AL104"/>
    <mergeCell ref="X105:AF105"/>
    <mergeCell ref="AG105:AI105"/>
    <mergeCell ref="AJ105:AL105"/>
    <mergeCell ref="H101:P101"/>
    <mergeCell ref="Q101:S101"/>
    <mergeCell ref="T101:V101"/>
    <mergeCell ref="H102:P102"/>
    <mergeCell ref="Q102:S102"/>
    <mergeCell ref="T102:V102"/>
    <mergeCell ref="H103:P103"/>
    <mergeCell ref="Q103:S103"/>
    <mergeCell ref="T103:V103"/>
    <mergeCell ref="H97:P97"/>
    <mergeCell ref="Q97:S97"/>
    <mergeCell ref="T97:V97"/>
    <mergeCell ref="H99:P99"/>
    <mergeCell ref="Q99:S99"/>
    <mergeCell ref="T99:V99"/>
    <mergeCell ref="H100:P100"/>
    <mergeCell ref="Q100:S100"/>
    <mergeCell ref="T100:V100"/>
    <mergeCell ref="H93:P93"/>
    <mergeCell ref="Q93:S93"/>
    <mergeCell ref="T93:V93"/>
    <mergeCell ref="H94:P94"/>
    <mergeCell ref="Q94:S94"/>
    <mergeCell ref="T94:V94"/>
    <mergeCell ref="H95:P95"/>
    <mergeCell ref="Q95:S95"/>
    <mergeCell ref="T95:V95"/>
    <mergeCell ref="H89:P89"/>
    <mergeCell ref="Q89:S89"/>
    <mergeCell ref="T89:V89"/>
    <mergeCell ref="H90:P90"/>
    <mergeCell ref="Q90:S90"/>
    <mergeCell ref="T90:V90"/>
    <mergeCell ref="H92:P92"/>
    <mergeCell ref="Q92:S92"/>
    <mergeCell ref="T92:V92"/>
    <mergeCell ref="H86:P86"/>
    <mergeCell ref="Q86:S86"/>
    <mergeCell ref="T86:V86"/>
    <mergeCell ref="H87:P87"/>
    <mergeCell ref="Q87:S87"/>
    <mergeCell ref="T87:V87"/>
    <mergeCell ref="H88:P88"/>
    <mergeCell ref="Q88:S88"/>
    <mergeCell ref="T88:V88"/>
    <mergeCell ref="H82:P82"/>
    <mergeCell ref="Q82:S82"/>
    <mergeCell ref="T82:V82"/>
    <mergeCell ref="H83:P83"/>
    <mergeCell ref="Q83:S83"/>
    <mergeCell ref="T83:V83"/>
    <mergeCell ref="H85:P85"/>
    <mergeCell ref="Q85:S85"/>
    <mergeCell ref="T85:V85"/>
    <mergeCell ref="H79:P79"/>
    <mergeCell ref="Q79:S79"/>
    <mergeCell ref="T79:V79"/>
    <mergeCell ref="H78:P78"/>
    <mergeCell ref="Q78:S78"/>
    <mergeCell ref="T78:V78"/>
    <mergeCell ref="H81:P81"/>
    <mergeCell ref="Q81:S81"/>
    <mergeCell ref="T81:V81"/>
    <mergeCell ref="H80:P80"/>
    <mergeCell ref="Q80:S80"/>
    <mergeCell ref="T80:V80"/>
    <mergeCell ref="H63:P63"/>
    <mergeCell ref="Q63:S63"/>
    <mergeCell ref="T63:V63"/>
    <mergeCell ref="H64:P64"/>
    <mergeCell ref="Q64:S64"/>
    <mergeCell ref="T64:V64"/>
    <mergeCell ref="T71:V71"/>
    <mergeCell ref="H70:P70"/>
    <mergeCell ref="Q70:S70"/>
    <mergeCell ref="T70:V70"/>
    <mergeCell ref="H65:P65"/>
    <mergeCell ref="Q65:S65"/>
    <mergeCell ref="T65:V65"/>
    <mergeCell ref="H67:P67"/>
    <mergeCell ref="Q67:S67"/>
    <mergeCell ref="T67:V67"/>
    <mergeCell ref="H71:P71"/>
    <mergeCell ref="Q71:S71"/>
    <mergeCell ref="H69:V69"/>
    <mergeCell ref="H60:P60"/>
    <mergeCell ref="Q60:S60"/>
    <mergeCell ref="T60:V60"/>
    <mergeCell ref="H61:P61"/>
    <mergeCell ref="Q61:S61"/>
    <mergeCell ref="T61:V61"/>
    <mergeCell ref="H62:P62"/>
    <mergeCell ref="Q62:S62"/>
    <mergeCell ref="T62:V62"/>
    <mergeCell ref="H56:P56"/>
    <mergeCell ref="Q56:S56"/>
    <mergeCell ref="T56:V56"/>
    <mergeCell ref="H58:P58"/>
    <mergeCell ref="Q58:S58"/>
    <mergeCell ref="T58:V58"/>
    <mergeCell ref="H59:P59"/>
    <mergeCell ref="Q59:S59"/>
    <mergeCell ref="T59:V59"/>
    <mergeCell ref="H52:P52"/>
    <mergeCell ref="Q52:S52"/>
    <mergeCell ref="T52:V52"/>
    <mergeCell ref="H53:P53"/>
    <mergeCell ref="Q53:S53"/>
    <mergeCell ref="T53:V53"/>
    <mergeCell ref="H55:P55"/>
    <mergeCell ref="Q55:S55"/>
    <mergeCell ref="T55:V55"/>
    <mergeCell ref="H47:P47"/>
    <mergeCell ref="Q47:S47"/>
    <mergeCell ref="T47:V47"/>
    <mergeCell ref="H49:P49"/>
    <mergeCell ref="Q49:S49"/>
    <mergeCell ref="T49:V49"/>
    <mergeCell ref="H50:P50"/>
    <mergeCell ref="Q50:S50"/>
    <mergeCell ref="T50:V50"/>
    <mergeCell ref="H43:P43"/>
    <mergeCell ref="Q43:S43"/>
    <mergeCell ref="T43:V43"/>
    <mergeCell ref="H44:P44"/>
    <mergeCell ref="Q44:S44"/>
    <mergeCell ref="T44:V44"/>
    <mergeCell ref="H45:P45"/>
    <mergeCell ref="Q45:S45"/>
    <mergeCell ref="T45:V45"/>
    <mergeCell ref="H41:P41"/>
    <mergeCell ref="Q41:S41"/>
    <mergeCell ref="T41:V41"/>
    <mergeCell ref="H39:V39"/>
    <mergeCell ref="H40:P40"/>
    <mergeCell ref="Q40:S40"/>
    <mergeCell ref="T40:V40"/>
    <mergeCell ref="H42:P42"/>
    <mergeCell ref="Q42:S42"/>
    <mergeCell ref="T42:V42"/>
    <mergeCell ref="H36:P36"/>
    <mergeCell ref="Q36:S36"/>
    <mergeCell ref="T36:V36"/>
    <mergeCell ref="H35:P35"/>
    <mergeCell ref="Q35:S35"/>
    <mergeCell ref="T35:V35"/>
    <mergeCell ref="H38:P38"/>
    <mergeCell ref="Q38:S38"/>
    <mergeCell ref="T38:V38"/>
    <mergeCell ref="H37:P37"/>
    <mergeCell ref="Q37:S37"/>
    <mergeCell ref="T37:V37"/>
    <mergeCell ref="H33:V33"/>
    <mergeCell ref="H34:P34"/>
    <mergeCell ref="Q34:S34"/>
    <mergeCell ref="T34:V34"/>
    <mergeCell ref="H32:P32"/>
    <mergeCell ref="Q32:S32"/>
    <mergeCell ref="T32:V32"/>
    <mergeCell ref="Q25:S25"/>
    <mergeCell ref="T25:V25"/>
    <mergeCell ref="T22:V22"/>
    <mergeCell ref="Q27:S27"/>
    <mergeCell ref="T27:V27"/>
    <mergeCell ref="H26:P26"/>
    <mergeCell ref="Q26:S26"/>
    <mergeCell ref="T26:V26"/>
    <mergeCell ref="H23:P23"/>
    <mergeCell ref="Q23:S23"/>
    <mergeCell ref="T23:V23"/>
    <mergeCell ref="H24:V24"/>
    <mergeCell ref="H25:P25"/>
    <mergeCell ref="AN106:AV106"/>
    <mergeCell ref="AN102:AV102"/>
    <mergeCell ref="AN94:AV94"/>
    <mergeCell ref="AN87:AV87"/>
    <mergeCell ref="AN81:AV81"/>
    <mergeCell ref="H10:P10"/>
    <mergeCell ref="Q10:S10"/>
    <mergeCell ref="T10:V10"/>
    <mergeCell ref="H8:V8"/>
    <mergeCell ref="H9:P9"/>
    <mergeCell ref="Q9:S9"/>
    <mergeCell ref="T9:V9"/>
    <mergeCell ref="H12:P12"/>
    <mergeCell ref="Q12:S12"/>
    <mergeCell ref="T12:V12"/>
    <mergeCell ref="H11:P11"/>
    <mergeCell ref="Q11:S11"/>
    <mergeCell ref="T11:V11"/>
    <mergeCell ref="H14:P14"/>
    <mergeCell ref="Q14:S14"/>
    <mergeCell ref="T14:V14"/>
    <mergeCell ref="H13:P13"/>
    <mergeCell ref="Q13:S13"/>
    <mergeCell ref="T13:V13"/>
    <mergeCell ref="AN101:AV101"/>
    <mergeCell ref="AW101:AY101"/>
    <mergeCell ref="AN95:AV95"/>
    <mergeCell ref="AW95:AY95"/>
    <mergeCell ref="AZ95:BB95"/>
    <mergeCell ref="AN92:AV92"/>
    <mergeCell ref="H1:V1"/>
    <mergeCell ref="Q6:S6"/>
    <mergeCell ref="T6:V6"/>
    <mergeCell ref="H2:V2"/>
    <mergeCell ref="H3:V3"/>
    <mergeCell ref="Q19:S19"/>
    <mergeCell ref="T19:V19"/>
    <mergeCell ref="H16:P16"/>
    <mergeCell ref="Q16:S16"/>
    <mergeCell ref="T16:V16"/>
    <mergeCell ref="H17:P17"/>
    <mergeCell ref="Q17:S17"/>
    <mergeCell ref="T17:V17"/>
    <mergeCell ref="H21:P21"/>
    <mergeCell ref="Q21:S21"/>
    <mergeCell ref="T21:V21"/>
    <mergeCell ref="H22:P22"/>
    <mergeCell ref="Q22:S22"/>
    <mergeCell ref="AZ101:BB101"/>
    <mergeCell ref="AN97:AV97"/>
    <mergeCell ref="AW97:AY97"/>
    <mergeCell ref="AZ97:BB97"/>
    <mergeCell ref="AN99:AV99"/>
    <mergeCell ref="AW99:AY99"/>
    <mergeCell ref="AZ99:BB99"/>
    <mergeCell ref="AZ93:BB93"/>
    <mergeCell ref="AW106:AY106"/>
    <mergeCell ref="AZ106:BB106"/>
    <mergeCell ref="AN104:AV104"/>
    <mergeCell ref="AW104:AY104"/>
    <mergeCell ref="AZ104:BB104"/>
    <mergeCell ref="AN105:AV105"/>
    <mergeCell ref="AW105:AY105"/>
    <mergeCell ref="AZ105:BB105"/>
    <mergeCell ref="AW102:AY102"/>
    <mergeCell ref="AZ102:BB102"/>
    <mergeCell ref="AN103:AV103"/>
    <mergeCell ref="AW103:AY103"/>
    <mergeCell ref="AZ103:BB103"/>
    <mergeCell ref="AN100:AV100"/>
    <mergeCell ref="AW100:AY100"/>
    <mergeCell ref="AZ100:BB100"/>
    <mergeCell ref="AN89:AV89"/>
    <mergeCell ref="AW89:AY89"/>
    <mergeCell ref="AZ89:BB89"/>
    <mergeCell ref="AN90:AV90"/>
    <mergeCell ref="AW90:AY90"/>
    <mergeCell ref="AZ90:BB90"/>
    <mergeCell ref="AW94:AY94"/>
    <mergeCell ref="AZ94:BB94"/>
    <mergeCell ref="AW87:AY87"/>
    <mergeCell ref="AZ87:BB87"/>
    <mergeCell ref="AN88:AV88"/>
    <mergeCell ref="AW88:AY88"/>
    <mergeCell ref="AZ88:BB88"/>
    <mergeCell ref="AW92:AY92"/>
    <mergeCell ref="AZ92:BB92"/>
    <mergeCell ref="AN93:AV93"/>
    <mergeCell ref="AW93:AY93"/>
    <mergeCell ref="AN79:AV79"/>
    <mergeCell ref="AW79:AY79"/>
    <mergeCell ref="AZ79:BB79"/>
    <mergeCell ref="AZ86:BB86"/>
    <mergeCell ref="AN82:AV82"/>
    <mergeCell ref="AW82:AY82"/>
    <mergeCell ref="AZ82:BB82"/>
    <mergeCell ref="AN83:AV83"/>
    <mergeCell ref="AW83:AY83"/>
    <mergeCell ref="AZ83:BB83"/>
    <mergeCell ref="AN85:AV85"/>
    <mergeCell ref="AW85:AY85"/>
    <mergeCell ref="AZ85:BB85"/>
    <mergeCell ref="AN86:AV86"/>
    <mergeCell ref="AW86:AY86"/>
    <mergeCell ref="AW81:AY81"/>
    <mergeCell ref="AZ81:BB81"/>
    <mergeCell ref="AN80:AV80"/>
    <mergeCell ref="AW80:AY80"/>
    <mergeCell ref="AZ80:BB80"/>
    <mergeCell ref="AN76:AV76"/>
    <mergeCell ref="AW76:AY76"/>
    <mergeCell ref="AZ76:BB76"/>
    <mergeCell ref="AN75:AV75"/>
    <mergeCell ref="AW75:AY75"/>
    <mergeCell ref="AZ75:BB75"/>
    <mergeCell ref="AN78:AV78"/>
    <mergeCell ref="AW78:AY78"/>
    <mergeCell ref="AZ78:BB78"/>
    <mergeCell ref="AN77:AV77"/>
    <mergeCell ref="AW77:AY77"/>
    <mergeCell ref="AZ77:BB77"/>
    <mergeCell ref="AN72:AV72"/>
    <mergeCell ref="AW72:AY72"/>
    <mergeCell ref="AZ72:BB72"/>
    <mergeCell ref="AN71:AV71"/>
    <mergeCell ref="AW71:AY71"/>
    <mergeCell ref="AZ71:BB71"/>
    <mergeCell ref="AN74:AV74"/>
    <mergeCell ref="AW74:AY74"/>
    <mergeCell ref="AZ74:BB74"/>
    <mergeCell ref="AN73:AV73"/>
    <mergeCell ref="AW73:AY73"/>
    <mergeCell ref="AZ73:BB73"/>
    <mergeCell ref="AN70:AV70"/>
    <mergeCell ref="AW70:AY70"/>
    <mergeCell ref="AZ70:BB70"/>
    <mergeCell ref="AN65:AV65"/>
    <mergeCell ref="AW65:AY65"/>
    <mergeCell ref="AZ65:BB65"/>
    <mergeCell ref="AN67:AV67"/>
    <mergeCell ref="AW67:AY67"/>
    <mergeCell ref="AZ67:BB67"/>
    <mergeCell ref="AN69:BB69"/>
    <mergeCell ref="AN62:AV62"/>
    <mergeCell ref="AW62:AY62"/>
    <mergeCell ref="AZ62:BB62"/>
    <mergeCell ref="AN63:AV63"/>
    <mergeCell ref="AW63:AY63"/>
    <mergeCell ref="AZ63:BB63"/>
    <mergeCell ref="AN64:AV64"/>
    <mergeCell ref="AW64:AY64"/>
    <mergeCell ref="AZ64:BB64"/>
    <mergeCell ref="AN59:AV59"/>
    <mergeCell ref="AW59:AY59"/>
    <mergeCell ref="AZ59:BB59"/>
    <mergeCell ref="AN60:AV60"/>
    <mergeCell ref="AW60:AY60"/>
    <mergeCell ref="AZ60:BB60"/>
    <mergeCell ref="AN61:AV61"/>
    <mergeCell ref="AW61:AY61"/>
    <mergeCell ref="AZ61:BB61"/>
    <mergeCell ref="AN55:AV55"/>
    <mergeCell ref="AW55:AY55"/>
    <mergeCell ref="AZ55:BB55"/>
    <mergeCell ref="AN56:AV56"/>
    <mergeCell ref="AW56:AY56"/>
    <mergeCell ref="AZ56:BB56"/>
    <mergeCell ref="AN58:AV58"/>
    <mergeCell ref="AW58:AY58"/>
    <mergeCell ref="AZ58:BB58"/>
    <mergeCell ref="AN50:AV50"/>
    <mergeCell ref="AW50:AY50"/>
    <mergeCell ref="AZ50:BB50"/>
    <mergeCell ref="AN52:AV52"/>
    <mergeCell ref="AW52:AY52"/>
    <mergeCell ref="AZ52:BB52"/>
    <mergeCell ref="AN53:AV53"/>
    <mergeCell ref="AW53:AY53"/>
    <mergeCell ref="AZ53:BB53"/>
    <mergeCell ref="AN45:AV45"/>
    <mergeCell ref="AW45:AY45"/>
    <mergeCell ref="AZ45:BB45"/>
    <mergeCell ref="AN47:AV47"/>
    <mergeCell ref="AW47:AY47"/>
    <mergeCell ref="AZ47:BB47"/>
    <mergeCell ref="AN49:AV49"/>
    <mergeCell ref="AW49:AY49"/>
    <mergeCell ref="AZ49:BB49"/>
    <mergeCell ref="AN42:AV42"/>
    <mergeCell ref="AW42:AY42"/>
    <mergeCell ref="AZ42:BB42"/>
    <mergeCell ref="AN43:AV43"/>
    <mergeCell ref="AW43:AY43"/>
    <mergeCell ref="AZ43:BB43"/>
    <mergeCell ref="AN44:AV44"/>
    <mergeCell ref="AW44:AY44"/>
    <mergeCell ref="AZ44:BB44"/>
    <mergeCell ref="AN38:AV38"/>
    <mergeCell ref="AW38:AY38"/>
    <mergeCell ref="AZ38:BB38"/>
    <mergeCell ref="AN37:AV37"/>
    <mergeCell ref="AW37:AY37"/>
    <mergeCell ref="AZ37:BB37"/>
    <mergeCell ref="AN41:AV41"/>
    <mergeCell ref="AW41:AY41"/>
    <mergeCell ref="AZ41:BB41"/>
    <mergeCell ref="AN39:BB39"/>
    <mergeCell ref="AN40:AV40"/>
    <mergeCell ref="AW40:AY40"/>
    <mergeCell ref="AZ40:BB40"/>
    <mergeCell ref="AN33:BB33"/>
    <mergeCell ref="AN34:AV34"/>
    <mergeCell ref="AW34:AY34"/>
    <mergeCell ref="AZ34:BB34"/>
    <mergeCell ref="AN32:AV32"/>
    <mergeCell ref="AW32:AY32"/>
    <mergeCell ref="AZ32:BB32"/>
    <mergeCell ref="AN36:AV36"/>
    <mergeCell ref="AW36:AY36"/>
    <mergeCell ref="AZ36:BB36"/>
    <mergeCell ref="AN35:AV35"/>
    <mergeCell ref="AW35:AY35"/>
    <mergeCell ref="AZ35:BB35"/>
    <mergeCell ref="AN28:AV28"/>
    <mergeCell ref="AW28:AY28"/>
    <mergeCell ref="AZ28:BB28"/>
    <mergeCell ref="AN27:AV27"/>
    <mergeCell ref="AW27:AY27"/>
    <mergeCell ref="AZ27:BB27"/>
    <mergeCell ref="AN30:AV30"/>
    <mergeCell ref="AW30:AY30"/>
    <mergeCell ref="AZ30:BB30"/>
    <mergeCell ref="AN29:AV29"/>
    <mergeCell ref="AW29:AY29"/>
    <mergeCell ref="AZ29:BB29"/>
    <mergeCell ref="AN21:AV21"/>
    <mergeCell ref="AW21:AY21"/>
    <mergeCell ref="AZ21:BB21"/>
    <mergeCell ref="AN22:AV22"/>
    <mergeCell ref="AW22:AY22"/>
    <mergeCell ref="AZ22:BB22"/>
    <mergeCell ref="AN26:AV26"/>
    <mergeCell ref="AW26:AY26"/>
    <mergeCell ref="AZ26:BB26"/>
    <mergeCell ref="AN23:AV23"/>
    <mergeCell ref="AW23:AY23"/>
    <mergeCell ref="AZ23:BB23"/>
    <mergeCell ref="AN24:BB24"/>
    <mergeCell ref="AN25:AV25"/>
    <mergeCell ref="AW25:AY25"/>
    <mergeCell ref="AZ25:BB25"/>
    <mergeCell ref="AN16:AV16"/>
    <mergeCell ref="AW16:AY16"/>
    <mergeCell ref="AZ16:BB16"/>
    <mergeCell ref="AN17:AV17"/>
    <mergeCell ref="AW17:AY17"/>
    <mergeCell ref="AZ17:BB17"/>
    <mergeCell ref="AN20:AV20"/>
    <mergeCell ref="AW20:AY20"/>
    <mergeCell ref="AZ20:BB20"/>
    <mergeCell ref="AN18:BB18"/>
    <mergeCell ref="AN19:AV19"/>
    <mergeCell ref="AW19:AY19"/>
    <mergeCell ref="AZ19:BB19"/>
    <mergeCell ref="AN12:AV12"/>
    <mergeCell ref="AW12:AY12"/>
    <mergeCell ref="AZ12:BB12"/>
    <mergeCell ref="AN11:AV11"/>
    <mergeCell ref="AW11:AY11"/>
    <mergeCell ref="AZ11:BB11"/>
    <mergeCell ref="AN14:AV14"/>
    <mergeCell ref="AW14:AY14"/>
    <mergeCell ref="AZ14:BB14"/>
    <mergeCell ref="AN13:AV13"/>
    <mergeCell ref="AW13:AY13"/>
    <mergeCell ref="AZ13:BB13"/>
    <mergeCell ref="AN1:BB1"/>
    <mergeCell ref="AN2:BB2"/>
    <mergeCell ref="AN3:BB3"/>
    <mergeCell ref="AN10:AV10"/>
    <mergeCell ref="AW10:AY10"/>
    <mergeCell ref="AZ10:BB10"/>
    <mergeCell ref="AN8:BB8"/>
    <mergeCell ref="AN9:AV9"/>
    <mergeCell ref="AW9:AY9"/>
    <mergeCell ref="AZ9:BB9"/>
    <mergeCell ref="AW6:AY6"/>
    <mergeCell ref="AZ6:BB6"/>
  </mergeCells>
  <conditionalFormatting sqref="H2:V2">
    <cfRule type="containsText" dxfId="4" priority="5" operator="containsText" text="▲">
      <formula>NOT(ISERROR(SEARCH("▲",H2)))</formula>
    </cfRule>
  </conditionalFormatting>
  <conditionalFormatting sqref="X2:AL2">
    <cfRule type="containsText" dxfId="2" priority="3" operator="containsText" text="▲">
      <formula>NOT(ISERROR(SEARCH("▲",X2)))</formula>
    </cfRule>
  </conditionalFormatting>
  <conditionalFormatting sqref="AN2:BB2">
    <cfRule type="containsText" dxfId="0" priority="1" operator="containsText" text="▲">
      <formula>NOT(ISERROR(SEARCH("▲",AN2)))</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6" operator="containsText" id="{3CAC75BB-079F-4EF9-9C15-87A69378C863}">
            <xm:f>NOT(ISERROR(SEARCH("Select",H1)))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H1</xm:sqref>
        </x14:conditionalFormatting>
        <x14:conditionalFormatting xmlns:xm="http://schemas.microsoft.com/office/excel/2006/main">
          <x14:cfRule type="containsText" priority="4" operator="containsText" id="{F0FF1F70-4FF8-4647-915D-91E733BBEAFB}">
            <xm:f>NOT(ISERROR(SEARCH("Select",X1)))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X1</xm:sqref>
        </x14:conditionalFormatting>
        <x14:conditionalFormatting xmlns:xm="http://schemas.microsoft.com/office/excel/2006/main">
          <x14:cfRule type="containsText" priority="2" operator="containsText" id="{03081A5F-738A-4373-8011-36FBED1F0C6E}">
            <xm:f>NOT(ISERROR(SEARCH("Select",AN1)))</xm:f>
            <xm:f>"Select"</xm:f>
            <x14:dxf>
              <font>
                <b/>
                <i val="0"/>
                <color theme="0"/>
              </font>
              <fill>
                <patternFill>
                  <bgColor rgb="FFAF211A"/>
                </patternFill>
              </fill>
              <border>
                <left style="thin">
                  <color rgb="FFAF211A"/>
                </left>
                <right style="thin">
                  <color rgb="FFAF211A"/>
                </right>
                <top style="thin">
                  <color rgb="FFAF211A"/>
                </top>
                <bottom style="thin">
                  <color rgb="FFAF211A"/>
                </bottom>
              </border>
            </x14:dxf>
          </x14:cfRule>
          <xm:sqref>AN1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22AD0FC-1518-4F48-9897-5CD930390C81}">
          <x14:formula1>
            <xm:f>Hidden!$A$2:$A$80</xm:f>
          </x14:formula1>
          <xm:sqref>X1 H1 AN1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05696-7388-488E-AE21-BE7EAAB44815}">
  <sheetPr codeName="Sheet13">
    <tabColor theme="6"/>
  </sheetPr>
  <dimension ref="A1:BE85"/>
  <sheetViews>
    <sheetView zoomScale="80" zoomScaleNormal="80" workbookViewId="0"/>
  </sheetViews>
  <sheetFormatPr defaultColWidth="8.6640625" defaultRowHeight="15.6" x14ac:dyDescent="0.3"/>
  <cols>
    <col min="1" max="57" width="6.6640625" style="8" customWidth="1"/>
    <col min="58" max="16384" width="8.6640625" style="8"/>
  </cols>
  <sheetData>
    <row r="1" spans="1:57" ht="30" customHeight="1" x14ac:dyDescent="0.3">
      <c r="A1" s="17"/>
      <c r="B1" s="17"/>
      <c r="C1" s="17"/>
      <c r="D1" s="17"/>
      <c r="E1" s="17"/>
      <c r="F1" s="17"/>
      <c r="G1" s="17"/>
      <c r="H1" s="152" t="s">
        <v>1114</v>
      </c>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7"/>
      <c r="BE1" s="17"/>
    </row>
    <row r="2" spans="1:57" ht="30" customHeight="1" x14ac:dyDescent="0.3">
      <c r="A2" s="17"/>
      <c r="B2" s="17"/>
      <c r="C2" s="17"/>
      <c r="D2" s="17"/>
      <c r="E2" s="17"/>
      <c r="F2" s="17"/>
      <c r="G2" s="17"/>
      <c r="H2" s="152"/>
      <c r="I2" s="152"/>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7"/>
      <c r="BE2" s="17"/>
    </row>
    <row r="3" spans="1:57" ht="30" customHeight="1" x14ac:dyDescent="0.3">
      <c r="A3" s="17"/>
      <c r="B3" s="17"/>
      <c r="C3" s="17"/>
      <c r="D3" s="17"/>
      <c r="E3" s="17"/>
      <c r="F3" s="17"/>
      <c r="G3" s="17"/>
      <c r="H3" s="568" t="s">
        <v>1019</v>
      </c>
      <c r="I3" s="569"/>
      <c r="J3" s="569"/>
      <c r="K3" s="569"/>
      <c r="L3" s="569"/>
      <c r="M3" s="569"/>
      <c r="N3" s="569"/>
      <c r="O3" s="569"/>
      <c r="P3" s="569"/>
      <c r="Q3" s="569"/>
      <c r="R3" s="569"/>
      <c r="S3" s="569"/>
      <c r="T3" s="569"/>
      <c r="U3" s="569"/>
      <c r="V3" s="569"/>
      <c r="W3" s="569"/>
      <c r="X3" s="569"/>
      <c r="Y3" s="569"/>
      <c r="Z3" s="569"/>
      <c r="AA3" s="569"/>
      <c r="AB3" s="569"/>
      <c r="AC3" s="569"/>
      <c r="AD3" s="569"/>
      <c r="AE3" s="569"/>
      <c r="AF3" s="569"/>
      <c r="AG3" s="569"/>
      <c r="AH3" s="569"/>
      <c r="AI3" s="569"/>
      <c r="AJ3" s="569"/>
      <c r="AK3" s="569"/>
      <c r="AL3" s="569"/>
      <c r="AM3" s="569"/>
      <c r="AN3" s="569"/>
      <c r="AO3" s="569"/>
      <c r="AP3" s="569"/>
      <c r="AQ3" s="569"/>
      <c r="AR3" s="569"/>
      <c r="AS3" s="569"/>
      <c r="AT3" s="569"/>
      <c r="AU3" s="569"/>
      <c r="AV3" s="569"/>
      <c r="AW3" s="569"/>
      <c r="AX3" s="569"/>
      <c r="AY3" s="569"/>
      <c r="AZ3" s="569"/>
      <c r="BA3" s="569"/>
      <c r="BB3" s="569"/>
      <c r="BC3" s="570"/>
      <c r="BD3" s="17"/>
      <c r="BE3" s="17"/>
    </row>
    <row r="4" spans="1:57" ht="30" customHeight="1" x14ac:dyDescent="0.3">
      <c r="A4" s="17"/>
      <c r="B4" s="17"/>
      <c r="C4" s="17"/>
      <c r="D4" s="17"/>
      <c r="E4" s="17"/>
      <c r="F4" s="17"/>
      <c r="G4" s="17"/>
      <c r="H4" s="571" t="s">
        <v>1209</v>
      </c>
      <c r="I4" s="571"/>
      <c r="J4" s="571"/>
      <c r="K4" s="571"/>
      <c r="L4" s="571"/>
      <c r="M4" s="571"/>
      <c r="N4" s="571"/>
      <c r="O4" s="571"/>
      <c r="P4" s="571"/>
      <c r="Q4" s="571"/>
      <c r="R4" s="571"/>
      <c r="S4" s="571"/>
      <c r="T4" s="571"/>
      <c r="U4" s="571"/>
      <c r="V4" s="571"/>
      <c r="W4" s="571"/>
      <c r="X4" s="571"/>
      <c r="Y4" s="571"/>
      <c r="Z4" s="571"/>
      <c r="AA4" s="571"/>
      <c r="AB4" s="571"/>
      <c r="AC4" s="571"/>
      <c r="AD4" s="571"/>
      <c r="AE4" s="571"/>
      <c r="AF4" s="571"/>
      <c r="AG4" s="571"/>
      <c r="AH4" s="571"/>
      <c r="AI4" s="571"/>
      <c r="AJ4" s="571"/>
      <c r="AK4" s="571"/>
      <c r="AL4" s="571"/>
      <c r="AM4" s="571"/>
      <c r="AN4" s="571"/>
      <c r="AO4" s="571"/>
      <c r="AP4" s="571"/>
      <c r="AQ4" s="571"/>
      <c r="AR4" s="571"/>
      <c r="AS4" s="571"/>
      <c r="AT4" s="571"/>
      <c r="AU4" s="571"/>
      <c r="AV4" s="571"/>
      <c r="AW4" s="571"/>
      <c r="AX4" s="571"/>
      <c r="AY4" s="571"/>
      <c r="AZ4" s="571"/>
      <c r="BA4" s="571"/>
      <c r="BB4" s="571"/>
      <c r="BC4" s="571"/>
      <c r="BD4" s="17"/>
      <c r="BE4" s="17"/>
    </row>
    <row r="5" spans="1:57" ht="30" customHeight="1" x14ac:dyDescent="0.3">
      <c r="A5" s="17"/>
      <c r="B5" s="17"/>
      <c r="C5" s="17"/>
      <c r="D5" s="17"/>
      <c r="E5" s="17"/>
      <c r="F5" s="17"/>
      <c r="G5" s="17"/>
      <c r="H5" s="572"/>
      <c r="I5" s="572"/>
      <c r="J5" s="572"/>
      <c r="K5" s="572"/>
      <c r="L5" s="572"/>
      <c r="M5" s="572"/>
      <c r="N5" s="572"/>
      <c r="O5" s="572"/>
      <c r="P5" s="572"/>
      <c r="Q5" s="572"/>
      <c r="R5" s="572"/>
      <c r="S5" s="572"/>
      <c r="T5" s="572"/>
      <c r="U5" s="572"/>
      <c r="V5" s="572"/>
      <c r="W5" s="572"/>
      <c r="X5" s="572"/>
      <c r="Y5" s="572"/>
      <c r="Z5" s="572"/>
      <c r="AA5" s="572"/>
      <c r="AB5" s="572"/>
      <c r="AC5" s="572"/>
      <c r="AD5" s="572"/>
      <c r="AE5" s="572"/>
      <c r="AF5" s="572"/>
      <c r="AG5" s="572"/>
      <c r="AH5" s="572"/>
      <c r="AI5" s="572"/>
      <c r="AJ5" s="572"/>
      <c r="AK5" s="572"/>
      <c r="AL5" s="572"/>
      <c r="AM5" s="572"/>
      <c r="AN5" s="572"/>
      <c r="AO5" s="572"/>
      <c r="AP5" s="572"/>
      <c r="AQ5" s="572"/>
      <c r="AR5" s="572"/>
      <c r="AS5" s="572"/>
      <c r="AT5" s="572"/>
      <c r="AU5" s="572"/>
      <c r="AV5" s="572"/>
      <c r="AW5" s="572"/>
      <c r="AX5" s="572"/>
      <c r="AY5" s="572"/>
      <c r="AZ5" s="572"/>
      <c r="BA5" s="572"/>
      <c r="BB5" s="572"/>
      <c r="BC5" s="572"/>
      <c r="BD5" s="17"/>
      <c r="BE5" s="17"/>
    </row>
    <row r="6" spans="1:57" ht="30" customHeight="1" x14ac:dyDescent="0.3">
      <c r="A6" s="17"/>
      <c r="B6" s="17"/>
      <c r="C6" s="17"/>
      <c r="D6" s="17"/>
      <c r="E6" s="17"/>
      <c r="F6" s="17"/>
      <c r="G6" s="17"/>
      <c r="H6" s="567" t="s">
        <v>116</v>
      </c>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7"/>
      <c r="AY6" s="567"/>
      <c r="AZ6" s="567"/>
      <c r="BA6" s="567"/>
      <c r="BB6" s="567"/>
      <c r="BC6" s="567"/>
      <c r="BD6" s="17"/>
      <c r="BE6" s="17"/>
    </row>
    <row r="7" spans="1:57" ht="30" customHeight="1" x14ac:dyDescent="0.4">
      <c r="A7" s="17"/>
      <c r="B7" s="17"/>
      <c r="C7" s="17"/>
      <c r="D7" s="17"/>
      <c r="E7" s="17"/>
      <c r="F7" s="17"/>
      <c r="G7" s="17"/>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7"/>
      <c r="BE7" s="17"/>
    </row>
    <row r="8" spans="1:57" ht="30" customHeight="1" x14ac:dyDescent="0.3">
      <c r="A8" s="17"/>
      <c r="B8" s="17"/>
      <c r="C8" s="17"/>
      <c r="D8" s="17"/>
      <c r="E8" s="17"/>
      <c r="F8" s="17"/>
      <c r="G8" s="17"/>
      <c r="H8" s="601" t="s">
        <v>0</v>
      </c>
      <c r="I8" s="602"/>
      <c r="J8" s="602"/>
      <c r="K8" s="602"/>
      <c r="L8" s="602"/>
      <c r="M8" s="602"/>
      <c r="N8" s="602"/>
      <c r="O8" s="602"/>
      <c r="P8" s="603"/>
      <c r="Q8" s="634" t="s">
        <v>1037</v>
      </c>
      <c r="R8" s="635"/>
      <c r="S8" s="636"/>
      <c r="T8" s="640" t="s">
        <v>1042</v>
      </c>
      <c r="U8" s="627"/>
      <c r="V8" s="627"/>
      <c r="W8" s="627"/>
      <c r="X8" s="627"/>
      <c r="Y8" s="628"/>
      <c r="Z8" s="626" t="s">
        <v>1043</v>
      </c>
      <c r="AA8" s="627"/>
      <c r="AB8" s="627"/>
      <c r="AC8" s="627"/>
      <c r="AD8" s="627"/>
      <c r="AE8" s="628"/>
      <c r="AF8" s="626" t="s">
        <v>1044</v>
      </c>
      <c r="AG8" s="627"/>
      <c r="AH8" s="627"/>
      <c r="AI8" s="627"/>
      <c r="AJ8" s="627"/>
      <c r="AK8" s="628"/>
      <c r="AL8" s="626" t="s">
        <v>1045</v>
      </c>
      <c r="AM8" s="627"/>
      <c r="AN8" s="627"/>
      <c r="AO8" s="627"/>
      <c r="AP8" s="627"/>
      <c r="AQ8" s="628"/>
      <c r="AR8" s="626" t="s">
        <v>1046</v>
      </c>
      <c r="AS8" s="627"/>
      <c r="AT8" s="627"/>
      <c r="AU8" s="627"/>
      <c r="AV8" s="627"/>
      <c r="AW8" s="628"/>
      <c r="AX8" s="626" t="s">
        <v>1047</v>
      </c>
      <c r="AY8" s="627"/>
      <c r="AZ8" s="627"/>
      <c r="BA8" s="627"/>
      <c r="BB8" s="627"/>
      <c r="BC8" s="627"/>
      <c r="BD8" s="17"/>
      <c r="BE8" s="17"/>
    </row>
    <row r="9" spans="1:57" ht="30" customHeight="1" x14ac:dyDescent="0.3">
      <c r="A9" s="17"/>
      <c r="B9" s="17"/>
      <c r="C9" s="17"/>
      <c r="D9" s="17"/>
      <c r="E9" s="17"/>
      <c r="F9" s="17"/>
      <c r="G9" s="17"/>
      <c r="H9" s="604"/>
      <c r="I9" s="605"/>
      <c r="J9" s="605"/>
      <c r="K9" s="605"/>
      <c r="L9" s="605"/>
      <c r="M9" s="605"/>
      <c r="N9" s="605"/>
      <c r="O9" s="605"/>
      <c r="P9" s="606"/>
      <c r="Q9" s="637"/>
      <c r="R9" s="638"/>
      <c r="S9" s="639"/>
      <c r="T9" s="644" t="s">
        <v>985</v>
      </c>
      <c r="U9" s="625"/>
      <c r="V9" s="625"/>
      <c r="W9" s="645" t="s">
        <v>982</v>
      </c>
      <c r="X9" s="645"/>
      <c r="Y9" s="646"/>
      <c r="Z9" s="630" t="s">
        <v>985</v>
      </c>
      <c r="AA9" s="625"/>
      <c r="AB9" s="625"/>
      <c r="AC9" s="625" t="s">
        <v>982</v>
      </c>
      <c r="AD9" s="625"/>
      <c r="AE9" s="629"/>
      <c r="AF9" s="630" t="s">
        <v>985</v>
      </c>
      <c r="AG9" s="625"/>
      <c r="AH9" s="625"/>
      <c r="AI9" s="625" t="s">
        <v>982</v>
      </c>
      <c r="AJ9" s="625"/>
      <c r="AK9" s="629"/>
      <c r="AL9" s="630" t="s">
        <v>985</v>
      </c>
      <c r="AM9" s="625"/>
      <c r="AN9" s="625"/>
      <c r="AO9" s="625" t="s">
        <v>982</v>
      </c>
      <c r="AP9" s="625"/>
      <c r="AQ9" s="629"/>
      <c r="AR9" s="630" t="s">
        <v>985</v>
      </c>
      <c r="AS9" s="625"/>
      <c r="AT9" s="625"/>
      <c r="AU9" s="625" t="s">
        <v>982</v>
      </c>
      <c r="AV9" s="625"/>
      <c r="AW9" s="629"/>
      <c r="AX9" s="630" t="s">
        <v>985</v>
      </c>
      <c r="AY9" s="625"/>
      <c r="AZ9" s="625"/>
      <c r="BA9" s="625" t="s">
        <v>982</v>
      </c>
      <c r="BB9" s="625"/>
      <c r="BC9" s="625"/>
      <c r="BD9" s="17"/>
      <c r="BE9" s="17"/>
    </row>
    <row r="10" spans="1:57" ht="30" customHeight="1" x14ac:dyDescent="0.3">
      <c r="A10" s="17"/>
      <c r="B10" s="17"/>
      <c r="C10" s="17"/>
      <c r="D10" s="17"/>
      <c r="E10" s="17"/>
      <c r="F10" s="17"/>
      <c r="G10" s="17"/>
      <c r="H10" s="607" t="s">
        <v>28</v>
      </c>
      <c r="I10" s="608"/>
      <c r="J10" s="608"/>
      <c r="K10" s="608"/>
      <c r="L10" s="608"/>
      <c r="M10" s="608"/>
      <c r="N10" s="608"/>
      <c r="O10" s="608"/>
      <c r="P10" s="609"/>
      <c r="Q10" s="641">
        <f>SUMIFS('FTSE | FTFE'!$P$8:$P$77,'FTSE | FTFE'!$H$8:$H$77,H10)</f>
        <v>2551</v>
      </c>
      <c r="R10" s="642"/>
      <c r="S10" s="643"/>
      <c r="T10" s="610">
        <f>SUMIFS(Input[State Revenue], Input[Institution Name],H10)</f>
        <v>282465199</v>
      </c>
      <c r="U10" s="598"/>
      <c r="V10" s="598"/>
      <c r="W10" s="598">
        <f>ROUND(T10/$Q10,0)</f>
        <v>110727</v>
      </c>
      <c r="X10" s="598"/>
      <c r="Y10" s="599"/>
      <c r="Z10" s="600">
        <f>SUMIFS(Input[Constitutional Funds Revenue], Input[Institution Name],H10)</f>
        <v>0</v>
      </c>
      <c r="AA10" s="598"/>
      <c r="AB10" s="598"/>
      <c r="AC10" s="598">
        <f>ROUND(Z10/$Q10,0)</f>
        <v>0</v>
      </c>
      <c r="AD10" s="598"/>
      <c r="AE10" s="599"/>
      <c r="AF10" s="600">
        <f>SUMIFS(Input[Net Tuition Revenue], Input[Institution Name],H10)+SUMIFS(Input[Net Fees Revenue], Input[Institution Name],H10)</f>
        <v>30157480</v>
      </c>
      <c r="AG10" s="598"/>
      <c r="AH10" s="598"/>
      <c r="AI10" s="598">
        <f>ROUND(AF10/$Q10,0)</f>
        <v>11822</v>
      </c>
      <c r="AJ10" s="598"/>
      <c r="AK10" s="599"/>
      <c r="AL10" s="600">
        <f>SUMIFS(Input[Federal Revenue], Input[Institution Name],H10)</f>
        <v>389195008</v>
      </c>
      <c r="AM10" s="598"/>
      <c r="AN10" s="598"/>
      <c r="AO10" s="598">
        <f>ROUND(AL10/$Q10,0)</f>
        <v>152566</v>
      </c>
      <c r="AP10" s="598"/>
      <c r="AQ10" s="599"/>
      <c r="AR10" s="600">
        <f>SUMIFS(Input[Institutional Revenue], Input[Institution Name],H10)</f>
        <v>1663785733</v>
      </c>
      <c r="AS10" s="598"/>
      <c r="AT10" s="598"/>
      <c r="AU10" s="598">
        <f>ROUND(AR10/$Q10,0)</f>
        <v>652209</v>
      </c>
      <c r="AV10" s="598"/>
      <c r="AW10" s="599"/>
      <c r="AX10" s="600">
        <f>ROUND(SUM(T10,Z10,AF10,AL10,AR10),0)</f>
        <v>2365603420</v>
      </c>
      <c r="AY10" s="598"/>
      <c r="AZ10" s="598"/>
      <c r="BA10" s="598">
        <f>ROUND(AX10/$Q10,0)</f>
        <v>927324</v>
      </c>
      <c r="BB10" s="598"/>
      <c r="BC10" s="598"/>
      <c r="BD10" s="17"/>
      <c r="BE10" s="17"/>
    </row>
    <row r="11" spans="1:57" ht="30" customHeight="1" x14ac:dyDescent="0.3">
      <c r="A11" s="17"/>
      <c r="B11" s="17"/>
      <c r="C11" s="17"/>
      <c r="D11" s="17"/>
      <c r="E11" s="17"/>
      <c r="F11" s="17"/>
      <c r="G11" s="17"/>
      <c r="H11" s="579" t="s">
        <v>30</v>
      </c>
      <c r="I11" s="580"/>
      <c r="J11" s="580"/>
      <c r="K11" s="580"/>
      <c r="L11" s="580"/>
      <c r="M11" s="580"/>
      <c r="N11" s="580"/>
      <c r="O11" s="580"/>
      <c r="P11" s="581"/>
      <c r="Q11" s="582">
        <f>SUMIFS('FTSE | FTFE'!$P$8:$P$77,'FTSE | FTFE'!$H$8:$H$77,H11)</f>
        <v>3678</v>
      </c>
      <c r="R11" s="583"/>
      <c r="S11" s="586"/>
      <c r="T11" s="582">
        <f>SUMIFS(Input[State Revenue], Input[Institution Name],H11)</f>
        <v>443200615</v>
      </c>
      <c r="U11" s="583"/>
      <c r="V11" s="584"/>
      <c r="W11" s="585">
        <f t="shared" ref="W11:W23" si="0">ROUND(T11/$Q11,0)</f>
        <v>120500</v>
      </c>
      <c r="X11" s="583"/>
      <c r="Y11" s="586"/>
      <c r="Z11" s="582">
        <f>SUMIFS(Input[Constitutional Funds Revenue], Input[Institution Name],H11)</f>
        <v>0</v>
      </c>
      <c r="AA11" s="583"/>
      <c r="AB11" s="584"/>
      <c r="AC11" s="585">
        <f t="shared" ref="AC11:AC23" si="1">ROUND(Z11/$Q11,0)</f>
        <v>0</v>
      </c>
      <c r="AD11" s="583"/>
      <c r="AE11" s="586"/>
      <c r="AF11" s="582">
        <f>SUMIFS(Input[Net Tuition Revenue], Input[Institution Name],H11)+SUMIFS(Input[Net Fees Revenue], Input[Institution Name],H11)</f>
        <v>49175825</v>
      </c>
      <c r="AG11" s="583"/>
      <c r="AH11" s="584"/>
      <c r="AI11" s="585">
        <f t="shared" ref="AI11:AI23" si="2">ROUND(AF11/$Q11,0)</f>
        <v>13370</v>
      </c>
      <c r="AJ11" s="583"/>
      <c r="AK11" s="586"/>
      <c r="AL11" s="582">
        <f>SUMIFS(Input[Federal Revenue], Input[Institution Name],H11)</f>
        <v>230279084</v>
      </c>
      <c r="AM11" s="583"/>
      <c r="AN11" s="584"/>
      <c r="AO11" s="585">
        <f t="shared" ref="AO11:AO23" si="3">ROUND(AL11/$Q11,0)</f>
        <v>62610</v>
      </c>
      <c r="AP11" s="583"/>
      <c r="AQ11" s="586"/>
      <c r="AR11" s="582">
        <f>SUMIFS(Input[Institutional Revenue], Input[Institution Name],H11)</f>
        <v>426491074</v>
      </c>
      <c r="AS11" s="583"/>
      <c r="AT11" s="584"/>
      <c r="AU11" s="585">
        <f t="shared" ref="AU11:AU23" si="4">ROUND(AR11/$Q11,0)</f>
        <v>115957</v>
      </c>
      <c r="AV11" s="583"/>
      <c r="AW11" s="586"/>
      <c r="AX11" s="582">
        <f t="shared" ref="AX11:AX23" si="5">ROUND(SUM(T11,Z11,AF11,AL11,AR11),0)</f>
        <v>1149146598</v>
      </c>
      <c r="AY11" s="583"/>
      <c r="AZ11" s="584"/>
      <c r="BA11" s="585">
        <f t="shared" ref="BA11:BA23" si="6">ROUND(AX11/$Q11,0)</f>
        <v>312438</v>
      </c>
      <c r="BB11" s="583"/>
      <c r="BC11" s="584"/>
      <c r="BD11" s="17"/>
      <c r="BE11" s="17"/>
    </row>
    <row r="12" spans="1:57" ht="30" customHeight="1" x14ac:dyDescent="0.3">
      <c r="A12" s="17"/>
      <c r="B12" s="17"/>
      <c r="C12" s="17"/>
      <c r="D12" s="17"/>
      <c r="E12" s="17"/>
      <c r="F12" s="17"/>
      <c r="G12" s="17"/>
      <c r="H12" s="587" t="s">
        <v>31</v>
      </c>
      <c r="I12" s="588"/>
      <c r="J12" s="588"/>
      <c r="K12" s="588"/>
      <c r="L12" s="588"/>
      <c r="M12" s="588"/>
      <c r="N12" s="588"/>
      <c r="O12" s="588"/>
      <c r="P12" s="589"/>
      <c r="Q12" s="576">
        <f>SUMIFS('FTSE | FTFE'!$P$8:$P$77,'FTSE | FTFE'!$H$8:$H$77,H12)</f>
        <v>4684</v>
      </c>
      <c r="R12" s="574"/>
      <c r="S12" s="575"/>
      <c r="T12" s="576">
        <f>SUMIFS(Input[State Revenue], Input[Institution Name],H12)</f>
        <v>313946170</v>
      </c>
      <c r="U12" s="574"/>
      <c r="V12" s="577"/>
      <c r="W12" s="573">
        <f t="shared" si="0"/>
        <v>67025</v>
      </c>
      <c r="X12" s="574"/>
      <c r="Y12" s="575"/>
      <c r="Z12" s="576">
        <f>SUMIFS(Input[Constitutional Funds Revenue], Input[Institution Name],H12)</f>
        <v>0</v>
      </c>
      <c r="AA12" s="574"/>
      <c r="AB12" s="577"/>
      <c r="AC12" s="573">
        <f t="shared" si="1"/>
        <v>0</v>
      </c>
      <c r="AD12" s="574"/>
      <c r="AE12" s="575"/>
      <c r="AF12" s="576">
        <f>SUMIFS(Input[Net Tuition Revenue], Input[Institution Name],H12)+SUMIFS(Input[Net Fees Revenue], Input[Institution Name],H12)</f>
        <v>74206699</v>
      </c>
      <c r="AG12" s="574"/>
      <c r="AH12" s="577"/>
      <c r="AI12" s="573">
        <f t="shared" si="2"/>
        <v>15843</v>
      </c>
      <c r="AJ12" s="574"/>
      <c r="AK12" s="575"/>
      <c r="AL12" s="576">
        <f>SUMIFS(Input[Federal Revenue], Input[Institution Name],H12)</f>
        <v>329885263</v>
      </c>
      <c r="AM12" s="574"/>
      <c r="AN12" s="577"/>
      <c r="AO12" s="573">
        <f t="shared" si="3"/>
        <v>70428</v>
      </c>
      <c r="AP12" s="574"/>
      <c r="AQ12" s="575"/>
      <c r="AR12" s="576">
        <f>SUMIFS(Input[Institutional Revenue], Input[Institution Name],H12)</f>
        <v>1363858148</v>
      </c>
      <c r="AS12" s="574"/>
      <c r="AT12" s="577"/>
      <c r="AU12" s="573">
        <f t="shared" si="4"/>
        <v>291174</v>
      </c>
      <c r="AV12" s="574"/>
      <c r="AW12" s="575"/>
      <c r="AX12" s="576">
        <f t="shared" si="5"/>
        <v>2081896280</v>
      </c>
      <c r="AY12" s="574"/>
      <c r="AZ12" s="577"/>
      <c r="BA12" s="573">
        <f t="shared" si="6"/>
        <v>444470</v>
      </c>
      <c r="BB12" s="574"/>
      <c r="BC12" s="577"/>
      <c r="BD12" s="17"/>
      <c r="BE12" s="17"/>
    </row>
    <row r="13" spans="1:57" ht="30" customHeight="1" x14ac:dyDescent="0.3">
      <c r="A13" s="17"/>
      <c r="B13" s="17"/>
      <c r="C13" s="17"/>
      <c r="D13" s="17"/>
      <c r="E13" s="17"/>
      <c r="F13" s="17"/>
      <c r="G13" s="17"/>
      <c r="H13" s="579" t="s">
        <v>32</v>
      </c>
      <c r="I13" s="580"/>
      <c r="J13" s="580"/>
      <c r="K13" s="580"/>
      <c r="L13" s="580"/>
      <c r="M13" s="580"/>
      <c r="N13" s="580"/>
      <c r="O13" s="580"/>
      <c r="P13" s="581"/>
      <c r="Q13" s="582">
        <f>SUMIFS('FTSE | FTFE'!$P$8:$P$77,'FTSE | FTFE'!$H$8:$H$77,H13)</f>
        <v>4277</v>
      </c>
      <c r="R13" s="583"/>
      <c r="S13" s="586"/>
      <c r="T13" s="582">
        <f>SUMIFS(Input[State Revenue], Input[Institution Name],H13)</f>
        <v>242965838</v>
      </c>
      <c r="U13" s="583"/>
      <c r="V13" s="584"/>
      <c r="W13" s="585">
        <f t="shared" si="0"/>
        <v>56808</v>
      </c>
      <c r="X13" s="583"/>
      <c r="Y13" s="586"/>
      <c r="Z13" s="582">
        <f>SUMIFS(Input[Constitutional Funds Revenue], Input[Institution Name],H13)</f>
        <v>0</v>
      </c>
      <c r="AA13" s="583"/>
      <c r="AB13" s="584"/>
      <c r="AC13" s="585">
        <f t="shared" si="1"/>
        <v>0</v>
      </c>
      <c r="AD13" s="583"/>
      <c r="AE13" s="586"/>
      <c r="AF13" s="582">
        <f>SUMIFS(Input[Net Tuition Revenue], Input[Institution Name],H13)+SUMIFS(Input[Net Fees Revenue], Input[Institution Name],H13)</f>
        <v>60084166</v>
      </c>
      <c r="AG13" s="583"/>
      <c r="AH13" s="584"/>
      <c r="AI13" s="585">
        <f t="shared" si="2"/>
        <v>14048</v>
      </c>
      <c r="AJ13" s="583"/>
      <c r="AK13" s="586"/>
      <c r="AL13" s="582">
        <f>SUMIFS(Input[Federal Revenue], Input[Institution Name],H13)</f>
        <v>252199229</v>
      </c>
      <c r="AM13" s="583"/>
      <c r="AN13" s="584"/>
      <c r="AO13" s="585">
        <f t="shared" si="3"/>
        <v>58966</v>
      </c>
      <c r="AP13" s="583"/>
      <c r="AQ13" s="586"/>
      <c r="AR13" s="582">
        <f>SUMIFS(Input[Institutional Revenue], Input[Institution Name],H13)</f>
        <v>533906903</v>
      </c>
      <c r="AS13" s="583"/>
      <c r="AT13" s="584"/>
      <c r="AU13" s="585">
        <f t="shared" si="4"/>
        <v>124832</v>
      </c>
      <c r="AV13" s="583"/>
      <c r="AW13" s="586"/>
      <c r="AX13" s="582">
        <f t="shared" si="5"/>
        <v>1089156136</v>
      </c>
      <c r="AY13" s="583"/>
      <c r="AZ13" s="584"/>
      <c r="BA13" s="585">
        <f t="shared" si="6"/>
        <v>254654</v>
      </c>
      <c r="BB13" s="583"/>
      <c r="BC13" s="584"/>
      <c r="BD13" s="17"/>
      <c r="BE13" s="17"/>
    </row>
    <row r="14" spans="1:57" ht="30" customHeight="1" x14ac:dyDescent="0.3">
      <c r="A14" s="17"/>
      <c r="B14" s="17"/>
      <c r="C14" s="17"/>
      <c r="D14" s="17"/>
      <c r="E14" s="17"/>
      <c r="F14" s="17"/>
      <c r="G14" s="17"/>
      <c r="H14" s="587" t="s">
        <v>165</v>
      </c>
      <c r="I14" s="588"/>
      <c r="J14" s="588"/>
      <c r="K14" s="588"/>
      <c r="L14" s="588"/>
      <c r="M14" s="588"/>
      <c r="N14" s="588"/>
      <c r="O14" s="588"/>
      <c r="P14" s="589"/>
      <c r="Q14" s="576">
        <f>SUMIFS('FTSE | FTFE'!$P$8:$P$77,'FTSE | FTFE'!$H$8:$H$77,H14)</f>
        <v>303</v>
      </c>
      <c r="R14" s="574"/>
      <c r="S14" s="575"/>
      <c r="T14" s="576">
        <f>SUMIFS(Input[State Revenue], Input[Institution Name],H14)</f>
        <v>59051902</v>
      </c>
      <c r="U14" s="574"/>
      <c r="V14" s="577"/>
      <c r="W14" s="573">
        <f t="shared" si="0"/>
        <v>194891</v>
      </c>
      <c r="X14" s="574"/>
      <c r="Y14" s="575"/>
      <c r="Z14" s="576">
        <f>SUMIFS(Input[Constitutional Funds Revenue], Input[Institution Name],H14)</f>
        <v>0</v>
      </c>
      <c r="AA14" s="574"/>
      <c r="AB14" s="577"/>
      <c r="AC14" s="573">
        <f t="shared" si="1"/>
        <v>0</v>
      </c>
      <c r="AD14" s="574"/>
      <c r="AE14" s="575"/>
      <c r="AF14" s="576">
        <f>SUMIFS(Input[Net Tuition Revenue], Input[Institution Name],H14)+SUMIFS(Input[Net Fees Revenue], Input[Institution Name],H14)</f>
        <v>4764130</v>
      </c>
      <c r="AG14" s="574"/>
      <c r="AH14" s="577"/>
      <c r="AI14" s="573">
        <f t="shared" si="2"/>
        <v>15723</v>
      </c>
      <c r="AJ14" s="574"/>
      <c r="AK14" s="575"/>
      <c r="AL14" s="576">
        <f>SUMIFS(Input[Federal Revenue], Input[Institution Name],H14)</f>
        <v>10324665</v>
      </c>
      <c r="AM14" s="574"/>
      <c r="AN14" s="577"/>
      <c r="AO14" s="573">
        <f t="shared" si="3"/>
        <v>34075</v>
      </c>
      <c r="AP14" s="574"/>
      <c r="AQ14" s="575"/>
      <c r="AR14" s="576">
        <f>SUMIFS(Input[Institutional Revenue], Input[Institution Name],H14)</f>
        <v>13847426</v>
      </c>
      <c r="AS14" s="574"/>
      <c r="AT14" s="577"/>
      <c r="AU14" s="573">
        <f t="shared" si="4"/>
        <v>45701</v>
      </c>
      <c r="AV14" s="574"/>
      <c r="AW14" s="575"/>
      <c r="AX14" s="576">
        <f t="shared" si="5"/>
        <v>87988123</v>
      </c>
      <c r="AY14" s="574"/>
      <c r="AZ14" s="577"/>
      <c r="BA14" s="573">
        <f t="shared" si="6"/>
        <v>290390</v>
      </c>
      <c r="BB14" s="574"/>
      <c r="BC14" s="577"/>
      <c r="BD14" s="17"/>
      <c r="BE14" s="17"/>
    </row>
    <row r="15" spans="1:57" ht="30" customHeight="1" x14ac:dyDescent="0.3">
      <c r="A15" s="17"/>
      <c r="B15" s="17"/>
      <c r="C15" s="17"/>
      <c r="D15" s="17"/>
      <c r="E15" s="17"/>
      <c r="F15" s="17"/>
      <c r="G15" s="17"/>
      <c r="H15" s="579" t="s">
        <v>33</v>
      </c>
      <c r="I15" s="580"/>
      <c r="J15" s="580"/>
      <c r="K15" s="580"/>
      <c r="L15" s="580"/>
      <c r="M15" s="580"/>
      <c r="N15" s="580"/>
      <c r="O15" s="580"/>
      <c r="P15" s="581"/>
      <c r="Q15" s="582">
        <f>SUMIFS('FTSE | FTFE'!$P$8:$P$77,'FTSE | FTFE'!$H$8:$H$77,H15)</f>
        <v>394</v>
      </c>
      <c r="R15" s="583"/>
      <c r="S15" s="586"/>
      <c r="T15" s="582">
        <f>SUMIFS(Input[State Revenue], Input[Institution Name],H15)</f>
        <v>281383294</v>
      </c>
      <c r="U15" s="583"/>
      <c r="V15" s="584"/>
      <c r="W15" s="585">
        <f t="shared" si="0"/>
        <v>714171</v>
      </c>
      <c r="X15" s="583"/>
      <c r="Y15" s="586"/>
      <c r="Z15" s="582">
        <f>SUMIFS(Input[Constitutional Funds Revenue], Input[Institution Name],H15)</f>
        <v>0</v>
      </c>
      <c r="AA15" s="583"/>
      <c r="AB15" s="584"/>
      <c r="AC15" s="585">
        <f t="shared" si="1"/>
        <v>0</v>
      </c>
      <c r="AD15" s="583"/>
      <c r="AE15" s="586"/>
      <c r="AF15" s="582">
        <f>SUMIFS(Input[Net Tuition Revenue], Input[Institution Name],H15)+SUMIFS(Input[Net Fees Revenue], Input[Institution Name],H15)</f>
        <v>1852964</v>
      </c>
      <c r="AG15" s="583"/>
      <c r="AH15" s="584"/>
      <c r="AI15" s="585">
        <f t="shared" si="2"/>
        <v>4703</v>
      </c>
      <c r="AJ15" s="583"/>
      <c r="AK15" s="586"/>
      <c r="AL15" s="582">
        <f>SUMIFS(Input[Federal Revenue], Input[Institution Name],H15)</f>
        <v>318676418</v>
      </c>
      <c r="AM15" s="583"/>
      <c r="AN15" s="584"/>
      <c r="AO15" s="585">
        <f t="shared" si="3"/>
        <v>808823</v>
      </c>
      <c r="AP15" s="583"/>
      <c r="AQ15" s="586"/>
      <c r="AR15" s="582">
        <f>SUMIFS(Input[Institutional Revenue], Input[Institution Name],H15)</f>
        <v>1244114639</v>
      </c>
      <c r="AS15" s="583"/>
      <c r="AT15" s="584"/>
      <c r="AU15" s="585">
        <f t="shared" si="4"/>
        <v>3157651</v>
      </c>
      <c r="AV15" s="583"/>
      <c r="AW15" s="586"/>
      <c r="AX15" s="582">
        <f t="shared" si="5"/>
        <v>1846027315</v>
      </c>
      <c r="AY15" s="583"/>
      <c r="AZ15" s="584"/>
      <c r="BA15" s="585">
        <f t="shared" si="6"/>
        <v>4685349</v>
      </c>
      <c r="BB15" s="583"/>
      <c r="BC15" s="584"/>
      <c r="BD15" s="17"/>
      <c r="BE15" s="17"/>
    </row>
    <row r="16" spans="1:57" ht="30" customHeight="1" x14ac:dyDescent="0.3">
      <c r="A16" s="17"/>
      <c r="B16" s="17"/>
      <c r="C16" s="17"/>
      <c r="D16" s="17"/>
      <c r="E16" s="17"/>
      <c r="F16" s="17"/>
      <c r="G16" s="17"/>
      <c r="H16" s="587" t="s">
        <v>34</v>
      </c>
      <c r="I16" s="588"/>
      <c r="J16" s="588"/>
      <c r="K16" s="588"/>
      <c r="L16" s="588"/>
      <c r="M16" s="588"/>
      <c r="N16" s="588"/>
      <c r="O16" s="588"/>
      <c r="P16" s="589"/>
      <c r="Q16" s="576">
        <f>SUMIFS('FTSE | FTFE'!$P$8:$P$77,'FTSE | FTFE'!$H$8:$H$77,H16)</f>
        <v>196</v>
      </c>
      <c r="R16" s="574"/>
      <c r="S16" s="575"/>
      <c r="T16" s="576">
        <f>SUMIFS(Input[State Revenue], Input[Institution Name],H16)</f>
        <v>90704347</v>
      </c>
      <c r="U16" s="574"/>
      <c r="V16" s="577"/>
      <c r="W16" s="573">
        <f t="shared" si="0"/>
        <v>462777</v>
      </c>
      <c r="X16" s="574"/>
      <c r="Y16" s="575"/>
      <c r="Z16" s="576">
        <f>SUMIFS(Input[Constitutional Funds Revenue], Input[Institution Name],H16)</f>
        <v>0</v>
      </c>
      <c r="AA16" s="574"/>
      <c r="AB16" s="577"/>
      <c r="AC16" s="573">
        <f t="shared" si="1"/>
        <v>0</v>
      </c>
      <c r="AD16" s="574"/>
      <c r="AE16" s="575"/>
      <c r="AF16" s="576">
        <f>SUMIFS(Input[Net Tuition Revenue], Input[Institution Name],H16)+SUMIFS(Input[Net Fees Revenue], Input[Institution Name],H16)</f>
        <v>4281996</v>
      </c>
      <c r="AG16" s="574"/>
      <c r="AH16" s="577"/>
      <c r="AI16" s="573">
        <f t="shared" si="2"/>
        <v>21847</v>
      </c>
      <c r="AJ16" s="574"/>
      <c r="AK16" s="575"/>
      <c r="AL16" s="576">
        <f>SUMIFS(Input[Federal Revenue], Input[Institution Name],H16)</f>
        <v>10554142</v>
      </c>
      <c r="AM16" s="574"/>
      <c r="AN16" s="577"/>
      <c r="AO16" s="573">
        <f t="shared" si="3"/>
        <v>53848</v>
      </c>
      <c r="AP16" s="574"/>
      <c r="AQ16" s="575"/>
      <c r="AR16" s="576">
        <f>SUMIFS(Input[Institutional Revenue], Input[Institution Name],H16)</f>
        <v>157934980</v>
      </c>
      <c r="AS16" s="574"/>
      <c r="AT16" s="577"/>
      <c r="AU16" s="573">
        <f t="shared" si="4"/>
        <v>805791</v>
      </c>
      <c r="AV16" s="574"/>
      <c r="AW16" s="575"/>
      <c r="AX16" s="576">
        <f t="shared" si="5"/>
        <v>263475465</v>
      </c>
      <c r="AY16" s="574"/>
      <c r="AZ16" s="577"/>
      <c r="BA16" s="573">
        <f t="shared" si="6"/>
        <v>1344263</v>
      </c>
      <c r="BB16" s="574"/>
      <c r="BC16" s="577"/>
      <c r="BD16" s="17"/>
      <c r="BE16" s="17"/>
    </row>
    <row r="17" spans="1:57" ht="30" customHeight="1" x14ac:dyDescent="0.3">
      <c r="A17" s="17"/>
      <c r="B17" s="17"/>
      <c r="C17" s="17"/>
      <c r="D17" s="17"/>
      <c r="E17" s="17"/>
      <c r="F17" s="17"/>
      <c r="G17" s="17"/>
      <c r="H17" s="579" t="s">
        <v>41</v>
      </c>
      <c r="I17" s="580"/>
      <c r="J17" s="580"/>
      <c r="K17" s="580"/>
      <c r="L17" s="580"/>
      <c r="M17" s="580"/>
      <c r="N17" s="580"/>
      <c r="O17" s="580"/>
      <c r="P17" s="581"/>
      <c r="Q17" s="582">
        <f>SUMIFS('FTSE | FTFE'!$P$8:$P$77,'FTSE | FTFE'!$H$8:$H$77,H17)</f>
        <v>203</v>
      </c>
      <c r="R17" s="583"/>
      <c r="S17" s="586"/>
      <c r="T17" s="582">
        <f>SUMIFS(Input[State Revenue], Input[Institution Name],H17)</f>
        <v>22674063</v>
      </c>
      <c r="U17" s="583"/>
      <c r="V17" s="584"/>
      <c r="W17" s="585">
        <f t="shared" si="0"/>
        <v>111695</v>
      </c>
      <c r="X17" s="583"/>
      <c r="Y17" s="586"/>
      <c r="Z17" s="582">
        <f>SUMIFS(Input[Constitutional Funds Revenue], Input[Institution Name],H17)</f>
        <v>29049892</v>
      </c>
      <c r="AA17" s="583"/>
      <c r="AB17" s="584"/>
      <c r="AC17" s="585">
        <f t="shared" si="1"/>
        <v>143103</v>
      </c>
      <c r="AD17" s="583"/>
      <c r="AE17" s="586"/>
      <c r="AF17" s="582">
        <f>SUMIFS(Input[Net Tuition Revenue], Input[Institution Name],H17)+SUMIFS(Input[Net Fees Revenue], Input[Institution Name],H17)</f>
        <v>1960280</v>
      </c>
      <c r="AG17" s="583"/>
      <c r="AH17" s="584"/>
      <c r="AI17" s="585">
        <f t="shared" si="2"/>
        <v>9657</v>
      </c>
      <c r="AJ17" s="583"/>
      <c r="AK17" s="586"/>
      <c r="AL17" s="582">
        <f>SUMIFS(Input[Federal Revenue], Input[Institution Name],H17)</f>
        <v>22049832</v>
      </c>
      <c r="AM17" s="583"/>
      <c r="AN17" s="584"/>
      <c r="AO17" s="585">
        <f t="shared" si="3"/>
        <v>108620</v>
      </c>
      <c r="AP17" s="583"/>
      <c r="AQ17" s="586"/>
      <c r="AR17" s="582">
        <f>SUMIFS(Input[Institutional Revenue], Input[Institution Name],H17)</f>
        <v>257848154</v>
      </c>
      <c r="AS17" s="583"/>
      <c r="AT17" s="584"/>
      <c r="AU17" s="585">
        <f t="shared" si="4"/>
        <v>1270188</v>
      </c>
      <c r="AV17" s="583"/>
      <c r="AW17" s="586"/>
      <c r="AX17" s="582">
        <f t="shared" si="5"/>
        <v>333582221</v>
      </c>
      <c r="AY17" s="583"/>
      <c r="AZ17" s="584"/>
      <c r="BA17" s="585">
        <f t="shared" si="6"/>
        <v>1643262</v>
      </c>
      <c r="BB17" s="583"/>
      <c r="BC17" s="584"/>
      <c r="BD17" s="17"/>
      <c r="BE17" s="17"/>
    </row>
    <row r="18" spans="1:57" ht="30" customHeight="1" x14ac:dyDescent="0.3">
      <c r="A18" s="17"/>
      <c r="B18" s="17"/>
      <c r="C18" s="17"/>
      <c r="D18" s="17"/>
      <c r="E18" s="17"/>
      <c r="F18" s="17"/>
      <c r="G18" s="17"/>
      <c r="H18" s="587" t="s">
        <v>60</v>
      </c>
      <c r="I18" s="588"/>
      <c r="J18" s="588"/>
      <c r="K18" s="588"/>
      <c r="L18" s="588"/>
      <c r="M18" s="588"/>
      <c r="N18" s="588"/>
      <c r="O18" s="588"/>
      <c r="P18" s="589"/>
      <c r="Q18" s="576">
        <f>SUMIFS('FTSE | FTFE'!$P$8:$P$77,'FTSE | FTFE'!$H$8:$H$77,H18)</f>
        <v>4236</v>
      </c>
      <c r="R18" s="574"/>
      <c r="S18" s="575"/>
      <c r="T18" s="576">
        <f>SUMIFS(Input[State Revenue], Input[Institution Name],H18)</f>
        <v>236755352</v>
      </c>
      <c r="U18" s="574"/>
      <c r="V18" s="577"/>
      <c r="W18" s="573">
        <f t="shared" si="0"/>
        <v>55891</v>
      </c>
      <c r="X18" s="574"/>
      <c r="Y18" s="575"/>
      <c r="Z18" s="576">
        <f>SUMIFS(Input[Constitutional Funds Revenue], Input[Institution Name],H18)</f>
        <v>29199508</v>
      </c>
      <c r="AA18" s="574"/>
      <c r="AB18" s="577"/>
      <c r="AC18" s="573">
        <f t="shared" si="1"/>
        <v>6893</v>
      </c>
      <c r="AD18" s="574"/>
      <c r="AE18" s="575"/>
      <c r="AF18" s="576">
        <f>SUMIFS(Input[Net Tuition Revenue], Input[Institution Name],H18)+SUMIFS(Input[Net Fees Revenue], Input[Institution Name],H18)</f>
        <v>60146338</v>
      </c>
      <c r="AG18" s="574"/>
      <c r="AH18" s="577"/>
      <c r="AI18" s="573">
        <f t="shared" si="2"/>
        <v>14199</v>
      </c>
      <c r="AJ18" s="574"/>
      <c r="AK18" s="575"/>
      <c r="AL18" s="576">
        <f>SUMIFS(Input[Federal Revenue], Input[Institution Name],H18)</f>
        <v>64066307</v>
      </c>
      <c r="AM18" s="574"/>
      <c r="AN18" s="577"/>
      <c r="AO18" s="573">
        <f t="shared" si="3"/>
        <v>15124</v>
      </c>
      <c r="AP18" s="574"/>
      <c r="AQ18" s="575"/>
      <c r="AR18" s="576">
        <f>SUMIFS(Input[Institutional Revenue], Input[Institution Name],H18)</f>
        <v>128876536</v>
      </c>
      <c r="AS18" s="574"/>
      <c r="AT18" s="577"/>
      <c r="AU18" s="573">
        <f t="shared" si="4"/>
        <v>30424</v>
      </c>
      <c r="AV18" s="574"/>
      <c r="AW18" s="575"/>
      <c r="AX18" s="576">
        <f t="shared" si="5"/>
        <v>519044041</v>
      </c>
      <c r="AY18" s="574"/>
      <c r="AZ18" s="577"/>
      <c r="BA18" s="573">
        <f t="shared" si="6"/>
        <v>122532</v>
      </c>
      <c r="BB18" s="574"/>
      <c r="BC18" s="577"/>
      <c r="BD18" s="17"/>
      <c r="BE18" s="17"/>
    </row>
    <row r="19" spans="1:57" ht="30" customHeight="1" x14ac:dyDescent="0.3">
      <c r="A19" s="17"/>
      <c r="B19" s="17"/>
      <c r="C19" s="17"/>
      <c r="D19" s="17"/>
      <c r="E19" s="17"/>
      <c r="F19" s="17"/>
      <c r="G19" s="17"/>
      <c r="H19" s="579" t="s">
        <v>35</v>
      </c>
      <c r="I19" s="580"/>
      <c r="J19" s="580"/>
      <c r="K19" s="580"/>
      <c r="L19" s="580"/>
      <c r="M19" s="580"/>
      <c r="N19" s="580"/>
      <c r="O19" s="580"/>
      <c r="P19" s="581"/>
      <c r="Q19" s="582">
        <f>SUMIFS('FTSE | FTFE'!$P$8:$P$77,'FTSE | FTFE'!$H$8:$H$77,H19)</f>
        <v>2716</v>
      </c>
      <c r="R19" s="583"/>
      <c r="S19" s="586"/>
      <c r="T19" s="582">
        <f>SUMIFS(Input[State Revenue], Input[Institution Name],H19)</f>
        <v>137436198</v>
      </c>
      <c r="U19" s="583"/>
      <c r="V19" s="584"/>
      <c r="W19" s="585">
        <f t="shared" si="0"/>
        <v>50602</v>
      </c>
      <c r="X19" s="583"/>
      <c r="Y19" s="586"/>
      <c r="Z19" s="582">
        <f>SUMIFS(Input[Constitutional Funds Revenue], Input[Institution Name],H19)</f>
        <v>15581837</v>
      </c>
      <c r="AA19" s="583"/>
      <c r="AB19" s="584"/>
      <c r="AC19" s="585">
        <f t="shared" si="1"/>
        <v>5737</v>
      </c>
      <c r="AD19" s="583"/>
      <c r="AE19" s="586"/>
      <c r="AF19" s="582">
        <f>SUMIFS(Input[Net Tuition Revenue], Input[Institution Name],H19)+SUMIFS(Input[Net Fees Revenue], Input[Institution Name],H19)</f>
        <v>30707646</v>
      </c>
      <c r="AG19" s="583"/>
      <c r="AH19" s="584"/>
      <c r="AI19" s="585">
        <f t="shared" si="2"/>
        <v>11306</v>
      </c>
      <c r="AJ19" s="583"/>
      <c r="AK19" s="586"/>
      <c r="AL19" s="582">
        <f>SUMIFS(Input[Federal Revenue], Input[Institution Name],H19)</f>
        <v>120414909</v>
      </c>
      <c r="AM19" s="583"/>
      <c r="AN19" s="584"/>
      <c r="AO19" s="585">
        <f t="shared" si="3"/>
        <v>44335</v>
      </c>
      <c r="AP19" s="583"/>
      <c r="AQ19" s="586"/>
      <c r="AR19" s="582">
        <f>SUMIFS(Input[Institutional Revenue], Input[Institution Name],H19)</f>
        <v>57348994</v>
      </c>
      <c r="AS19" s="583"/>
      <c r="AT19" s="584"/>
      <c r="AU19" s="585">
        <f t="shared" si="4"/>
        <v>21115</v>
      </c>
      <c r="AV19" s="583"/>
      <c r="AW19" s="586"/>
      <c r="AX19" s="582">
        <f t="shared" si="5"/>
        <v>361489584</v>
      </c>
      <c r="AY19" s="583"/>
      <c r="AZ19" s="584"/>
      <c r="BA19" s="585">
        <f t="shared" si="6"/>
        <v>133096</v>
      </c>
      <c r="BB19" s="583"/>
      <c r="BC19" s="584"/>
      <c r="BD19" s="17"/>
      <c r="BE19" s="17"/>
    </row>
    <row r="20" spans="1:57" ht="30" customHeight="1" x14ac:dyDescent="0.3">
      <c r="A20" s="17"/>
      <c r="B20" s="17"/>
      <c r="C20" s="17"/>
      <c r="D20" s="17"/>
      <c r="E20" s="17"/>
      <c r="F20" s="17"/>
      <c r="G20" s="17"/>
      <c r="H20" s="587" t="s">
        <v>36</v>
      </c>
      <c r="I20" s="588"/>
      <c r="J20" s="588"/>
      <c r="K20" s="588"/>
      <c r="L20" s="588"/>
      <c r="M20" s="588"/>
      <c r="N20" s="588"/>
      <c r="O20" s="588"/>
      <c r="P20" s="589"/>
      <c r="Q20" s="576">
        <f>SUMIFS('FTSE | FTFE'!$P$8:$P$77,'FTSE | FTFE'!$H$8:$H$77,H20)</f>
        <v>6038</v>
      </c>
      <c r="R20" s="574"/>
      <c r="S20" s="575"/>
      <c r="T20" s="576">
        <f>SUMIFS(Input[State Revenue], Input[Institution Name],H20)</f>
        <v>246544983</v>
      </c>
      <c r="U20" s="574"/>
      <c r="V20" s="577"/>
      <c r="W20" s="573">
        <f t="shared" si="0"/>
        <v>40832</v>
      </c>
      <c r="X20" s="574"/>
      <c r="Y20" s="575"/>
      <c r="Z20" s="576">
        <f>SUMIFS(Input[Constitutional Funds Revenue], Input[Institution Name],H20)</f>
        <v>22305642</v>
      </c>
      <c r="AA20" s="574"/>
      <c r="AB20" s="577"/>
      <c r="AC20" s="573">
        <f t="shared" si="1"/>
        <v>3694</v>
      </c>
      <c r="AD20" s="574"/>
      <c r="AE20" s="575"/>
      <c r="AF20" s="576">
        <f>SUMIFS(Input[Net Tuition Revenue], Input[Institution Name],H20)+SUMIFS(Input[Net Fees Revenue], Input[Institution Name],H20)</f>
        <v>67980133</v>
      </c>
      <c r="AG20" s="574"/>
      <c r="AH20" s="577"/>
      <c r="AI20" s="573">
        <f t="shared" si="2"/>
        <v>11259</v>
      </c>
      <c r="AJ20" s="574"/>
      <c r="AK20" s="575"/>
      <c r="AL20" s="576">
        <f>SUMIFS(Input[Federal Revenue], Input[Institution Name],H20)</f>
        <v>38687907</v>
      </c>
      <c r="AM20" s="574"/>
      <c r="AN20" s="577"/>
      <c r="AO20" s="573">
        <f t="shared" si="3"/>
        <v>6407</v>
      </c>
      <c r="AP20" s="574"/>
      <c r="AQ20" s="575"/>
      <c r="AR20" s="576">
        <f>SUMIFS(Input[Institutional Revenue], Input[Institution Name],H20)</f>
        <v>293105502</v>
      </c>
      <c r="AS20" s="574"/>
      <c r="AT20" s="577"/>
      <c r="AU20" s="573">
        <f t="shared" si="4"/>
        <v>48543</v>
      </c>
      <c r="AV20" s="574"/>
      <c r="AW20" s="575"/>
      <c r="AX20" s="576">
        <f t="shared" si="5"/>
        <v>668624167</v>
      </c>
      <c r="AY20" s="574"/>
      <c r="AZ20" s="577"/>
      <c r="BA20" s="573">
        <f t="shared" si="6"/>
        <v>110736</v>
      </c>
      <c r="BB20" s="574"/>
      <c r="BC20" s="577"/>
      <c r="BD20" s="17"/>
      <c r="BE20" s="17"/>
    </row>
    <row r="21" spans="1:57" ht="30" customHeight="1" x14ac:dyDescent="0.3">
      <c r="A21" s="17"/>
      <c r="B21" s="17"/>
      <c r="C21" s="17"/>
      <c r="D21" s="17"/>
      <c r="E21" s="17"/>
      <c r="F21" s="17"/>
      <c r="G21" s="17"/>
      <c r="H21" s="579" t="s">
        <v>37</v>
      </c>
      <c r="I21" s="580"/>
      <c r="J21" s="580"/>
      <c r="K21" s="580"/>
      <c r="L21" s="580"/>
      <c r="M21" s="580"/>
      <c r="N21" s="580"/>
      <c r="O21" s="580"/>
      <c r="P21" s="581"/>
      <c r="Q21" s="582">
        <f>SUMIFS('FTSE | FTFE'!$P$8:$P$77,'FTSE | FTFE'!$H$8:$H$77,H21)</f>
        <v>1090</v>
      </c>
      <c r="R21" s="583"/>
      <c r="S21" s="586"/>
      <c r="T21" s="582">
        <f>SUMIFS(Input[State Revenue], Input[Institution Name],H21)</f>
        <v>166539975</v>
      </c>
      <c r="U21" s="583"/>
      <c r="V21" s="584"/>
      <c r="W21" s="585">
        <f t="shared" si="0"/>
        <v>152789</v>
      </c>
      <c r="X21" s="583"/>
      <c r="Y21" s="586"/>
      <c r="Z21" s="582">
        <f>SUMIFS(Input[Constitutional Funds Revenue], Input[Institution Name],H21)</f>
        <v>5725243</v>
      </c>
      <c r="AA21" s="583"/>
      <c r="AB21" s="584"/>
      <c r="AC21" s="585">
        <f t="shared" si="1"/>
        <v>5253</v>
      </c>
      <c r="AD21" s="583"/>
      <c r="AE21" s="586"/>
      <c r="AF21" s="582">
        <f>SUMIFS(Input[Net Tuition Revenue], Input[Institution Name],H21)+SUMIFS(Input[Net Fees Revenue], Input[Institution Name],H21)</f>
        <v>20641672</v>
      </c>
      <c r="AG21" s="583"/>
      <c r="AH21" s="584"/>
      <c r="AI21" s="585">
        <f t="shared" si="2"/>
        <v>18937</v>
      </c>
      <c r="AJ21" s="583"/>
      <c r="AK21" s="586"/>
      <c r="AL21" s="582">
        <f>SUMIFS(Input[Federal Revenue], Input[Institution Name],H21)</f>
        <v>7751792</v>
      </c>
      <c r="AM21" s="583"/>
      <c r="AN21" s="584"/>
      <c r="AO21" s="585">
        <f t="shared" si="3"/>
        <v>7112</v>
      </c>
      <c r="AP21" s="583"/>
      <c r="AQ21" s="586"/>
      <c r="AR21" s="582">
        <f>SUMIFS(Input[Institutional Revenue], Input[Institution Name],H21)</f>
        <v>153631092</v>
      </c>
      <c r="AS21" s="583"/>
      <c r="AT21" s="584"/>
      <c r="AU21" s="585">
        <f t="shared" si="4"/>
        <v>140946</v>
      </c>
      <c r="AV21" s="583"/>
      <c r="AW21" s="586"/>
      <c r="AX21" s="582">
        <f t="shared" si="5"/>
        <v>354289774</v>
      </c>
      <c r="AY21" s="583"/>
      <c r="AZ21" s="584"/>
      <c r="BA21" s="585">
        <f t="shared" si="6"/>
        <v>325036</v>
      </c>
      <c r="BB21" s="583"/>
      <c r="BC21" s="584"/>
      <c r="BD21" s="17"/>
      <c r="BE21" s="17"/>
    </row>
    <row r="22" spans="1:57" ht="30" customHeight="1" x14ac:dyDescent="0.3">
      <c r="A22" s="17"/>
      <c r="B22" s="17"/>
      <c r="C22" s="17"/>
      <c r="D22" s="17"/>
      <c r="E22" s="17"/>
      <c r="F22" s="17"/>
      <c r="G22" s="17"/>
      <c r="H22" s="587" t="s">
        <v>44</v>
      </c>
      <c r="I22" s="588"/>
      <c r="J22" s="588"/>
      <c r="K22" s="588"/>
      <c r="L22" s="588"/>
      <c r="M22" s="588"/>
      <c r="N22" s="588"/>
      <c r="O22" s="588"/>
      <c r="P22" s="589"/>
      <c r="Q22" s="576">
        <f>SUMIFS('FTSE | FTFE'!$P$8:$P$77,'FTSE | FTFE'!$H$8:$H$77,H22)</f>
        <v>206</v>
      </c>
      <c r="R22" s="574"/>
      <c r="S22" s="575"/>
      <c r="T22" s="576">
        <f>SUMIFS(Input[State Revenue], Input[Institution Name],H22)</f>
        <v>20049482</v>
      </c>
      <c r="U22" s="574"/>
      <c r="V22" s="577"/>
      <c r="W22" s="573">
        <f t="shared" si="0"/>
        <v>97328</v>
      </c>
      <c r="X22" s="574"/>
      <c r="Y22" s="575"/>
      <c r="Z22" s="576">
        <f>SUMIFS(Input[Constitutional Funds Revenue], Input[Institution Name],H22)</f>
        <v>0</v>
      </c>
      <c r="AA22" s="574"/>
      <c r="AB22" s="577"/>
      <c r="AC22" s="573">
        <f t="shared" si="1"/>
        <v>0</v>
      </c>
      <c r="AD22" s="574"/>
      <c r="AE22" s="575"/>
      <c r="AF22" s="576">
        <f>SUMIFS(Input[Net Tuition Revenue], Input[Institution Name],H22)+SUMIFS(Input[Net Fees Revenue], Input[Institution Name],H22)</f>
        <v>4847105</v>
      </c>
      <c r="AG22" s="574"/>
      <c r="AH22" s="577"/>
      <c r="AI22" s="573">
        <f t="shared" si="2"/>
        <v>23530</v>
      </c>
      <c r="AJ22" s="574"/>
      <c r="AK22" s="575"/>
      <c r="AL22" s="576">
        <f>SUMIFS(Input[Federal Revenue], Input[Institution Name],H22)</f>
        <v>734015</v>
      </c>
      <c r="AM22" s="574"/>
      <c r="AN22" s="577"/>
      <c r="AO22" s="573">
        <f t="shared" si="3"/>
        <v>3563</v>
      </c>
      <c r="AP22" s="574"/>
      <c r="AQ22" s="575"/>
      <c r="AR22" s="576">
        <f>SUMIFS(Input[Institutional Revenue], Input[Institution Name],H22)</f>
        <v>20283643</v>
      </c>
      <c r="AS22" s="574"/>
      <c r="AT22" s="577"/>
      <c r="AU22" s="573">
        <f t="shared" si="4"/>
        <v>98464</v>
      </c>
      <c r="AV22" s="574"/>
      <c r="AW22" s="575"/>
      <c r="AX22" s="576">
        <f t="shared" si="5"/>
        <v>45914245</v>
      </c>
      <c r="AY22" s="574"/>
      <c r="AZ22" s="577"/>
      <c r="BA22" s="573">
        <f t="shared" si="6"/>
        <v>222885</v>
      </c>
      <c r="BB22" s="574"/>
      <c r="BC22" s="577"/>
      <c r="BD22" s="17"/>
      <c r="BE22" s="17"/>
    </row>
    <row r="23" spans="1:57" ht="30" customHeight="1" thickBot="1" x14ac:dyDescent="0.35">
      <c r="A23" s="17"/>
      <c r="B23" s="17"/>
      <c r="C23" s="17"/>
      <c r="D23" s="17"/>
      <c r="E23" s="17"/>
      <c r="F23" s="17"/>
      <c r="G23" s="17"/>
      <c r="H23" s="631" t="s">
        <v>45</v>
      </c>
      <c r="I23" s="632"/>
      <c r="J23" s="632"/>
      <c r="K23" s="632"/>
      <c r="L23" s="632"/>
      <c r="M23" s="632"/>
      <c r="N23" s="632"/>
      <c r="O23" s="632"/>
      <c r="P23" s="633"/>
      <c r="Q23" s="595">
        <f>SUMIFS('FTSE | FTFE'!$P$8:$P$77,'FTSE | FTFE'!$H$8:$H$77,H23)</f>
        <v>574</v>
      </c>
      <c r="R23" s="596"/>
      <c r="S23" s="624"/>
      <c r="T23" s="595">
        <f>SUMIFS(Input[State Revenue], Input[Institution Name],H23)</f>
        <v>19355583</v>
      </c>
      <c r="U23" s="596"/>
      <c r="V23" s="597"/>
      <c r="W23" s="623">
        <f t="shared" si="0"/>
        <v>33721</v>
      </c>
      <c r="X23" s="596"/>
      <c r="Y23" s="624"/>
      <c r="Z23" s="595">
        <f>SUMIFS(Input[Constitutional Funds Revenue], Input[Institution Name],H23)</f>
        <v>0</v>
      </c>
      <c r="AA23" s="596"/>
      <c r="AB23" s="597"/>
      <c r="AC23" s="623">
        <f t="shared" si="1"/>
        <v>0</v>
      </c>
      <c r="AD23" s="596"/>
      <c r="AE23" s="624"/>
      <c r="AF23" s="595">
        <f>SUMIFS(Input[Net Tuition Revenue], Input[Institution Name],H23)+SUMIFS(Input[Net Fees Revenue], Input[Institution Name],H23)</f>
        <v>14497558</v>
      </c>
      <c r="AG23" s="596"/>
      <c r="AH23" s="597"/>
      <c r="AI23" s="623">
        <f t="shared" si="2"/>
        <v>25257</v>
      </c>
      <c r="AJ23" s="596"/>
      <c r="AK23" s="624"/>
      <c r="AL23" s="595">
        <f>SUMIFS(Input[Federal Revenue], Input[Institution Name],H23)</f>
        <v>69443</v>
      </c>
      <c r="AM23" s="596"/>
      <c r="AN23" s="597"/>
      <c r="AO23" s="623">
        <f t="shared" si="3"/>
        <v>121</v>
      </c>
      <c r="AP23" s="596"/>
      <c r="AQ23" s="624"/>
      <c r="AR23" s="595">
        <f>SUMIFS(Input[Institutional Revenue], Input[Institution Name],H23)</f>
        <v>2640806</v>
      </c>
      <c r="AS23" s="596"/>
      <c r="AT23" s="597"/>
      <c r="AU23" s="623">
        <f t="shared" si="4"/>
        <v>4601</v>
      </c>
      <c r="AV23" s="596"/>
      <c r="AW23" s="624"/>
      <c r="AX23" s="595">
        <f t="shared" si="5"/>
        <v>36563390</v>
      </c>
      <c r="AY23" s="596"/>
      <c r="AZ23" s="597"/>
      <c r="BA23" s="623">
        <f t="shared" si="6"/>
        <v>63699</v>
      </c>
      <c r="BB23" s="596"/>
      <c r="BC23" s="597"/>
      <c r="BD23" s="17"/>
      <c r="BE23" s="17"/>
    </row>
    <row r="24" spans="1:57" ht="30" customHeight="1" thickTop="1" x14ac:dyDescent="0.3">
      <c r="A24" s="17"/>
      <c r="B24" s="17"/>
      <c r="C24" s="17"/>
      <c r="D24" s="17"/>
      <c r="E24" s="17"/>
      <c r="F24" s="17"/>
      <c r="G24" s="17"/>
      <c r="H24" s="564"/>
      <c r="I24" s="565"/>
      <c r="J24" s="565"/>
      <c r="K24" s="565"/>
      <c r="L24" s="565"/>
      <c r="M24" s="565"/>
      <c r="N24" s="565"/>
      <c r="O24" s="565"/>
      <c r="P24" s="566"/>
      <c r="Q24" s="593">
        <f>SUM(Q10:S23)</f>
        <v>31146</v>
      </c>
      <c r="R24" s="647"/>
      <c r="S24" s="648"/>
      <c r="T24" s="593">
        <f>SUM(T10:V23)</f>
        <v>2563073001</v>
      </c>
      <c r="U24" s="591"/>
      <c r="V24" s="594"/>
      <c r="W24" s="590">
        <f>SUM(W10:Y23)</f>
        <v>2269757</v>
      </c>
      <c r="X24" s="591"/>
      <c r="Y24" s="592"/>
      <c r="Z24" s="593">
        <f>SUM(Z10:AB23)</f>
        <v>101862122</v>
      </c>
      <c r="AA24" s="591"/>
      <c r="AB24" s="594"/>
      <c r="AC24" s="590">
        <f>SUM(AC10:AE23)</f>
        <v>164680</v>
      </c>
      <c r="AD24" s="591"/>
      <c r="AE24" s="592"/>
      <c r="AF24" s="593">
        <f>SUM(AF10:AH23)</f>
        <v>425303992</v>
      </c>
      <c r="AG24" s="591"/>
      <c r="AH24" s="594"/>
      <c r="AI24" s="590">
        <f>SUM(AI10:AK23)</f>
        <v>211501</v>
      </c>
      <c r="AJ24" s="591"/>
      <c r="AK24" s="592"/>
      <c r="AL24" s="593">
        <f>SUM(AL10:AN23)</f>
        <v>1794888014</v>
      </c>
      <c r="AM24" s="591"/>
      <c r="AN24" s="594"/>
      <c r="AO24" s="590">
        <f>SUM(AO10:AQ23)</f>
        <v>1426598</v>
      </c>
      <c r="AP24" s="591"/>
      <c r="AQ24" s="592"/>
      <c r="AR24" s="593">
        <f>SUM(AR10:AT23)</f>
        <v>6317673630</v>
      </c>
      <c r="AS24" s="591"/>
      <c r="AT24" s="594"/>
      <c r="AU24" s="590">
        <f>SUM(AU10:AW23)</f>
        <v>6807596</v>
      </c>
      <c r="AV24" s="591"/>
      <c r="AW24" s="592"/>
      <c r="AX24" s="593">
        <f>SUM(AX10:AZ23)</f>
        <v>11202800759</v>
      </c>
      <c r="AY24" s="591"/>
      <c r="AZ24" s="594"/>
      <c r="BA24" s="590">
        <f>SUM(BA10:BC23)</f>
        <v>10880134</v>
      </c>
      <c r="BB24" s="591"/>
      <c r="BC24" s="594"/>
      <c r="BD24" s="17"/>
      <c r="BE24" s="17"/>
    </row>
    <row r="25" spans="1:57" ht="30" customHeight="1" x14ac:dyDescent="0.3">
      <c r="A25" s="17"/>
      <c r="B25" s="17"/>
      <c r="C25" s="17"/>
      <c r="D25" s="17"/>
      <c r="E25" s="17"/>
      <c r="F25" s="17"/>
      <c r="G25" s="17"/>
      <c r="H25" s="578" t="s">
        <v>1041</v>
      </c>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78"/>
      <c r="AL25" s="578"/>
      <c r="AM25" s="578"/>
      <c r="AN25" s="578"/>
      <c r="AO25" s="578"/>
      <c r="AP25" s="578"/>
      <c r="AQ25" s="578"/>
      <c r="AR25" s="578"/>
      <c r="AS25" s="578"/>
      <c r="AT25" s="578"/>
      <c r="AU25" s="578"/>
      <c r="AV25" s="578"/>
      <c r="AW25" s="578"/>
      <c r="AX25" s="578"/>
      <c r="AY25" s="578"/>
      <c r="AZ25" s="578"/>
      <c r="BA25" s="578"/>
      <c r="BB25" s="578"/>
      <c r="BC25" s="578"/>
      <c r="BD25" s="17"/>
      <c r="BE25" s="17"/>
    </row>
    <row r="26" spans="1:57" ht="30" customHeight="1" x14ac:dyDescent="0.3">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row>
    <row r="27" spans="1:57" ht="30" customHeight="1" x14ac:dyDescent="0.3">
      <c r="A27" s="17"/>
      <c r="B27" s="17"/>
      <c r="C27" s="17"/>
      <c r="D27" s="17"/>
      <c r="E27" s="17"/>
      <c r="F27" s="17"/>
      <c r="G27" s="17"/>
      <c r="H27" s="567" t="s">
        <v>130</v>
      </c>
      <c r="I27" s="567"/>
      <c r="J27" s="567"/>
      <c r="K27" s="567"/>
      <c r="L27" s="567"/>
      <c r="M27" s="567"/>
      <c r="N27" s="567"/>
      <c r="O27" s="567"/>
      <c r="P27" s="567"/>
      <c r="Q27" s="567"/>
      <c r="R27" s="567"/>
      <c r="S27" s="567"/>
      <c r="T27" s="567"/>
      <c r="U27" s="567"/>
      <c r="V27" s="567"/>
      <c r="W27" s="567"/>
      <c r="X27" s="567"/>
      <c r="Y27" s="567"/>
      <c r="Z27" s="567"/>
      <c r="AA27" s="567"/>
      <c r="AB27" s="567"/>
      <c r="AC27" s="567"/>
      <c r="AD27" s="567"/>
      <c r="AE27" s="567"/>
      <c r="AF27" s="567"/>
      <c r="AG27" s="567"/>
      <c r="AH27" s="567"/>
      <c r="AI27" s="567"/>
      <c r="AJ27" s="567"/>
      <c r="AK27" s="567"/>
      <c r="AL27" s="567"/>
      <c r="AM27" s="567"/>
      <c r="AN27" s="567"/>
      <c r="AO27" s="567"/>
      <c r="AP27" s="567"/>
      <c r="AQ27" s="567"/>
      <c r="AR27" s="567"/>
      <c r="AS27" s="567"/>
      <c r="AT27" s="567"/>
      <c r="AU27" s="567"/>
      <c r="AV27" s="567"/>
      <c r="AW27" s="567"/>
      <c r="AX27" s="567"/>
      <c r="AY27" s="567"/>
      <c r="AZ27" s="567"/>
      <c r="BA27" s="567"/>
      <c r="BB27" s="567"/>
      <c r="BC27" s="567"/>
      <c r="BD27" s="17"/>
      <c r="BE27" s="17"/>
    </row>
    <row r="28" spans="1:57" ht="30" customHeight="1" x14ac:dyDescent="0.4">
      <c r="A28" s="17"/>
      <c r="B28" s="17"/>
      <c r="C28" s="17"/>
      <c r="D28" s="17"/>
      <c r="E28" s="17"/>
      <c r="F28" s="17"/>
      <c r="G28" s="17"/>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7"/>
      <c r="BE28" s="17"/>
    </row>
    <row r="29" spans="1:57" ht="30" customHeight="1" x14ac:dyDescent="0.3">
      <c r="A29" s="17"/>
      <c r="B29" s="17"/>
      <c r="C29" s="17"/>
      <c r="D29" s="17"/>
      <c r="E29" s="17"/>
      <c r="F29" s="17"/>
      <c r="G29" s="17"/>
      <c r="H29" s="601" t="s">
        <v>0</v>
      </c>
      <c r="I29" s="602"/>
      <c r="J29" s="602"/>
      <c r="K29" s="602"/>
      <c r="L29" s="602"/>
      <c r="M29" s="602"/>
      <c r="N29" s="602"/>
      <c r="O29" s="602"/>
      <c r="P29" s="603"/>
      <c r="Q29" s="634" t="s">
        <v>1037</v>
      </c>
      <c r="R29" s="635"/>
      <c r="S29" s="636"/>
      <c r="T29" s="640" t="s">
        <v>1042</v>
      </c>
      <c r="U29" s="627"/>
      <c r="V29" s="627"/>
      <c r="W29" s="627"/>
      <c r="X29" s="627"/>
      <c r="Y29" s="628"/>
      <c r="Z29" s="626" t="s">
        <v>1043</v>
      </c>
      <c r="AA29" s="627"/>
      <c r="AB29" s="627"/>
      <c r="AC29" s="627"/>
      <c r="AD29" s="627"/>
      <c r="AE29" s="628"/>
      <c r="AF29" s="626" t="s">
        <v>1044</v>
      </c>
      <c r="AG29" s="627"/>
      <c r="AH29" s="627"/>
      <c r="AI29" s="627"/>
      <c r="AJ29" s="627"/>
      <c r="AK29" s="628"/>
      <c r="AL29" s="626" t="s">
        <v>1045</v>
      </c>
      <c r="AM29" s="627"/>
      <c r="AN29" s="627"/>
      <c r="AO29" s="627"/>
      <c r="AP29" s="627"/>
      <c r="AQ29" s="628"/>
      <c r="AR29" s="626" t="s">
        <v>1046</v>
      </c>
      <c r="AS29" s="627"/>
      <c r="AT29" s="627"/>
      <c r="AU29" s="627"/>
      <c r="AV29" s="627"/>
      <c r="AW29" s="628"/>
      <c r="AX29" s="626" t="s">
        <v>1047</v>
      </c>
      <c r="AY29" s="627"/>
      <c r="AZ29" s="627"/>
      <c r="BA29" s="627"/>
      <c r="BB29" s="627"/>
      <c r="BC29" s="627"/>
      <c r="BD29" s="17"/>
      <c r="BE29" s="17"/>
    </row>
    <row r="30" spans="1:57" ht="30" customHeight="1" x14ac:dyDescent="0.3">
      <c r="A30" s="17"/>
      <c r="B30" s="17"/>
      <c r="C30" s="17"/>
      <c r="D30" s="17"/>
      <c r="E30" s="17"/>
      <c r="F30" s="17"/>
      <c r="G30" s="17"/>
      <c r="H30" s="604"/>
      <c r="I30" s="605"/>
      <c r="J30" s="605"/>
      <c r="K30" s="605"/>
      <c r="L30" s="605"/>
      <c r="M30" s="605"/>
      <c r="N30" s="605"/>
      <c r="O30" s="605"/>
      <c r="P30" s="606"/>
      <c r="Q30" s="637"/>
      <c r="R30" s="638"/>
      <c r="S30" s="639"/>
      <c r="T30" s="644" t="s">
        <v>985</v>
      </c>
      <c r="U30" s="625"/>
      <c r="V30" s="625"/>
      <c r="W30" s="645" t="s">
        <v>982</v>
      </c>
      <c r="X30" s="645"/>
      <c r="Y30" s="646"/>
      <c r="Z30" s="630" t="s">
        <v>985</v>
      </c>
      <c r="AA30" s="625"/>
      <c r="AB30" s="625"/>
      <c r="AC30" s="625" t="s">
        <v>982</v>
      </c>
      <c r="AD30" s="625"/>
      <c r="AE30" s="629"/>
      <c r="AF30" s="630" t="s">
        <v>985</v>
      </c>
      <c r="AG30" s="625"/>
      <c r="AH30" s="625"/>
      <c r="AI30" s="625" t="s">
        <v>982</v>
      </c>
      <c r="AJ30" s="625"/>
      <c r="AK30" s="629"/>
      <c r="AL30" s="630" t="s">
        <v>985</v>
      </c>
      <c r="AM30" s="625"/>
      <c r="AN30" s="625"/>
      <c r="AO30" s="625" t="s">
        <v>982</v>
      </c>
      <c r="AP30" s="625"/>
      <c r="AQ30" s="629"/>
      <c r="AR30" s="630" t="s">
        <v>985</v>
      </c>
      <c r="AS30" s="625"/>
      <c r="AT30" s="625"/>
      <c r="AU30" s="625" t="s">
        <v>982</v>
      </c>
      <c r="AV30" s="625"/>
      <c r="AW30" s="629"/>
      <c r="AX30" s="630" t="s">
        <v>985</v>
      </c>
      <c r="AY30" s="625"/>
      <c r="AZ30" s="625"/>
      <c r="BA30" s="625" t="s">
        <v>982</v>
      </c>
      <c r="BB30" s="625"/>
      <c r="BC30" s="625"/>
      <c r="BD30" s="17"/>
      <c r="BE30" s="17"/>
    </row>
    <row r="31" spans="1:57" ht="30" customHeight="1" x14ac:dyDescent="0.3">
      <c r="A31" s="17"/>
      <c r="B31" s="17"/>
      <c r="C31" s="17"/>
      <c r="D31" s="17"/>
      <c r="E31" s="17"/>
      <c r="F31" s="17"/>
      <c r="G31" s="17"/>
      <c r="H31" s="620" t="s">
        <v>38</v>
      </c>
      <c r="I31" s="621"/>
      <c r="J31" s="621"/>
      <c r="K31" s="621"/>
      <c r="L31" s="621"/>
      <c r="M31" s="621"/>
      <c r="N31" s="621"/>
      <c r="O31" s="621"/>
      <c r="P31" s="622"/>
      <c r="Q31" s="641">
        <f>SUMIFS('FTSE | FTFE'!$O$88:$O$96,'FTSE | FTFE'!$H$88:$H$96,H31)</f>
        <v>3487</v>
      </c>
      <c r="R31" s="642"/>
      <c r="S31" s="643"/>
      <c r="T31" s="610">
        <f>SUMIFS(Input[State Revenue], Input[Institution Name],H31)</f>
        <v>31731012</v>
      </c>
      <c r="U31" s="598"/>
      <c r="V31" s="598"/>
      <c r="W31" s="598">
        <f>ROUND(T31/$Q31,0)</f>
        <v>9100</v>
      </c>
      <c r="X31" s="598"/>
      <c r="Y31" s="599"/>
      <c r="Z31" s="600">
        <f>SUMIFS(Input[Constitutional Funds Revenue], Input[Institution Name],H31)</f>
        <v>2630158</v>
      </c>
      <c r="AA31" s="598"/>
      <c r="AB31" s="598"/>
      <c r="AC31" s="598">
        <f>ROUND(Z31/$Q31,0)</f>
        <v>754</v>
      </c>
      <c r="AD31" s="598"/>
      <c r="AE31" s="599"/>
      <c r="AF31" s="600">
        <f>SUMIFS(Input[Net Tuition Revenue], Input[Institution Name],H31)+SUMIFS(Input[Net Fees Revenue], Input[Institution Name],H31)</f>
        <v>4466619</v>
      </c>
      <c r="AG31" s="598"/>
      <c r="AH31" s="598"/>
      <c r="AI31" s="598">
        <f>ROUND(AF31/$Q31,0)</f>
        <v>1281</v>
      </c>
      <c r="AJ31" s="598"/>
      <c r="AK31" s="599"/>
      <c r="AL31" s="600">
        <f>SUMIFS(Input[Federal Revenue], Input[Institution Name],H31)</f>
        <v>12110124</v>
      </c>
      <c r="AM31" s="598"/>
      <c r="AN31" s="598"/>
      <c r="AO31" s="598">
        <f>ROUND(AL31/$Q31,0)</f>
        <v>3473</v>
      </c>
      <c r="AP31" s="598"/>
      <c r="AQ31" s="599"/>
      <c r="AR31" s="600">
        <f>SUMIFS(Input[Institutional Revenue], Input[Institution Name],H31)</f>
        <v>13645376</v>
      </c>
      <c r="AS31" s="598"/>
      <c r="AT31" s="598"/>
      <c r="AU31" s="598">
        <f>ROUND(AR31/$Q31,0)</f>
        <v>3913</v>
      </c>
      <c r="AV31" s="598"/>
      <c r="AW31" s="599"/>
      <c r="AX31" s="600">
        <f>ROUND(SUM(T31,Z31,AF31,AL31,AR31),0)</f>
        <v>64583289</v>
      </c>
      <c r="AY31" s="598"/>
      <c r="AZ31" s="598"/>
      <c r="BA31" s="598">
        <f>ROUND(AX31/$Q31,0)</f>
        <v>18521</v>
      </c>
      <c r="BB31" s="598"/>
      <c r="BC31" s="598"/>
      <c r="BD31" s="17"/>
      <c r="BE31" s="17"/>
    </row>
    <row r="32" spans="1:57" ht="30" customHeight="1" x14ac:dyDescent="0.3">
      <c r="A32" s="17"/>
      <c r="B32" s="17"/>
      <c r="C32" s="17"/>
      <c r="D32" s="17"/>
      <c r="E32" s="17"/>
      <c r="F32" s="17"/>
      <c r="G32" s="17"/>
      <c r="H32" s="579" t="s">
        <v>39</v>
      </c>
      <c r="I32" s="580"/>
      <c r="J32" s="580"/>
      <c r="K32" s="580"/>
      <c r="L32" s="580"/>
      <c r="M32" s="580"/>
      <c r="N32" s="580"/>
      <c r="O32" s="580"/>
      <c r="P32" s="619"/>
      <c r="Q32" s="582">
        <f>SUMIFS('FTSE | FTFE'!$O$88:$O$96,'FTSE | FTFE'!$H$88:$H$96,H32)</f>
        <v>2060</v>
      </c>
      <c r="R32" s="583"/>
      <c r="S32" s="586"/>
      <c r="T32" s="582">
        <f>SUMIFS(Input[State Revenue], Input[Institution Name],H32)</f>
        <v>22562496</v>
      </c>
      <c r="U32" s="583"/>
      <c r="V32" s="584"/>
      <c r="W32" s="585">
        <f t="shared" ref="W32:W39" si="7">ROUND(T32/$Q32,0)</f>
        <v>10953</v>
      </c>
      <c r="X32" s="583"/>
      <c r="Y32" s="586"/>
      <c r="Z32" s="582">
        <f>SUMIFS(Input[Constitutional Funds Revenue], Input[Institution Name],H32)</f>
        <v>1533301</v>
      </c>
      <c r="AA32" s="583"/>
      <c r="AB32" s="584"/>
      <c r="AC32" s="585">
        <f t="shared" ref="AC32:AC39" si="8">ROUND(Z32/$Q32,0)</f>
        <v>744</v>
      </c>
      <c r="AD32" s="583"/>
      <c r="AE32" s="586"/>
      <c r="AF32" s="582">
        <f>SUMIFS(Input[Net Tuition Revenue], Input[Institution Name],H32)+SUMIFS(Input[Net Fees Revenue], Input[Institution Name],H32)</f>
        <v>3020166</v>
      </c>
      <c r="AG32" s="583"/>
      <c r="AH32" s="584"/>
      <c r="AI32" s="585">
        <f t="shared" ref="AI32:AI39" si="9">ROUND(AF32/$Q32,0)</f>
        <v>1466</v>
      </c>
      <c r="AJ32" s="583"/>
      <c r="AK32" s="586"/>
      <c r="AL32" s="582">
        <f>SUMIFS(Input[Federal Revenue], Input[Institution Name],H32)</f>
        <v>5670044</v>
      </c>
      <c r="AM32" s="583"/>
      <c r="AN32" s="584"/>
      <c r="AO32" s="585">
        <f>ROUND(AL32/$Q32,0)</f>
        <v>2752</v>
      </c>
      <c r="AP32" s="583"/>
      <c r="AQ32" s="586"/>
      <c r="AR32" s="582">
        <f>SUMIFS(Input[Institutional Revenue], Input[Institution Name],H32)</f>
        <v>1919327</v>
      </c>
      <c r="AS32" s="583"/>
      <c r="AT32" s="584"/>
      <c r="AU32" s="585">
        <f t="shared" ref="AU32:AU39" si="10">ROUND(AR32/$Q32,0)</f>
        <v>932</v>
      </c>
      <c r="AV32" s="583"/>
      <c r="AW32" s="586"/>
      <c r="AX32" s="582">
        <f t="shared" ref="AX32:AX39" si="11">ROUND(SUM(T32,Z32,AF32,AL32,AR32),0)</f>
        <v>34705334</v>
      </c>
      <c r="AY32" s="583"/>
      <c r="AZ32" s="584"/>
      <c r="BA32" s="585">
        <f t="shared" ref="BA32:BA39" si="12">ROUND(AX32/$Q32,0)</f>
        <v>16847</v>
      </c>
      <c r="BB32" s="583"/>
      <c r="BC32" s="584"/>
      <c r="BD32" s="17"/>
      <c r="BE32" s="17"/>
    </row>
    <row r="33" spans="1:57" ht="30" customHeight="1" x14ac:dyDescent="0.3">
      <c r="A33" s="17"/>
      <c r="B33" s="17"/>
      <c r="C33" s="17"/>
      <c r="D33" s="17"/>
      <c r="E33" s="17"/>
      <c r="F33" s="17"/>
      <c r="G33" s="17"/>
      <c r="H33" s="616" t="s">
        <v>42</v>
      </c>
      <c r="I33" s="617"/>
      <c r="J33" s="617"/>
      <c r="K33" s="617"/>
      <c r="L33" s="617"/>
      <c r="M33" s="617"/>
      <c r="N33" s="617"/>
      <c r="O33" s="617"/>
      <c r="P33" s="618"/>
      <c r="Q33" s="576">
        <f>SUMIFS('FTSE | FTFE'!$O$88:$O$96,'FTSE | FTFE'!$H$88:$H$96,H33)</f>
        <v>2668</v>
      </c>
      <c r="R33" s="574"/>
      <c r="S33" s="575"/>
      <c r="T33" s="576">
        <f>SUMIFS(Input[State Revenue], Input[Institution Name],H33)</f>
        <v>25003290</v>
      </c>
      <c r="U33" s="574"/>
      <c r="V33" s="577"/>
      <c r="W33" s="573">
        <f t="shared" si="7"/>
        <v>9372</v>
      </c>
      <c r="X33" s="574"/>
      <c r="Y33" s="575"/>
      <c r="Z33" s="576">
        <f>SUMIFS(Input[Constitutional Funds Revenue], Input[Institution Name],H33)</f>
        <v>2283992</v>
      </c>
      <c r="AA33" s="574"/>
      <c r="AB33" s="577"/>
      <c r="AC33" s="573">
        <f t="shared" si="8"/>
        <v>856</v>
      </c>
      <c r="AD33" s="574"/>
      <c r="AE33" s="575"/>
      <c r="AF33" s="576">
        <f>SUMIFS(Input[Net Tuition Revenue], Input[Institution Name],H33)+SUMIFS(Input[Net Fees Revenue], Input[Institution Name],H33)</f>
        <v>3679944</v>
      </c>
      <c r="AG33" s="574"/>
      <c r="AH33" s="577"/>
      <c r="AI33" s="573">
        <f t="shared" si="9"/>
        <v>1379</v>
      </c>
      <c r="AJ33" s="574"/>
      <c r="AK33" s="575"/>
      <c r="AL33" s="576">
        <f>SUMIFS(Input[Federal Revenue], Input[Institution Name],H33)</f>
        <v>5340</v>
      </c>
      <c r="AM33" s="574"/>
      <c r="AN33" s="577"/>
      <c r="AO33" s="573">
        <f t="shared" ref="AO33:AO39" si="13">ROUND(AL33/$Q33,0)</f>
        <v>2</v>
      </c>
      <c r="AP33" s="574"/>
      <c r="AQ33" s="575"/>
      <c r="AR33" s="576">
        <f>SUMIFS(Input[Institutional Revenue], Input[Institution Name],H33)</f>
        <v>2785420</v>
      </c>
      <c r="AS33" s="574"/>
      <c r="AT33" s="577"/>
      <c r="AU33" s="573">
        <f t="shared" si="10"/>
        <v>1044</v>
      </c>
      <c r="AV33" s="574"/>
      <c r="AW33" s="575"/>
      <c r="AX33" s="576">
        <f t="shared" si="11"/>
        <v>33757986</v>
      </c>
      <c r="AY33" s="574"/>
      <c r="AZ33" s="577"/>
      <c r="BA33" s="573">
        <f t="shared" si="12"/>
        <v>12653</v>
      </c>
      <c r="BB33" s="574"/>
      <c r="BC33" s="577"/>
      <c r="BD33" s="17"/>
      <c r="BE33" s="17"/>
    </row>
    <row r="34" spans="1:57" ht="30" customHeight="1" x14ac:dyDescent="0.3">
      <c r="A34" s="17"/>
      <c r="B34" s="17"/>
      <c r="C34" s="17"/>
      <c r="D34" s="17"/>
      <c r="E34" s="17"/>
      <c r="F34" s="17"/>
      <c r="G34" s="17"/>
      <c r="H34" s="579" t="s">
        <v>43</v>
      </c>
      <c r="I34" s="580"/>
      <c r="J34" s="580"/>
      <c r="K34" s="580"/>
      <c r="L34" s="580"/>
      <c r="M34" s="580"/>
      <c r="N34" s="580"/>
      <c r="O34" s="580"/>
      <c r="P34" s="619"/>
      <c r="Q34" s="582">
        <f>SUMIFS('FTSE | FTFE'!$O$88:$O$96,'FTSE | FTFE'!$H$88:$H$96,H34)</f>
        <v>1321</v>
      </c>
      <c r="R34" s="583"/>
      <c r="S34" s="586"/>
      <c r="T34" s="582">
        <f>SUMIFS(Input[State Revenue], Input[Institution Name],H34)</f>
        <v>43224196</v>
      </c>
      <c r="U34" s="583"/>
      <c r="V34" s="584"/>
      <c r="W34" s="585">
        <f t="shared" si="7"/>
        <v>32721</v>
      </c>
      <c r="X34" s="583"/>
      <c r="Y34" s="586"/>
      <c r="Z34" s="582">
        <f>SUMIFS(Input[Constitutional Funds Revenue], Input[Institution Name],H34)</f>
        <v>1777200</v>
      </c>
      <c r="AA34" s="583"/>
      <c r="AB34" s="584"/>
      <c r="AC34" s="585">
        <f t="shared" si="8"/>
        <v>1345</v>
      </c>
      <c r="AD34" s="583"/>
      <c r="AE34" s="586"/>
      <c r="AF34" s="582">
        <f>SUMIFS(Input[Net Tuition Revenue], Input[Institution Name],H34)+SUMIFS(Input[Net Fees Revenue], Input[Institution Name],H34)</f>
        <v>1910804</v>
      </c>
      <c r="AG34" s="583"/>
      <c r="AH34" s="584"/>
      <c r="AI34" s="585">
        <f t="shared" si="9"/>
        <v>1446</v>
      </c>
      <c r="AJ34" s="583"/>
      <c r="AK34" s="586"/>
      <c r="AL34" s="582">
        <f>SUMIFS(Input[Federal Revenue], Input[Institution Name],H34)</f>
        <v>5670633</v>
      </c>
      <c r="AM34" s="583"/>
      <c r="AN34" s="584"/>
      <c r="AO34" s="585">
        <f t="shared" si="13"/>
        <v>4293</v>
      </c>
      <c r="AP34" s="583"/>
      <c r="AQ34" s="586"/>
      <c r="AR34" s="582">
        <f>SUMIFS(Input[Institutional Revenue], Input[Institution Name],H34)</f>
        <v>3955954</v>
      </c>
      <c r="AS34" s="583"/>
      <c r="AT34" s="584"/>
      <c r="AU34" s="585">
        <f t="shared" si="10"/>
        <v>2995</v>
      </c>
      <c r="AV34" s="583"/>
      <c r="AW34" s="586"/>
      <c r="AX34" s="582">
        <f t="shared" si="11"/>
        <v>56538787</v>
      </c>
      <c r="AY34" s="583"/>
      <c r="AZ34" s="584"/>
      <c r="BA34" s="585">
        <f t="shared" si="12"/>
        <v>42800</v>
      </c>
      <c r="BB34" s="583"/>
      <c r="BC34" s="584"/>
      <c r="BD34" s="17"/>
      <c r="BE34" s="17"/>
    </row>
    <row r="35" spans="1:57" ht="30" customHeight="1" x14ac:dyDescent="0.3">
      <c r="A35" s="17"/>
      <c r="B35" s="17"/>
      <c r="C35" s="17"/>
      <c r="D35" s="17"/>
      <c r="E35" s="17"/>
      <c r="F35" s="17"/>
      <c r="G35" s="17"/>
      <c r="H35" s="616" t="s">
        <v>46</v>
      </c>
      <c r="I35" s="617"/>
      <c r="J35" s="617"/>
      <c r="K35" s="617"/>
      <c r="L35" s="617"/>
      <c r="M35" s="617"/>
      <c r="N35" s="617"/>
      <c r="O35" s="617"/>
      <c r="P35" s="618"/>
      <c r="Q35" s="576">
        <f>SUMIFS('FTSE | FTFE'!$O$88:$O$96,'FTSE | FTFE'!$H$88:$H$96,H35)</f>
        <v>656</v>
      </c>
      <c r="R35" s="574"/>
      <c r="S35" s="575"/>
      <c r="T35" s="576">
        <f>SUMIFS(Input[State Revenue], Input[Institution Name],H35)</f>
        <v>21573603</v>
      </c>
      <c r="U35" s="574"/>
      <c r="V35" s="577"/>
      <c r="W35" s="573">
        <f t="shared" si="7"/>
        <v>32887</v>
      </c>
      <c r="X35" s="574"/>
      <c r="Y35" s="575"/>
      <c r="Z35" s="576">
        <f>SUMIFS(Input[Constitutional Funds Revenue], Input[Institution Name],H35)</f>
        <v>626781</v>
      </c>
      <c r="AA35" s="574"/>
      <c r="AB35" s="577"/>
      <c r="AC35" s="573">
        <f t="shared" si="8"/>
        <v>955</v>
      </c>
      <c r="AD35" s="574"/>
      <c r="AE35" s="575"/>
      <c r="AF35" s="576">
        <f>SUMIFS(Input[Net Tuition Revenue], Input[Institution Name],H35)+SUMIFS(Input[Net Fees Revenue], Input[Institution Name],H35)</f>
        <v>2630917</v>
      </c>
      <c r="AG35" s="574"/>
      <c r="AH35" s="577"/>
      <c r="AI35" s="573">
        <f t="shared" si="9"/>
        <v>4011</v>
      </c>
      <c r="AJ35" s="574"/>
      <c r="AK35" s="575"/>
      <c r="AL35" s="576">
        <f>SUMIFS(Input[Federal Revenue], Input[Institution Name],H35)</f>
        <v>1690151</v>
      </c>
      <c r="AM35" s="574"/>
      <c r="AN35" s="577"/>
      <c r="AO35" s="573">
        <f t="shared" si="13"/>
        <v>2576</v>
      </c>
      <c r="AP35" s="574"/>
      <c r="AQ35" s="575"/>
      <c r="AR35" s="576">
        <f>SUMIFS(Input[Institutional Revenue], Input[Institution Name],H35)</f>
        <v>2121814</v>
      </c>
      <c r="AS35" s="574"/>
      <c r="AT35" s="577"/>
      <c r="AU35" s="573">
        <f t="shared" si="10"/>
        <v>3234</v>
      </c>
      <c r="AV35" s="574"/>
      <c r="AW35" s="575"/>
      <c r="AX35" s="576">
        <f t="shared" si="11"/>
        <v>28643266</v>
      </c>
      <c r="AY35" s="574"/>
      <c r="AZ35" s="577"/>
      <c r="BA35" s="573">
        <f t="shared" si="12"/>
        <v>43664</v>
      </c>
      <c r="BB35" s="574"/>
      <c r="BC35" s="577"/>
      <c r="BD35" s="17"/>
      <c r="BE35" s="17"/>
    </row>
    <row r="36" spans="1:57" ht="30" customHeight="1" x14ac:dyDescent="0.3">
      <c r="A36" s="17"/>
      <c r="B36" s="17"/>
      <c r="C36" s="17"/>
      <c r="D36" s="17"/>
      <c r="E36" s="17"/>
      <c r="F36" s="17"/>
      <c r="G36" s="17"/>
      <c r="H36" s="579" t="s">
        <v>47</v>
      </c>
      <c r="I36" s="580"/>
      <c r="J36" s="580"/>
      <c r="K36" s="580"/>
      <c r="L36" s="580"/>
      <c r="M36" s="580"/>
      <c r="N36" s="580"/>
      <c r="O36" s="580"/>
      <c r="P36" s="619"/>
      <c r="Q36" s="582">
        <f>SUMIFS('FTSE | FTFE'!$O$88:$O$96,'FTSE | FTFE'!$H$88:$H$96,H36)</f>
        <v>455</v>
      </c>
      <c r="R36" s="583"/>
      <c r="S36" s="586"/>
      <c r="T36" s="582">
        <f>SUMIFS(Input[State Revenue], Input[Institution Name],H36)</f>
        <v>10978200</v>
      </c>
      <c r="U36" s="583"/>
      <c r="V36" s="584"/>
      <c r="W36" s="585">
        <f t="shared" si="7"/>
        <v>24128</v>
      </c>
      <c r="X36" s="583"/>
      <c r="Y36" s="586"/>
      <c r="Z36" s="582">
        <f>SUMIFS(Input[Constitutional Funds Revenue], Input[Institution Name],H36)</f>
        <v>310159</v>
      </c>
      <c r="AA36" s="583"/>
      <c r="AB36" s="584"/>
      <c r="AC36" s="585">
        <f t="shared" si="8"/>
        <v>682</v>
      </c>
      <c r="AD36" s="583"/>
      <c r="AE36" s="586"/>
      <c r="AF36" s="582">
        <f>SUMIFS(Input[Net Tuition Revenue], Input[Institution Name],H36)+SUMIFS(Input[Net Fees Revenue], Input[Institution Name],H36)</f>
        <v>1308542</v>
      </c>
      <c r="AG36" s="583"/>
      <c r="AH36" s="584"/>
      <c r="AI36" s="585">
        <f t="shared" si="9"/>
        <v>2876</v>
      </c>
      <c r="AJ36" s="583"/>
      <c r="AK36" s="586"/>
      <c r="AL36" s="582">
        <f>SUMIFS(Input[Federal Revenue], Input[Institution Name],H36)</f>
        <v>785439</v>
      </c>
      <c r="AM36" s="583"/>
      <c r="AN36" s="584"/>
      <c r="AO36" s="585">
        <f t="shared" si="13"/>
        <v>1726</v>
      </c>
      <c r="AP36" s="583"/>
      <c r="AQ36" s="586"/>
      <c r="AR36" s="582">
        <f>SUMIFS(Input[Institutional Revenue], Input[Institution Name],H36)</f>
        <v>516260</v>
      </c>
      <c r="AS36" s="583"/>
      <c r="AT36" s="584"/>
      <c r="AU36" s="585">
        <f t="shared" si="10"/>
        <v>1135</v>
      </c>
      <c r="AV36" s="583"/>
      <c r="AW36" s="586"/>
      <c r="AX36" s="582">
        <f t="shared" si="11"/>
        <v>13898600</v>
      </c>
      <c r="AY36" s="583"/>
      <c r="AZ36" s="584"/>
      <c r="BA36" s="585">
        <f t="shared" si="12"/>
        <v>30546</v>
      </c>
      <c r="BB36" s="583"/>
      <c r="BC36" s="584"/>
      <c r="BD36" s="17"/>
      <c r="BE36" s="17"/>
    </row>
    <row r="37" spans="1:57" ht="30" customHeight="1" x14ac:dyDescent="0.3">
      <c r="A37" s="17"/>
      <c r="B37" s="17"/>
      <c r="C37" s="17"/>
      <c r="D37" s="17"/>
      <c r="E37" s="17"/>
      <c r="F37" s="17"/>
      <c r="G37" s="17"/>
      <c r="H37" s="616" t="s">
        <v>48</v>
      </c>
      <c r="I37" s="617"/>
      <c r="J37" s="617"/>
      <c r="K37" s="617"/>
      <c r="L37" s="617"/>
      <c r="M37" s="617"/>
      <c r="N37" s="617"/>
      <c r="O37" s="617"/>
      <c r="P37" s="618"/>
      <c r="Q37" s="576">
        <f>SUMIFS('FTSE | FTFE'!$O$88:$O$96,'FTSE | FTFE'!$H$88:$H$96,H37)</f>
        <v>5960</v>
      </c>
      <c r="R37" s="574"/>
      <c r="S37" s="575"/>
      <c r="T37" s="576">
        <f>SUMIFS(Input[State Revenue], Input[Institution Name],H37)</f>
        <v>70696952</v>
      </c>
      <c r="U37" s="574"/>
      <c r="V37" s="577"/>
      <c r="W37" s="573">
        <f t="shared" si="7"/>
        <v>11862</v>
      </c>
      <c r="X37" s="574"/>
      <c r="Y37" s="575"/>
      <c r="Z37" s="576">
        <f>SUMIFS(Input[Constitutional Funds Revenue], Input[Institution Name],H37)</f>
        <v>5356666</v>
      </c>
      <c r="AA37" s="574"/>
      <c r="AB37" s="577"/>
      <c r="AC37" s="573">
        <f t="shared" si="8"/>
        <v>899</v>
      </c>
      <c r="AD37" s="574"/>
      <c r="AE37" s="575"/>
      <c r="AF37" s="576">
        <f>SUMIFS(Input[Net Tuition Revenue], Input[Institution Name],H37)+SUMIFS(Input[Net Fees Revenue], Input[Institution Name],H37)</f>
        <v>30489101</v>
      </c>
      <c r="AG37" s="574"/>
      <c r="AH37" s="577"/>
      <c r="AI37" s="573">
        <f t="shared" si="9"/>
        <v>5116</v>
      </c>
      <c r="AJ37" s="574"/>
      <c r="AK37" s="575"/>
      <c r="AL37" s="576">
        <f>SUMIFS(Input[Federal Revenue], Input[Institution Name],H37)</f>
        <v>7925334</v>
      </c>
      <c r="AM37" s="574"/>
      <c r="AN37" s="577"/>
      <c r="AO37" s="573">
        <f t="shared" si="13"/>
        <v>1330</v>
      </c>
      <c r="AP37" s="574"/>
      <c r="AQ37" s="575"/>
      <c r="AR37" s="576">
        <f>SUMIFS(Input[Institutional Revenue], Input[Institution Name],H37)</f>
        <v>9017851</v>
      </c>
      <c r="AS37" s="574"/>
      <c r="AT37" s="577"/>
      <c r="AU37" s="573">
        <f t="shared" si="10"/>
        <v>1513</v>
      </c>
      <c r="AV37" s="574"/>
      <c r="AW37" s="575"/>
      <c r="AX37" s="576">
        <f t="shared" si="11"/>
        <v>123485904</v>
      </c>
      <c r="AY37" s="574"/>
      <c r="AZ37" s="577"/>
      <c r="BA37" s="573">
        <f t="shared" si="12"/>
        <v>20719</v>
      </c>
      <c r="BB37" s="574"/>
      <c r="BC37" s="577"/>
      <c r="BD37" s="17"/>
      <c r="BE37" s="17"/>
    </row>
    <row r="38" spans="1:57" ht="30" customHeight="1" x14ac:dyDescent="0.3">
      <c r="A38" s="17"/>
      <c r="B38" s="17"/>
      <c r="C38" s="17"/>
      <c r="D38" s="17"/>
      <c r="E38" s="17"/>
      <c r="F38" s="17"/>
      <c r="G38" s="17"/>
      <c r="H38" s="579" t="s">
        <v>50</v>
      </c>
      <c r="I38" s="580"/>
      <c r="J38" s="580"/>
      <c r="K38" s="580"/>
      <c r="L38" s="580"/>
      <c r="M38" s="580"/>
      <c r="N38" s="580"/>
      <c r="O38" s="580"/>
      <c r="P38" s="619"/>
      <c r="Q38" s="582">
        <f>SUMIFS('FTSE | FTFE'!$O$88:$O$96,'FTSE | FTFE'!$H$88:$H$96,H38)</f>
        <v>758</v>
      </c>
      <c r="R38" s="583"/>
      <c r="S38" s="586"/>
      <c r="T38" s="582">
        <f>SUMIFS(Input[State Revenue], Input[Institution Name],H38)</f>
        <v>13467972</v>
      </c>
      <c r="U38" s="583"/>
      <c r="V38" s="584"/>
      <c r="W38" s="585">
        <f t="shared" si="7"/>
        <v>17768</v>
      </c>
      <c r="X38" s="583"/>
      <c r="Y38" s="586"/>
      <c r="Z38" s="582">
        <f>SUMIFS(Input[Constitutional Funds Revenue], Input[Institution Name],H38)</f>
        <v>591695</v>
      </c>
      <c r="AA38" s="583"/>
      <c r="AB38" s="584"/>
      <c r="AC38" s="585">
        <f t="shared" si="8"/>
        <v>781</v>
      </c>
      <c r="AD38" s="583"/>
      <c r="AE38" s="586"/>
      <c r="AF38" s="582">
        <f>SUMIFS(Input[Net Tuition Revenue], Input[Institution Name],H38)+SUMIFS(Input[Net Fees Revenue], Input[Institution Name],H38)</f>
        <v>2656412</v>
      </c>
      <c r="AG38" s="583"/>
      <c r="AH38" s="584"/>
      <c r="AI38" s="585">
        <f t="shared" si="9"/>
        <v>3505</v>
      </c>
      <c r="AJ38" s="583"/>
      <c r="AK38" s="586"/>
      <c r="AL38" s="582">
        <f>SUMIFS(Input[Federal Revenue], Input[Institution Name],H38)</f>
        <v>1160944</v>
      </c>
      <c r="AM38" s="583"/>
      <c r="AN38" s="584"/>
      <c r="AO38" s="585">
        <f t="shared" si="13"/>
        <v>1532</v>
      </c>
      <c r="AP38" s="583"/>
      <c r="AQ38" s="586"/>
      <c r="AR38" s="582">
        <f>SUMIFS(Input[Institutional Revenue], Input[Institution Name],H38)</f>
        <v>1301514</v>
      </c>
      <c r="AS38" s="583"/>
      <c r="AT38" s="584"/>
      <c r="AU38" s="585">
        <f t="shared" si="10"/>
        <v>1717</v>
      </c>
      <c r="AV38" s="583"/>
      <c r="AW38" s="586"/>
      <c r="AX38" s="582">
        <f t="shared" si="11"/>
        <v>19178537</v>
      </c>
      <c r="AY38" s="583"/>
      <c r="AZ38" s="584"/>
      <c r="BA38" s="585">
        <f t="shared" si="12"/>
        <v>25302</v>
      </c>
      <c r="BB38" s="583"/>
      <c r="BC38" s="584"/>
      <c r="BD38" s="17"/>
      <c r="BE38" s="17"/>
    </row>
    <row r="39" spans="1:57" ht="30" customHeight="1" thickBot="1" x14ac:dyDescent="0.35">
      <c r="A39" s="17"/>
      <c r="B39" s="17"/>
      <c r="C39" s="17"/>
      <c r="D39" s="17"/>
      <c r="E39" s="17"/>
      <c r="F39" s="17"/>
      <c r="G39" s="17"/>
      <c r="H39" s="616" t="s">
        <v>49</v>
      </c>
      <c r="I39" s="617"/>
      <c r="J39" s="617"/>
      <c r="K39" s="617"/>
      <c r="L39" s="617"/>
      <c r="M39" s="617"/>
      <c r="N39" s="617"/>
      <c r="O39" s="617"/>
      <c r="P39" s="618"/>
      <c r="Q39" s="614">
        <f>SUMIFS('FTSE | FTFE'!$O$88:$O$96,'FTSE | FTFE'!$H$88:$H$96,H39)</f>
        <v>334</v>
      </c>
      <c r="R39" s="612"/>
      <c r="S39" s="613"/>
      <c r="T39" s="614">
        <f>SUMIFS(Input[State Revenue], Input[Institution Name],H39)</f>
        <v>8469740</v>
      </c>
      <c r="U39" s="612"/>
      <c r="V39" s="615"/>
      <c r="W39" s="611">
        <f t="shared" si="7"/>
        <v>25359</v>
      </c>
      <c r="X39" s="612"/>
      <c r="Y39" s="613"/>
      <c r="Z39" s="614">
        <f>SUMIFS(Input[Constitutional Funds Revenue], Input[Institution Name],H39)</f>
        <v>0</v>
      </c>
      <c r="AA39" s="612"/>
      <c r="AB39" s="615"/>
      <c r="AC39" s="611">
        <f t="shared" si="8"/>
        <v>0</v>
      </c>
      <c r="AD39" s="612"/>
      <c r="AE39" s="613"/>
      <c r="AF39" s="614">
        <f>SUMIFS(Input[Net Tuition Revenue], Input[Institution Name],H39)+SUMIFS(Input[Net Fees Revenue], Input[Institution Name],H39)</f>
        <v>1403159</v>
      </c>
      <c r="AG39" s="612"/>
      <c r="AH39" s="615"/>
      <c r="AI39" s="611">
        <f t="shared" si="9"/>
        <v>4201</v>
      </c>
      <c r="AJ39" s="612"/>
      <c r="AK39" s="613"/>
      <c r="AL39" s="614">
        <f>SUMIFS(Input[Federal Revenue], Input[Institution Name],H39)</f>
        <v>747666</v>
      </c>
      <c r="AM39" s="612"/>
      <c r="AN39" s="615"/>
      <c r="AO39" s="611">
        <f t="shared" si="13"/>
        <v>2239</v>
      </c>
      <c r="AP39" s="612"/>
      <c r="AQ39" s="613"/>
      <c r="AR39" s="614">
        <f>SUMIFS(Input[Institutional Revenue], Input[Institution Name],H39)</f>
        <v>517819</v>
      </c>
      <c r="AS39" s="612"/>
      <c r="AT39" s="615"/>
      <c r="AU39" s="611">
        <f t="shared" si="10"/>
        <v>1550</v>
      </c>
      <c r="AV39" s="612"/>
      <c r="AW39" s="613"/>
      <c r="AX39" s="614">
        <f t="shared" si="11"/>
        <v>11138384</v>
      </c>
      <c r="AY39" s="612"/>
      <c r="AZ39" s="615"/>
      <c r="BA39" s="611">
        <f t="shared" si="12"/>
        <v>33348</v>
      </c>
      <c r="BB39" s="612"/>
      <c r="BC39" s="615"/>
      <c r="BD39" s="17"/>
      <c r="BE39" s="17"/>
    </row>
    <row r="40" spans="1:57" ht="30" customHeight="1" thickTop="1" x14ac:dyDescent="0.3">
      <c r="A40" s="17"/>
      <c r="B40" s="17"/>
      <c r="C40" s="17"/>
      <c r="D40" s="17"/>
      <c r="E40" s="17"/>
      <c r="F40" s="17"/>
      <c r="G40" s="17"/>
      <c r="H40" s="564"/>
      <c r="I40" s="565"/>
      <c r="J40" s="565"/>
      <c r="K40" s="565"/>
      <c r="L40" s="565"/>
      <c r="M40" s="565"/>
      <c r="N40" s="565"/>
      <c r="O40" s="565"/>
      <c r="P40" s="566"/>
      <c r="Q40" s="593">
        <f>SUM(Q31:S39)</f>
        <v>17699</v>
      </c>
      <c r="R40" s="591"/>
      <c r="S40" s="592"/>
      <c r="T40" s="593">
        <f>SUM(T31:V39)</f>
        <v>247707461</v>
      </c>
      <c r="U40" s="591"/>
      <c r="V40" s="594"/>
      <c r="W40" s="590">
        <f>SUM(W31:Y39)</f>
        <v>174150</v>
      </c>
      <c r="X40" s="591"/>
      <c r="Y40" s="592"/>
      <c r="Z40" s="593">
        <f>SUM(Z31:AB39)</f>
        <v>15109952</v>
      </c>
      <c r="AA40" s="591"/>
      <c r="AB40" s="594"/>
      <c r="AC40" s="590">
        <f>SUM(AC31:AE39)</f>
        <v>7016</v>
      </c>
      <c r="AD40" s="591"/>
      <c r="AE40" s="592"/>
      <c r="AF40" s="593">
        <f>SUM(AF31:AH39)</f>
        <v>51565664</v>
      </c>
      <c r="AG40" s="591"/>
      <c r="AH40" s="594"/>
      <c r="AI40" s="590">
        <f>SUM(AI31:AK39)</f>
        <v>25281</v>
      </c>
      <c r="AJ40" s="591"/>
      <c r="AK40" s="592"/>
      <c r="AL40" s="593">
        <f>SUM(AL31:AN39)</f>
        <v>35765675</v>
      </c>
      <c r="AM40" s="591"/>
      <c r="AN40" s="594"/>
      <c r="AO40" s="590">
        <f>SUM(AO31:AQ39)</f>
        <v>19923</v>
      </c>
      <c r="AP40" s="591"/>
      <c r="AQ40" s="592"/>
      <c r="AR40" s="593">
        <f>SUM(AR31:AT39)</f>
        <v>35781335</v>
      </c>
      <c r="AS40" s="591"/>
      <c r="AT40" s="594"/>
      <c r="AU40" s="590">
        <f>SUM(AU31:AW39)</f>
        <v>18033</v>
      </c>
      <c r="AV40" s="591"/>
      <c r="AW40" s="592"/>
      <c r="AX40" s="593">
        <f>SUM(AX31:AZ39)</f>
        <v>385930087</v>
      </c>
      <c r="AY40" s="591"/>
      <c r="AZ40" s="594"/>
      <c r="BA40" s="590">
        <f>SUM(BA31:BC39)</f>
        <v>244400</v>
      </c>
      <c r="BB40" s="591"/>
      <c r="BC40" s="594"/>
      <c r="BD40" s="17"/>
      <c r="BE40" s="17"/>
    </row>
    <row r="41" spans="1:57" ht="30" customHeight="1" x14ac:dyDescent="0.3">
      <c r="A41" s="17"/>
      <c r="B41" s="17"/>
      <c r="C41" s="17"/>
      <c r="D41" s="17"/>
      <c r="E41" s="17"/>
      <c r="F41" s="17"/>
      <c r="G41" s="17"/>
      <c r="H41" s="578" t="s">
        <v>1041</v>
      </c>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78"/>
      <c r="AL41" s="578"/>
      <c r="AM41" s="578"/>
      <c r="AN41" s="578"/>
      <c r="AO41" s="578"/>
      <c r="AP41" s="578"/>
      <c r="AQ41" s="578"/>
      <c r="AR41" s="578"/>
      <c r="AS41" s="578"/>
      <c r="AT41" s="578"/>
      <c r="AU41" s="578"/>
      <c r="AV41" s="578"/>
      <c r="AW41" s="578"/>
      <c r="AX41" s="578"/>
      <c r="AY41" s="578"/>
      <c r="AZ41" s="578"/>
      <c r="BA41" s="578"/>
      <c r="BB41" s="578"/>
      <c r="BC41" s="578"/>
      <c r="BD41" s="17"/>
      <c r="BE41" s="17"/>
    </row>
    <row r="42" spans="1:57" ht="30" customHeight="1" x14ac:dyDescent="0.3">
      <c r="A42" s="17"/>
      <c r="B42" s="17"/>
      <c r="C42" s="17"/>
      <c r="D42" s="17"/>
      <c r="E42" s="17"/>
      <c r="F42" s="17"/>
      <c r="G42" s="17"/>
      <c r="H42" s="20"/>
      <c r="I42" s="20"/>
      <c r="J42" s="20"/>
      <c r="K42" s="20"/>
      <c r="L42" s="20"/>
      <c r="M42" s="20"/>
      <c r="N42" s="20"/>
      <c r="O42" s="20"/>
      <c r="P42" s="20"/>
      <c r="Q42" s="21"/>
      <c r="R42" s="21"/>
      <c r="S42" s="21"/>
      <c r="T42" s="22"/>
      <c r="U42" s="22"/>
      <c r="V42" s="22"/>
      <c r="W42" s="23"/>
      <c r="X42" s="23"/>
      <c r="Y42" s="23"/>
      <c r="Z42" s="22"/>
      <c r="AA42" s="22"/>
      <c r="AB42" s="22"/>
      <c r="AC42" s="22"/>
      <c r="AD42" s="22"/>
      <c r="AE42" s="22"/>
      <c r="AF42" s="22"/>
      <c r="AG42" s="22"/>
      <c r="AH42" s="22"/>
      <c r="AI42" s="22"/>
      <c r="AJ42" s="22"/>
      <c r="AK42" s="22"/>
      <c r="AL42" s="22"/>
      <c r="AM42" s="22"/>
      <c r="AN42" s="22"/>
      <c r="AO42" s="22"/>
      <c r="AP42" s="22"/>
      <c r="AQ42" s="22"/>
      <c r="AR42" s="22"/>
      <c r="AS42" s="22"/>
      <c r="AT42" s="22"/>
      <c r="AU42" s="22"/>
      <c r="AV42" s="22"/>
      <c r="AW42" s="22"/>
      <c r="AX42" s="22"/>
      <c r="AY42" s="22"/>
      <c r="AZ42" s="22"/>
      <c r="BA42" s="22"/>
      <c r="BB42" s="22"/>
      <c r="BC42" s="22"/>
      <c r="BD42" s="17"/>
      <c r="BE42" s="17"/>
    </row>
    <row r="43" spans="1:57" ht="30" customHeight="1" x14ac:dyDescent="0.3">
      <c r="A43" s="17"/>
      <c r="B43" s="17"/>
      <c r="C43" s="17"/>
      <c r="D43" s="17"/>
      <c r="E43" s="17"/>
      <c r="F43" s="17"/>
      <c r="G43" s="17"/>
      <c r="H43" s="567" t="s">
        <v>108</v>
      </c>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567"/>
      <c r="AO43" s="567"/>
      <c r="AP43" s="567"/>
      <c r="AQ43" s="567"/>
      <c r="AR43" s="567"/>
      <c r="AS43" s="567"/>
      <c r="AT43" s="567"/>
      <c r="AU43" s="567"/>
      <c r="AV43" s="567"/>
      <c r="AW43" s="567"/>
      <c r="AX43" s="567"/>
      <c r="AY43" s="567"/>
      <c r="AZ43" s="567"/>
      <c r="BA43" s="567"/>
      <c r="BB43" s="567"/>
      <c r="BC43" s="567"/>
      <c r="BD43" s="17"/>
      <c r="BE43" s="17"/>
    </row>
    <row r="44" spans="1:57" ht="30" customHeight="1" x14ac:dyDescent="0.4">
      <c r="A44" s="17"/>
      <c r="B44" s="17"/>
      <c r="C44" s="17"/>
      <c r="D44" s="17"/>
      <c r="E44" s="17"/>
      <c r="F44" s="17"/>
      <c r="G44" s="17"/>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7"/>
      <c r="BE44" s="17"/>
    </row>
    <row r="45" spans="1:57" ht="30" customHeight="1" x14ac:dyDescent="0.3">
      <c r="A45" s="17"/>
      <c r="B45" s="17"/>
      <c r="C45" s="17"/>
      <c r="D45" s="17"/>
      <c r="E45" s="17"/>
      <c r="F45" s="17"/>
      <c r="G45" s="17"/>
      <c r="H45" s="601" t="s">
        <v>0</v>
      </c>
      <c r="I45" s="602"/>
      <c r="J45" s="602"/>
      <c r="K45" s="602"/>
      <c r="L45" s="602"/>
      <c r="M45" s="602"/>
      <c r="N45" s="602"/>
      <c r="O45" s="602"/>
      <c r="P45" s="603"/>
      <c r="Q45" s="634" t="s">
        <v>1037</v>
      </c>
      <c r="R45" s="635"/>
      <c r="S45" s="636"/>
      <c r="T45" s="640" t="s">
        <v>1042</v>
      </c>
      <c r="U45" s="627"/>
      <c r="V45" s="627"/>
      <c r="W45" s="627"/>
      <c r="X45" s="627"/>
      <c r="Y45" s="628"/>
      <c r="Z45" s="626" t="s">
        <v>1043</v>
      </c>
      <c r="AA45" s="627"/>
      <c r="AB45" s="627"/>
      <c r="AC45" s="627"/>
      <c r="AD45" s="627"/>
      <c r="AE45" s="628"/>
      <c r="AF45" s="626" t="s">
        <v>1044</v>
      </c>
      <c r="AG45" s="627"/>
      <c r="AH45" s="627"/>
      <c r="AI45" s="627"/>
      <c r="AJ45" s="627"/>
      <c r="AK45" s="628"/>
      <c r="AL45" s="626" t="s">
        <v>1045</v>
      </c>
      <c r="AM45" s="627"/>
      <c r="AN45" s="627"/>
      <c r="AO45" s="627"/>
      <c r="AP45" s="627"/>
      <c r="AQ45" s="628"/>
      <c r="AR45" s="626" t="s">
        <v>1046</v>
      </c>
      <c r="AS45" s="627"/>
      <c r="AT45" s="627"/>
      <c r="AU45" s="627"/>
      <c r="AV45" s="627"/>
      <c r="AW45" s="628"/>
      <c r="AX45" s="626" t="s">
        <v>1047</v>
      </c>
      <c r="AY45" s="627"/>
      <c r="AZ45" s="627"/>
      <c r="BA45" s="627"/>
      <c r="BB45" s="627"/>
      <c r="BC45" s="627"/>
      <c r="BD45" s="17"/>
      <c r="BE45" s="17"/>
    </row>
    <row r="46" spans="1:57" ht="30" customHeight="1" x14ac:dyDescent="0.3">
      <c r="A46" s="17"/>
      <c r="B46" s="17"/>
      <c r="C46" s="17"/>
      <c r="D46" s="17"/>
      <c r="E46" s="17"/>
      <c r="F46" s="17"/>
      <c r="G46" s="17"/>
      <c r="H46" s="604"/>
      <c r="I46" s="605"/>
      <c r="J46" s="605"/>
      <c r="K46" s="605"/>
      <c r="L46" s="605"/>
      <c r="M46" s="605"/>
      <c r="N46" s="605"/>
      <c r="O46" s="605"/>
      <c r="P46" s="606"/>
      <c r="Q46" s="637"/>
      <c r="R46" s="638"/>
      <c r="S46" s="639"/>
      <c r="T46" s="644" t="s">
        <v>985</v>
      </c>
      <c r="U46" s="625"/>
      <c r="V46" s="625"/>
      <c r="W46" s="645" t="s">
        <v>982</v>
      </c>
      <c r="X46" s="645"/>
      <c r="Y46" s="646"/>
      <c r="Z46" s="630" t="s">
        <v>985</v>
      </c>
      <c r="AA46" s="625"/>
      <c r="AB46" s="625"/>
      <c r="AC46" s="625" t="s">
        <v>982</v>
      </c>
      <c r="AD46" s="625"/>
      <c r="AE46" s="629"/>
      <c r="AF46" s="630" t="s">
        <v>985</v>
      </c>
      <c r="AG46" s="625"/>
      <c r="AH46" s="625"/>
      <c r="AI46" s="625" t="s">
        <v>982</v>
      </c>
      <c r="AJ46" s="625"/>
      <c r="AK46" s="629"/>
      <c r="AL46" s="630" t="s">
        <v>985</v>
      </c>
      <c r="AM46" s="625"/>
      <c r="AN46" s="625"/>
      <c r="AO46" s="625" t="s">
        <v>982</v>
      </c>
      <c r="AP46" s="625"/>
      <c r="AQ46" s="629"/>
      <c r="AR46" s="630" t="s">
        <v>985</v>
      </c>
      <c r="AS46" s="625"/>
      <c r="AT46" s="625"/>
      <c r="AU46" s="625" t="s">
        <v>982</v>
      </c>
      <c r="AV46" s="625"/>
      <c r="AW46" s="629"/>
      <c r="AX46" s="630" t="s">
        <v>985</v>
      </c>
      <c r="AY46" s="625"/>
      <c r="AZ46" s="625"/>
      <c r="BA46" s="625" t="s">
        <v>982</v>
      </c>
      <c r="BB46" s="625"/>
      <c r="BC46" s="625"/>
      <c r="BD46" s="17"/>
      <c r="BE46" s="17"/>
    </row>
    <row r="47" spans="1:57" ht="30" customHeight="1" x14ac:dyDescent="0.3">
      <c r="A47" s="17"/>
      <c r="B47" s="17"/>
      <c r="C47" s="17"/>
      <c r="D47" s="17"/>
      <c r="E47" s="17"/>
      <c r="F47" s="17"/>
      <c r="G47" s="17"/>
      <c r="H47" s="607" t="s">
        <v>29</v>
      </c>
      <c r="I47" s="608"/>
      <c r="J47" s="608"/>
      <c r="K47" s="608"/>
      <c r="L47" s="608"/>
      <c r="M47" s="608"/>
      <c r="N47" s="608"/>
      <c r="O47" s="608"/>
      <c r="P47" s="609"/>
      <c r="Q47" s="641">
        <f>SUMIFS('FTSE | FTFE'!$P$104:$P$139,'FTSE | FTFE'!$H$104:$H$139,H47)</f>
        <v>33319</v>
      </c>
      <c r="R47" s="642"/>
      <c r="S47" s="643"/>
      <c r="T47" s="610">
        <f>SUMIFS(Input[State Revenue], Input[Institution Name],H47)</f>
        <v>260362716</v>
      </c>
      <c r="U47" s="598"/>
      <c r="V47" s="598"/>
      <c r="W47" s="598">
        <f>ROUND(T47/$Q47,0)</f>
        <v>7814</v>
      </c>
      <c r="X47" s="598"/>
      <c r="Y47" s="599"/>
      <c r="Z47" s="600">
        <f>SUMIFS(Input[Constitutional Funds Revenue], Input[Institution Name],H47)</f>
        <v>0</v>
      </c>
      <c r="AA47" s="598"/>
      <c r="AB47" s="598"/>
      <c r="AC47" s="598">
        <f>ROUND(Z47/$Q47,0)</f>
        <v>0</v>
      </c>
      <c r="AD47" s="598"/>
      <c r="AE47" s="599"/>
      <c r="AF47" s="600">
        <f>SUMIFS(Input[Net Tuition Revenue], Input[Institution Name],H47)+SUMIFS(Input[Net Fees Revenue], Input[Institution Name],H47)</f>
        <v>244922081</v>
      </c>
      <c r="AG47" s="598"/>
      <c r="AH47" s="598"/>
      <c r="AI47" s="598">
        <f>ROUND(AF47/$Q47,0)</f>
        <v>7351</v>
      </c>
      <c r="AJ47" s="598"/>
      <c r="AK47" s="599"/>
      <c r="AL47" s="600">
        <f>SUMIFS(Input[Federal Revenue], Input[Institution Name],H47)</f>
        <v>179370084</v>
      </c>
      <c r="AM47" s="598"/>
      <c r="AN47" s="598"/>
      <c r="AO47" s="598">
        <f>ROUND(AL47/$Q47,0)</f>
        <v>5383</v>
      </c>
      <c r="AP47" s="598"/>
      <c r="AQ47" s="599"/>
      <c r="AR47" s="600">
        <f>SUMIFS(Input[Institutional Revenue], Input[Institution Name],H47)</f>
        <v>130062304</v>
      </c>
      <c r="AS47" s="598"/>
      <c r="AT47" s="598"/>
      <c r="AU47" s="598">
        <f>ROUND(AR47/$Q47,0)</f>
        <v>3904</v>
      </c>
      <c r="AV47" s="598"/>
      <c r="AW47" s="599"/>
      <c r="AX47" s="600">
        <f>ROUND(SUM(T47,Z47,AF47,AL47,AR47),0)</f>
        <v>814717185</v>
      </c>
      <c r="AY47" s="598"/>
      <c r="AZ47" s="598"/>
      <c r="BA47" s="598">
        <f>ROUND(AX47/$Q47,0)</f>
        <v>24452</v>
      </c>
      <c r="BB47" s="598"/>
      <c r="BC47" s="598"/>
      <c r="BD47" s="17"/>
      <c r="BE47" s="17"/>
    </row>
    <row r="48" spans="1:57" ht="30" customHeight="1" x14ac:dyDescent="0.3">
      <c r="A48" s="17"/>
      <c r="B48" s="17"/>
      <c r="C48" s="17"/>
      <c r="D48" s="17"/>
      <c r="E48" s="17"/>
      <c r="F48" s="17"/>
      <c r="G48" s="17"/>
      <c r="H48" s="579" t="s">
        <v>40</v>
      </c>
      <c r="I48" s="580"/>
      <c r="J48" s="580"/>
      <c r="K48" s="580"/>
      <c r="L48" s="580"/>
      <c r="M48" s="580"/>
      <c r="N48" s="580"/>
      <c r="O48" s="580"/>
      <c r="P48" s="581"/>
      <c r="Q48" s="582">
        <f>SUMIFS('FTSE | FTFE'!$P$104:$P$139,'FTSE | FTFE'!$H$104:$H$139,H48)</f>
        <v>50913</v>
      </c>
      <c r="R48" s="583"/>
      <c r="S48" s="586"/>
      <c r="T48" s="582">
        <f>SUMIFS(Input[State Revenue], Input[Institution Name],H48)</f>
        <v>507139309</v>
      </c>
      <c r="U48" s="583"/>
      <c r="V48" s="584"/>
      <c r="W48" s="585">
        <f t="shared" ref="W48:W82" si="14">ROUND(T48/$Q48,0)</f>
        <v>9961</v>
      </c>
      <c r="X48" s="583"/>
      <c r="Y48" s="586"/>
      <c r="Z48" s="582">
        <f>SUMIFS(Input[Constitutional Funds Revenue], Input[Institution Name],H48)</f>
        <v>495917108</v>
      </c>
      <c r="AA48" s="583"/>
      <c r="AB48" s="584"/>
      <c r="AC48" s="585">
        <f t="shared" ref="AC48:AC82" si="15">ROUND(Z48/$Q48,0)</f>
        <v>9740</v>
      </c>
      <c r="AD48" s="583"/>
      <c r="AE48" s="586"/>
      <c r="AF48" s="582">
        <f>SUMIFS(Input[Net Tuition Revenue], Input[Institution Name],H48)+SUMIFS(Input[Net Fees Revenue], Input[Institution Name],H48)</f>
        <v>337077712</v>
      </c>
      <c r="AG48" s="583"/>
      <c r="AH48" s="584"/>
      <c r="AI48" s="585">
        <f t="shared" ref="AI48:AI82" si="16">ROUND(AF48/$Q48,0)</f>
        <v>6621</v>
      </c>
      <c r="AJ48" s="583"/>
      <c r="AK48" s="586"/>
      <c r="AL48" s="582">
        <f>SUMIFS(Input[Federal Revenue], Input[Institution Name],H48)</f>
        <v>992530538</v>
      </c>
      <c r="AM48" s="583"/>
      <c r="AN48" s="584"/>
      <c r="AO48" s="585">
        <f t="shared" ref="AO48:AO82" si="17">ROUND(AL48/$Q48,0)</f>
        <v>19495</v>
      </c>
      <c r="AP48" s="583"/>
      <c r="AQ48" s="586"/>
      <c r="AR48" s="582">
        <f>SUMIFS(Input[Institutional Revenue], Input[Institution Name],H48)</f>
        <v>1630960085</v>
      </c>
      <c r="AS48" s="583"/>
      <c r="AT48" s="584"/>
      <c r="AU48" s="585">
        <f t="shared" ref="AU48:AU82" si="18">ROUND(AR48/$Q48,0)</f>
        <v>32034</v>
      </c>
      <c r="AV48" s="583"/>
      <c r="AW48" s="586"/>
      <c r="AX48" s="582">
        <f t="shared" ref="AX48:AX82" si="19">ROUND(SUM(T48,Z48,AF48,AL48,AR48),0)</f>
        <v>3963624752</v>
      </c>
      <c r="AY48" s="583"/>
      <c r="AZ48" s="584"/>
      <c r="BA48" s="585">
        <f t="shared" ref="BA48:BA82" si="20">ROUND(AX48/$Q48,0)</f>
        <v>77851</v>
      </c>
      <c r="BB48" s="583"/>
      <c r="BC48" s="584"/>
      <c r="BD48" s="17"/>
      <c r="BE48" s="17"/>
    </row>
    <row r="49" spans="1:57" ht="30" customHeight="1" x14ac:dyDescent="0.3">
      <c r="A49" s="17"/>
      <c r="B49" s="17"/>
      <c r="C49" s="17"/>
      <c r="D49" s="17"/>
      <c r="E49" s="17"/>
      <c r="F49" s="17"/>
      <c r="G49" s="17"/>
      <c r="H49" s="587" t="s">
        <v>52</v>
      </c>
      <c r="I49" s="588"/>
      <c r="J49" s="588"/>
      <c r="K49" s="588"/>
      <c r="L49" s="588"/>
      <c r="M49" s="588"/>
      <c r="N49" s="588"/>
      <c r="O49" s="588"/>
      <c r="P49" s="589"/>
      <c r="Q49" s="576">
        <f>SUMIFS('FTSE | FTFE'!$P$104:$P$139,'FTSE | FTFE'!$H$104:$H$139,H49)</f>
        <v>25477</v>
      </c>
      <c r="R49" s="574"/>
      <c r="S49" s="575"/>
      <c r="T49" s="576">
        <f>SUMIFS(Input[State Revenue], Input[Institution Name],H49)</f>
        <v>314175104</v>
      </c>
      <c r="U49" s="574"/>
      <c r="V49" s="577"/>
      <c r="W49" s="573">
        <f t="shared" si="14"/>
        <v>12332</v>
      </c>
      <c r="X49" s="574"/>
      <c r="Y49" s="575"/>
      <c r="Z49" s="576">
        <f>SUMIFS(Input[Constitutional Funds Revenue], Input[Institution Name],H49)</f>
        <v>0</v>
      </c>
      <c r="AA49" s="574"/>
      <c r="AB49" s="577"/>
      <c r="AC49" s="573">
        <f t="shared" si="15"/>
        <v>0</v>
      </c>
      <c r="AD49" s="574"/>
      <c r="AE49" s="575"/>
      <c r="AF49" s="576">
        <f>SUMIFS(Input[Net Tuition Revenue], Input[Institution Name],H49)+SUMIFS(Input[Net Fees Revenue], Input[Institution Name],H49)</f>
        <v>298221951</v>
      </c>
      <c r="AG49" s="574"/>
      <c r="AH49" s="577"/>
      <c r="AI49" s="573">
        <f t="shared" si="16"/>
        <v>11706</v>
      </c>
      <c r="AJ49" s="574"/>
      <c r="AK49" s="575"/>
      <c r="AL49" s="576">
        <f>SUMIFS(Input[Federal Revenue], Input[Institution Name],H49)</f>
        <v>139923978</v>
      </c>
      <c r="AM49" s="574"/>
      <c r="AN49" s="577"/>
      <c r="AO49" s="573">
        <f t="shared" si="17"/>
        <v>5492</v>
      </c>
      <c r="AP49" s="574"/>
      <c r="AQ49" s="575"/>
      <c r="AR49" s="576">
        <f>SUMIFS(Input[Institutional Revenue], Input[Institution Name],H49)</f>
        <v>183529701</v>
      </c>
      <c r="AS49" s="574"/>
      <c r="AT49" s="577"/>
      <c r="AU49" s="573">
        <f t="shared" si="18"/>
        <v>7204</v>
      </c>
      <c r="AV49" s="574"/>
      <c r="AW49" s="575"/>
      <c r="AX49" s="576">
        <f t="shared" si="19"/>
        <v>935850734</v>
      </c>
      <c r="AY49" s="574"/>
      <c r="AZ49" s="577"/>
      <c r="BA49" s="573">
        <f t="shared" si="20"/>
        <v>36733</v>
      </c>
      <c r="BB49" s="574"/>
      <c r="BC49" s="577"/>
      <c r="BD49" s="17"/>
      <c r="BE49" s="17"/>
    </row>
    <row r="50" spans="1:57" ht="30" customHeight="1" x14ac:dyDescent="0.3">
      <c r="A50" s="17"/>
      <c r="B50" s="17"/>
      <c r="C50" s="17"/>
      <c r="D50" s="17"/>
      <c r="E50" s="17"/>
      <c r="F50" s="17"/>
      <c r="G50" s="17"/>
      <c r="H50" s="579" t="s">
        <v>55</v>
      </c>
      <c r="I50" s="580"/>
      <c r="J50" s="580"/>
      <c r="K50" s="580"/>
      <c r="L50" s="580"/>
      <c r="M50" s="580"/>
      <c r="N50" s="580"/>
      <c r="O50" s="580"/>
      <c r="P50" s="581"/>
      <c r="Q50" s="582">
        <f>SUMIFS('FTSE | FTFE'!$P$104:$P$139,'FTSE | FTFE'!$H$104:$H$139,H50)</f>
        <v>20515</v>
      </c>
      <c r="R50" s="583"/>
      <c r="S50" s="586"/>
      <c r="T50" s="582">
        <f>SUMIFS(Input[State Revenue], Input[Institution Name],H50)</f>
        <v>198299767</v>
      </c>
      <c r="U50" s="583"/>
      <c r="V50" s="584"/>
      <c r="W50" s="585">
        <f t="shared" si="14"/>
        <v>9666</v>
      </c>
      <c r="X50" s="583"/>
      <c r="Y50" s="586"/>
      <c r="Z50" s="582">
        <f>SUMIFS(Input[Constitutional Funds Revenue], Input[Institution Name],H50)</f>
        <v>0</v>
      </c>
      <c r="AA50" s="583"/>
      <c r="AB50" s="584"/>
      <c r="AC50" s="585">
        <f t="shared" si="15"/>
        <v>0</v>
      </c>
      <c r="AD50" s="583"/>
      <c r="AE50" s="586"/>
      <c r="AF50" s="582">
        <f>SUMIFS(Input[Net Tuition Revenue], Input[Institution Name],H50)+SUMIFS(Input[Net Fees Revenue], Input[Institution Name],H50)</f>
        <v>84761713</v>
      </c>
      <c r="AG50" s="583"/>
      <c r="AH50" s="584"/>
      <c r="AI50" s="585">
        <f t="shared" si="16"/>
        <v>4132</v>
      </c>
      <c r="AJ50" s="583"/>
      <c r="AK50" s="586"/>
      <c r="AL50" s="582">
        <f>SUMIFS(Input[Federal Revenue], Input[Institution Name],H50)</f>
        <v>177129256</v>
      </c>
      <c r="AM50" s="583"/>
      <c r="AN50" s="584"/>
      <c r="AO50" s="585">
        <f t="shared" si="17"/>
        <v>8634</v>
      </c>
      <c r="AP50" s="583"/>
      <c r="AQ50" s="586"/>
      <c r="AR50" s="582">
        <f>SUMIFS(Input[Institutional Revenue], Input[Institution Name],H50)</f>
        <v>86817896</v>
      </c>
      <c r="AS50" s="583"/>
      <c r="AT50" s="584"/>
      <c r="AU50" s="585">
        <f t="shared" si="18"/>
        <v>4232</v>
      </c>
      <c r="AV50" s="583"/>
      <c r="AW50" s="586"/>
      <c r="AX50" s="582">
        <f t="shared" si="19"/>
        <v>547008632</v>
      </c>
      <c r="AY50" s="583"/>
      <c r="AZ50" s="584"/>
      <c r="BA50" s="585">
        <f t="shared" si="20"/>
        <v>26664</v>
      </c>
      <c r="BB50" s="583"/>
      <c r="BC50" s="584"/>
      <c r="BD50" s="17"/>
      <c r="BE50" s="17"/>
    </row>
    <row r="51" spans="1:57" ht="30" customHeight="1" x14ac:dyDescent="0.3">
      <c r="A51" s="17"/>
      <c r="B51" s="17"/>
      <c r="C51" s="17"/>
      <c r="D51" s="17"/>
      <c r="E51" s="17"/>
      <c r="F51" s="17"/>
      <c r="G51" s="17"/>
      <c r="H51" s="587" t="s">
        <v>164</v>
      </c>
      <c r="I51" s="588"/>
      <c r="J51" s="588"/>
      <c r="K51" s="588"/>
      <c r="L51" s="588"/>
      <c r="M51" s="588"/>
      <c r="N51" s="588"/>
      <c r="O51" s="588"/>
      <c r="P51" s="589"/>
      <c r="Q51" s="576">
        <f>SUMIFS('FTSE | FTFE'!$P$104:$P$139,'FTSE | FTFE'!$H$104:$H$139,H51)</f>
        <v>29153</v>
      </c>
      <c r="R51" s="574"/>
      <c r="S51" s="575"/>
      <c r="T51" s="576">
        <f>SUMIFS(Input[State Revenue], Input[Institution Name],H51)</f>
        <v>213940001</v>
      </c>
      <c r="U51" s="574"/>
      <c r="V51" s="577"/>
      <c r="W51" s="573">
        <f t="shared" si="14"/>
        <v>7339</v>
      </c>
      <c r="X51" s="574"/>
      <c r="Y51" s="575"/>
      <c r="Z51" s="576">
        <f>SUMIFS(Input[Constitutional Funds Revenue], Input[Institution Name],H51)</f>
        <v>0</v>
      </c>
      <c r="AA51" s="574"/>
      <c r="AB51" s="577"/>
      <c r="AC51" s="573">
        <f t="shared" si="15"/>
        <v>0</v>
      </c>
      <c r="AD51" s="574"/>
      <c r="AE51" s="575"/>
      <c r="AF51" s="576">
        <f>SUMIFS(Input[Net Tuition Revenue], Input[Institution Name],H51)+SUMIFS(Input[Net Fees Revenue], Input[Institution Name],H51)</f>
        <v>87472201</v>
      </c>
      <c r="AG51" s="574"/>
      <c r="AH51" s="577"/>
      <c r="AI51" s="573">
        <f t="shared" si="16"/>
        <v>3000</v>
      </c>
      <c r="AJ51" s="574"/>
      <c r="AK51" s="575"/>
      <c r="AL51" s="576">
        <f>SUMIFS(Input[Federal Revenue], Input[Institution Name],H51)</f>
        <v>205339572</v>
      </c>
      <c r="AM51" s="574"/>
      <c r="AN51" s="577"/>
      <c r="AO51" s="573">
        <f t="shared" si="17"/>
        <v>7044</v>
      </c>
      <c r="AP51" s="574"/>
      <c r="AQ51" s="575"/>
      <c r="AR51" s="576">
        <f>SUMIFS(Input[Institutional Revenue], Input[Institution Name],H51)</f>
        <v>68033440</v>
      </c>
      <c r="AS51" s="574"/>
      <c r="AT51" s="577"/>
      <c r="AU51" s="573">
        <f t="shared" si="18"/>
        <v>2334</v>
      </c>
      <c r="AV51" s="574"/>
      <c r="AW51" s="575"/>
      <c r="AX51" s="576">
        <f t="shared" si="19"/>
        <v>574785214</v>
      </c>
      <c r="AY51" s="574"/>
      <c r="AZ51" s="577"/>
      <c r="BA51" s="573">
        <f t="shared" si="20"/>
        <v>19716</v>
      </c>
      <c r="BB51" s="574"/>
      <c r="BC51" s="577"/>
      <c r="BD51" s="17"/>
      <c r="BE51" s="17"/>
    </row>
    <row r="52" spans="1:57" ht="30" customHeight="1" x14ac:dyDescent="0.3">
      <c r="A52" s="17"/>
      <c r="B52" s="17"/>
      <c r="C52" s="17"/>
      <c r="D52" s="17"/>
      <c r="E52" s="17"/>
      <c r="F52" s="17"/>
      <c r="G52" s="17"/>
      <c r="H52" s="579" t="s">
        <v>1</v>
      </c>
      <c r="I52" s="580"/>
      <c r="J52" s="580"/>
      <c r="K52" s="580"/>
      <c r="L52" s="580"/>
      <c r="M52" s="580"/>
      <c r="N52" s="580"/>
      <c r="O52" s="580"/>
      <c r="P52" s="581"/>
      <c r="Q52" s="582">
        <f>SUMIFS('FTSE | FTFE'!$P$104:$P$139,'FTSE | FTFE'!$H$104:$H$139,H52)</f>
        <v>3784</v>
      </c>
      <c r="R52" s="583"/>
      <c r="S52" s="586"/>
      <c r="T52" s="582">
        <f>SUMIFS(Input[State Revenue], Input[Institution Name],H52)</f>
        <v>53124094</v>
      </c>
      <c r="U52" s="583"/>
      <c r="V52" s="584"/>
      <c r="W52" s="585">
        <f t="shared" si="14"/>
        <v>14039</v>
      </c>
      <c r="X52" s="583"/>
      <c r="Y52" s="586"/>
      <c r="Z52" s="582">
        <f>SUMIFS(Input[Constitutional Funds Revenue], Input[Institution Name],H52)</f>
        <v>0</v>
      </c>
      <c r="AA52" s="583"/>
      <c r="AB52" s="584"/>
      <c r="AC52" s="585">
        <f t="shared" si="15"/>
        <v>0</v>
      </c>
      <c r="AD52" s="583"/>
      <c r="AE52" s="586"/>
      <c r="AF52" s="582">
        <f>SUMIFS(Input[Net Tuition Revenue], Input[Institution Name],H52)+SUMIFS(Input[Net Fees Revenue], Input[Institution Name],H52)</f>
        <v>26289836</v>
      </c>
      <c r="AG52" s="583"/>
      <c r="AH52" s="584"/>
      <c r="AI52" s="585">
        <f t="shared" si="16"/>
        <v>6948</v>
      </c>
      <c r="AJ52" s="583"/>
      <c r="AK52" s="586"/>
      <c r="AL52" s="582">
        <f>SUMIFS(Input[Federal Revenue], Input[Institution Name],H52)</f>
        <v>15403529</v>
      </c>
      <c r="AM52" s="583"/>
      <c r="AN52" s="584"/>
      <c r="AO52" s="585">
        <f t="shared" si="17"/>
        <v>4071</v>
      </c>
      <c r="AP52" s="583"/>
      <c r="AQ52" s="586"/>
      <c r="AR52" s="582">
        <f>SUMIFS(Input[Institutional Revenue], Input[Institution Name],H52)</f>
        <v>10848085</v>
      </c>
      <c r="AS52" s="583"/>
      <c r="AT52" s="584"/>
      <c r="AU52" s="585">
        <f t="shared" si="18"/>
        <v>2867</v>
      </c>
      <c r="AV52" s="583"/>
      <c r="AW52" s="586"/>
      <c r="AX52" s="582">
        <f t="shared" si="19"/>
        <v>105665544</v>
      </c>
      <c r="AY52" s="583"/>
      <c r="AZ52" s="584"/>
      <c r="BA52" s="585">
        <f t="shared" si="20"/>
        <v>27924</v>
      </c>
      <c r="BB52" s="583"/>
      <c r="BC52" s="584"/>
      <c r="BD52" s="17"/>
      <c r="BE52" s="17"/>
    </row>
    <row r="53" spans="1:57" ht="30" customHeight="1" x14ac:dyDescent="0.3">
      <c r="A53" s="17"/>
      <c r="B53" s="17"/>
      <c r="C53" s="17"/>
      <c r="D53" s="17"/>
      <c r="E53" s="17"/>
      <c r="F53" s="17"/>
      <c r="G53" s="17"/>
      <c r="H53" s="587" t="s">
        <v>2</v>
      </c>
      <c r="I53" s="588"/>
      <c r="J53" s="588"/>
      <c r="K53" s="588"/>
      <c r="L53" s="588"/>
      <c r="M53" s="588"/>
      <c r="N53" s="588"/>
      <c r="O53" s="588"/>
      <c r="P53" s="589"/>
      <c r="Q53" s="576">
        <f>SUMIFS('FTSE | FTFE'!$P$104:$P$139,'FTSE | FTFE'!$H$104:$H$139,H53)</f>
        <v>29190</v>
      </c>
      <c r="R53" s="574"/>
      <c r="S53" s="575"/>
      <c r="T53" s="576">
        <f>SUMIFS(Input[State Revenue], Input[Institution Name],H53)</f>
        <v>285017159</v>
      </c>
      <c r="U53" s="574"/>
      <c r="V53" s="577"/>
      <c r="W53" s="573">
        <f t="shared" si="14"/>
        <v>9764</v>
      </c>
      <c r="X53" s="574"/>
      <c r="Y53" s="575"/>
      <c r="Z53" s="576">
        <f>SUMIFS(Input[Constitutional Funds Revenue], Input[Institution Name],H53)</f>
        <v>0</v>
      </c>
      <c r="AA53" s="574"/>
      <c r="AB53" s="577"/>
      <c r="AC53" s="573">
        <f t="shared" si="15"/>
        <v>0</v>
      </c>
      <c r="AD53" s="574"/>
      <c r="AE53" s="575"/>
      <c r="AF53" s="576">
        <f>SUMIFS(Input[Net Tuition Revenue], Input[Institution Name],H53)+SUMIFS(Input[Net Fees Revenue], Input[Institution Name],H53)</f>
        <v>215514834</v>
      </c>
      <c r="AG53" s="574"/>
      <c r="AH53" s="577"/>
      <c r="AI53" s="573">
        <f t="shared" si="16"/>
        <v>7383</v>
      </c>
      <c r="AJ53" s="574"/>
      <c r="AK53" s="575"/>
      <c r="AL53" s="576">
        <f>SUMIFS(Input[Federal Revenue], Input[Institution Name],H53)</f>
        <v>187752483</v>
      </c>
      <c r="AM53" s="574"/>
      <c r="AN53" s="577"/>
      <c r="AO53" s="573">
        <f t="shared" si="17"/>
        <v>6432</v>
      </c>
      <c r="AP53" s="574"/>
      <c r="AQ53" s="575"/>
      <c r="AR53" s="576">
        <f>SUMIFS(Input[Institutional Revenue], Input[Institution Name],H53)</f>
        <v>93937180</v>
      </c>
      <c r="AS53" s="574"/>
      <c r="AT53" s="577"/>
      <c r="AU53" s="573">
        <f t="shared" si="18"/>
        <v>3218</v>
      </c>
      <c r="AV53" s="574"/>
      <c r="AW53" s="575"/>
      <c r="AX53" s="576">
        <f t="shared" si="19"/>
        <v>782221656</v>
      </c>
      <c r="AY53" s="574"/>
      <c r="AZ53" s="577"/>
      <c r="BA53" s="573">
        <f t="shared" si="20"/>
        <v>26798</v>
      </c>
      <c r="BB53" s="574"/>
      <c r="BC53" s="577"/>
      <c r="BD53" s="17"/>
      <c r="BE53" s="17"/>
    </row>
    <row r="54" spans="1:57" ht="30" customHeight="1" x14ac:dyDescent="0.3">
      <c r="A54" s="17"/>
      <c r="B54" s="17"/>
      <c r="C54" s="17"/>
      <c r="D54" s="17"/>
      <c r="E54" s="17"/>
      <c r="F54" s="17"/>
      <c r="G54" s="17"/>
      <c r="H54" s="579" t="s">
        <v>3</v>
      </c>
      <c r="I54" s="580"/>
      <c r="J54" s="580"/>
      <c r="K54" s="580"/>
      <c r="L54" s="580"/>
      <c r="M54" s="580"/>
      <c r="N54" s="580"/>
      <c r="O54" s="580"/>
      <c r="P54" s="581"/>
      <c r="Q54" s="582">
        <f>SUMIFS('FTSE | FTFE'!$P$104:$P$139,'FTSE | FTFE'!$H$104:$H$139,H54)</f>
        <v>8877</v>
      </c>
      <c r="R54" s="583"/>
      <c r="S54" s="586"/>
      <c r="T54" s="582">
        <f>SUMIFS(Input[State Revenue], Input[Institution Name],H54)</f>
        <v>76018005</v>
      </c>
      <c r="U54" s="583"/>
      <c r="V54" s="584"/>
      <c r="W54" s="585">
        <f t="shared" si="14"/>
        <v>8563</v>
      </c>
      <c r="X54" s="583"/>
      <c r="Y54" s="586"/>
      <c r="Z54" s="582">
        <f>SUMIFS(Input[Constitutional Funds Revenue], Input[Institution Name],H54)</f>
        <v>0</v>
      </c>
      <c r="AA54" s="583"/>
      <c r="AB54" s="584"/>
      <c r="AC54" s="585">
        <f t="shared" si="15"/>
        <v>0</v>
      </c>
      <c r="AD54" s="583"/>
      <c r="AE54" s="586"/>
      <c r="AF54" s="582">
        <f>SUMIFS(Input[Net Tuition Revenue], Input[Institution Name],H54)+SUMIFS(Input[Net Fees Revenue], Input[Institution Name],H54)</f>
        <v>50936831</v>
      </c>
      <c r="AG54" s="583"/>
      <c r="AH54" s="584"/>
      <c r="AI54" s="585">
        <f t="shared" si="16"/>
        <v>5738</v>
      </c>
      <c r="AJ54" s="583"/>
      <c r="AK54" s="586"/>
      <c r="AL54" s="582">
        <f>SUMIFS(Input[Federal Revenue], Input[Institution Name],H54)</f>
        <v>29247781</v>
      </c>
      <c r="AM54" s="583"/>
      <c r="AN54" s="584"/>
      <c r="AO54" s="585">
        <f t="shared" si="17"/>
        <v>3295</v>
      </c>
      <c r="AP54" s="583"/>
      <c r="AQ54" s="586"/>
      <c r="AR54" s="582">
        <f>SUMIFS(Input[Institutional Revenue], Input[Institution Name],H54)</f>
        <v>16048191</v>
      </c>
      <c r="AS54" s="583"/>
      <c r="AT54" s="584"/>
      <c r="AU54" s="585">
        <f t="shared" si="18"/>
        <v>1808</v>
      </c>
      <c r="AV54" s="583"/>
      <c r="AW54" s="586"/>
      <c r="AX54" s="582">
        <f t="shared" si="19"/>
        <v>172250808</v>
      </c>
      <c r="AY54" s="583"/>
      <c r="AZ54" s="584"/>
      <c r="BA54" s="585">
        <f t="shared" si="20"/>
        <v>19404</v>
      </c>
      <c r="BB54" s="583"/>
      <c r="BC54" s="584"/>
      <c r="BD54" s="17"/>
      <c r="BE54" s="17"/>
    </row>
    <row r="55" spans="1:57" ht="30" customHeight="1" x14ac:dyDescent="0.3">
      <c r="A55" s="17"/>
      <c r="B55" s="17"/>
      <c r="C55" s="17"/>
      <c r="D55" s="17"/>
      <c r="E55" s="17"/>
      <c r="F55" s="17"/>
      <c r="G55" s="17"/>
      <c r="H55" s="587" t="s">
        <v>27</v>
      </c>
      <c r="I55" s="588"/>
      <c r="J55" s="588"/>
      <c r="K55" s="588"/>
      <c r="L55" s="588"/>
      <c r="M55" s="588"/>
      <c r="N55" s="588"/>
      <c r="O55" s="588"/>
      <c r="P55" s="589"/>
      <c r="Q55" s="576">
        <f>SUMIFS('FTSE | FTFE'!$P$104:$P$139,'FTSE | FTFE'!$H$104:$H$139,H55)</f>
        <v>8860</v>
      </c>
      <c r="R55" s="574"/>
      <c r="S55" s="575"/>
      <c r="T55" s="576">
        <f>SUMIFS(Input[State Revenue], Input[Institution Name],H55)</f>
        <v>76121219</v>
      </c>
      <c r="U55" s="574"/>
      <c r="V55" s="577"/>
      <c r="W55" s="573">
        <f t="shared" si="14"/>
        <v>8592</v>
      </c>
      <c r="X55" s="574"/>
      <c r="Y55" s="575"/>
      <c r="Z55" s="576">
        <f>SUMIFS(Input[Constitutional Funds Revenue], Input[Institution Name],H55)</f>
        <v>0</v>
      </c>
      <c r="AA55" s="574"/>
      <c r="AB55" s="577"/>
      <c r="AC55" s="573">
        <f t="shared" si="15"/>
        <v>0</v>
      </c>
      <c r="AD55" s="574"/>
      <c r="AE55" s="575"/>
      <c r="AF55" s="576">
        <f>SUMIFS(Input[Net Tuition Revenue], Input[Institution Name],H55)+SUMIFS(Input[Net Fees Revenue], Input[Institution Name],H55)</f>
        <v>47944257</v>
      </c>
      <c r="AG55" s="574"/>
      <c r="AH55" s="577"/>
      <c r="AI55" s="573">
        <f t="shared" si="16"/>
        <v>5411</v>
      </c>
      <c r="AJ55" s="574"/>
      <c r="AK55" s="575"/>
      <c r="AL55" s="576">
        <f>SUMIFS(Input[Federal Revenue], Input[Institution Name],H55)</f>
        <v>33271523</v>
      </c>
      <c r="AM55" s="574"/>
      <c r="AN55" s="577"/>
      <c r="AO55" s="573">
        <f t="shared" si="17"/>
        <v>3755</v>
      </c>
      <c r="AP55" s="574"/>
      <c r="AQ55" s="575"/>
      <c r="AR55" s="576">
        <f>SUMIFS(Input[Institutional Revenue], Input[Institution Name],H55)</f>
        <v>34104715</v>
      </c>
      <c r="AS55" s="574"/>
      <c r="AT55" s="577"/>
      <c r="AU55" s="573">
        <f t="shared" si="18"/>
        <v>3849</v>
      </c>
      <c r="AV55" s="574"/>
      <c r="AW55" s="575"/>
      <c r="AX55" s="576">
        <f t="shared" si="19"/>
        <v>191441714</v>
      </c>
      <c r="AY55" s="574"/>
      <c r="AZ55" s="577"/>
      <c r="BA55" s="573">
        <f t="shared" si="20"/>
        <v>21607</v>
      </c>
      <c r="BB55" s="574"/>
      <c r="BC55" s="577"/>
      <c r="BD55" s="17"/>
      <c r="BE55" s="17"/>
    </row>
    <row r="56" spans="1:57" ht="30" customHeight="1" x14ac:dyDescent="0.3">
      <c r="A56" s="17"/>
      <c r="B56" s="17"/>
      <c r="C56" s="17"/>
      <c r="D56" s="17"/>
      <c r="E56" s="17"/>
      <c r="F56" s="17"/>
      <c r="G56" s="17"/>
      <c r="H56" s="579" t="s">
        <v>4</v>
      </c>
      <c r="I56" s="580"/>
      <c r="J56" s="580"/>
      <c r="K56" s="580"/>
      <c r="L56" s="580"/>
      <c r="M56" s="580"/>
      <c r="N56" s="580"/>
      <c r="O56" s="580"/>
      <c r="P56" s="581"/>
      <c r="Q56" s="582">
        <f>SUMIFS('FTSE | FTFE'!$P$104:$P$139,'FTSE | FTFE'!$H$104:$H$139,H56)</f>
        <v>63243</v>
      </c>
      <c r="R56" s="583"/>
      <c r="S56" s="586"/>
      <c r="T56" s="582">
        <f>SUMIFS(Input[State Revenue], Input[Institution Name],H56)</f>
        <v>562354956</v>
      </c>
      <c r="U56" s="583"/>
      <c r="V56" s="584"/>
      <c r="W56" s="585">
        <f t="shared" si="14"/>
        <v>8892</v>
      </c>
      <c r="X56" s="583"/>
      <c r="Y56" s="586"/>
      <c r="Z56" s="582">
        <f>SUMIFS(Input[Constitutional Funds Revenue], Input[Institution Name],H56)</f>
        <v>259300287</v>
      </c>
      <c r="AA56" s="583"/>
      <c r="AB56" s="584"/>
      <c r="AC56" s="585">
        <f t="shared" si="15"/>
        <v>4100</v>
      </c>
      <c r="AD56" s="583"/>
      <c r="AE56" s="586"/>
      <c r="AF56" s="582">
        <f>SUMIFS(Input[Net Tuition Revenue], Input[Institution Name],H56)+SUMIFS(Input[Net Fees Revenue], Input[Institution Name],H56)</f>
        <v>716867238</v>
      </c>
      <c r="AG56" s="583"/>
      <c r="AH56" s="584"/>
      <c r="AI56" s="585">
        <f t="shared" si="16"/>
        <v>11335</v>
      </c>
      <c r="AJ56" s="583"/>
      <c r="AK56" s="586"/>
      <c r="AL56" s="582">
        <f>SUMIFS(Input[Federal Revenue], Input[Institution Name],H56)</f>
        <v>234343426</v>
      </c>
      <c r="AM56" s="583"/>
      <c r="AN56" s="584"/>
      <c r="AO56" s="585">
        <f t="shared" si="17"/>
        <v>3705</v>
      </c>
      <c r="AP56" s="583"/>
      <c r="AQ56" s="586"/>
      <c r="AR56" s="582">
        <f>SUMIFS(Input[Institutional Revenue], Input[Institution Name],H56)</f>
        <v>673516528</v>
      </c>
      <c r="AS56" s="583"/>
      <c r="AT56" s="584"/>
      <c r="AU56" s="585">
        <f t="shared" si="18"/>
        <v>10650</v>
      </c>
      <c r="AV56" s="583"/>
      <c r="AW56" s="586"/>
      <c r="AX56" s="582">
        <f t="shared" si="19"/>
        <v>2446382435</v>
      </c>
      <c r="AY56" s="583"/>
      <c r="AZ56" s="584"/>
      <c r="BA56" s="585">
        <f t="shared" si="20"/>
        <v>38682</v>
      </c>
      <c r="BB56" s="583"/>
      <c r="BC56" s="584"/>
      <c r="BD56" s="17"/>
      <c r="BE56" s="17"/>
    </row>
    <row r="57" spans="1:57" ht="30" customHeight="1" x14ac:dyDescent="0.3">
      <c r="A57" s="17"/>
      <c r="B57" s="17"/>
      <c r="C57" s="17"/>
      <c r="D57" s="17"/>
      <c r="E57" s="17"/>
      <c r="F57" s="17"/>
      <c r="G57" s="17"/>
      <c r="H57" s="587" t="s">
        <v>5</v>
      </c>
      <c r="I57" s="588"/>
      <c r="J57" s="588"/>
      <c r="K57" s="588"/>
      <c r="L57" s="588"/>
      <c r="M57" s="588"/>
      <c r="N57" s="588"/>
      <c r="O57" s="588"/>
      <c r="P57" s="589"/>
      <c r="Q57" s="576">
        <f>SUMIFS('FTSE | FTFE'!$P$104:$P$139,'FTSE | FTFE'!$H$104:$H$139,H57)</f>
        <v>1852</v>
      </c>
      <c r="R57" s="574"/>
      <c r="S57" s="575"/>
      <c r="T57" s="576">
        <f>SUMIFS(Input[State Revenue], Input[Institution Name],H57)</f>
        <v>32055345</v>
      </c>
      <c r="U57" s="574"/>
      <c r="V57" s="577"/>
      <c r="W57" s="573">
        <f t="shared" si="14"/>
        <v>17309</v>
      </c>
      <c r="X57" s="574"/>
      <c r="Y57" s="575"/>
      <c r="Z57" s="576">
        <f>SUMIFS(Input[Constitutional Funds Revenue], Input[Institution Name],H57)</f>
        <v>0</v>
      </c>
      <c r="AA57" s="574"/>
      <c r="AB57" s="577"/>
      <c r="AC57" s="573">
        <f t="shared" si="15"/>
        <v>0</v>
      </c>
      <c r="AD57" s="574"/>
      <c r="AE57" s="575"/>
      <c r="AF57" s="576">
        <f>SUMIFS(Input[Net Tuition Revenue], Input[Institution Name],H57)+SUMIFS(Input[Net Fees Revenue], Input[Institution Name],H57)</f>
        <v>24054972</v>
      </c>
      <c r="AG57" s="574"/>
      <c r="AH57" s="577"/>
      <c r="AI57" s="573">
        <f t="shared" si="16"/>
        <v>12989</v>
      </c>
      <c r="AJ57" s="574"/>
      <c r="AK57" s="575"/>
      <c r="AL57" s="576">
        <f>SUMIFS(Input[Federal Revenue], Input[Institution Name],H57)</f>
        <v>9392909</v>
      </c>
      <c r="AM57" s="574"/>
      <c r="AN57" s="577"/>
      <c r="AO57" s="573">
        <f t="shared" si="17"/>
        <v>5072</v>
      </c>
      <c r="AP57" s="574"/>
      <c r="AQ57" s="575"/>
      <c r="AR57" s="576">
        <f>SUMIFS(Input[Institutional Revenue], Input[Institution Name],H57)</f>
        <v>29309294</v>
      </c>
      <c r="AS57" s="574"/>
      <c r="AT57" s="577"/>
      <c r="AU57" s="573">
        <f t="shared" si="18"/>
        <v>15826</v>
      </c>
      <c r="AV57" s="574"/>
      <c r="AW57" s="575"/>
      <c r="AX57" s="576">
        <f t="shared" si="19"/>
        <v>94812520</v>
      </c>
      <c r="AY57" s="574"/>
      <c r="AZ57" s="577"/>
      <c r="BA57" s="573">
        <f t="shared" si="20"/>
        <v>51195</v>
      </c>
      <c r="BB57" s="574"/>
      <c r="BC57" s="577"/>
      <c r="BD57" s="17"/>
      <c r="BE57" s="17"/>
    </row>
    <row r="58" spans="1:57" ht="30" customHeight="1" x14ac:dyDescent="0.3">
      <c r="A58" s="17"/>
      <c r="B58" s="17"/>
      <c r="C58" s="17"/>
      <c r="D58" s="17"/>
      <c r="E58" s="17"/>
      <c r="F58" s="17"/>
      <c r="G58" s="17"/>
      <c r="H58" s="579" t="s">
        <v>6</v>
      </c>
      <c r="I58" s="580"/>
      <c r="J58" s="580"/>
      <c r="K58" s="580"/>
      <c r="L58" s="580"/>
      <c r="M58" s="580"/>
      <c r="N58" s="580"/>
      <c r="O58" s="580"/>
      <c r="P58" s="581"/>
      <c r="Q58" s="582">
        <f>SUMIFS('FTSE | FTFE'!$P$104:$P$139,'FTSE | FTFE'!$H$104:$H$139,H58)</f>
        <v>8992</v>
      </c>
      <c r="R58" s="583"/>
      <c r="S58" s="586"/>
      <c r="T58" s="582">
        <f>SUMIFS(Input[State Revenue], Input[Institution Name],H58)</f>
        <v>92995236</v>
      </c>
      <c r="U58" s="583"/>
      <c r="V58" s="584"/>
      <c r="W58" s="585">
        <f t="shared" si="14"/>
        <v>10342</v>
      </c>
      <c r="X58" s="583"/>
      <c r="Y58" s="586"/>
      <c r="Z58" s="582">
        <f>SUMIFS(Input[Constitutional Funds Revenue], Input[Institution Name],H58)</f>
        <v>40260000</v>
      </c>
      <c r="AA58" s="583"/>
      <c r="AB58" s="584"/>
      <c r="AC58" s="585">
        <f t="shared" si="15"/>
        <v>4477</v>
      </c>
      <c r="AD58" s="583"/>
      <c r="AE58" s="586"/>
      <c r="AF58" s="582">
        <f>SUMIFS(Input[Net Tuition Revenue], Input[Institution Name],H58)+SUMIFS(Input[Net Fees Revenue], Input[Institution Name],H58)</f>
        <v>48855050</v>
      </c>
      <c r="AG58" s="583"/>
      <c r="AH58" s="584"/>
      <c r="AI58" s="585">
        <f t="shared" si="16"/>
        <v>5433</v>
      </c>
      <c r="AJ58" s="583"/>
      <c r="AK58" s="586"/>
      <c r="AL58" s="582">
        <f>SUMIFS(Input[Federal Revenue], Input[Institution Name],H58)</f>
        <v>108881460</v>
      </c>
      <c r="AM58" s="583"/>
      <c r="AN58" s="584"/>
      <c r="AO58" s="585">
        <f t="shared" si="17"/>
        <v>12109</v>
      </c>
      <c r="AP58" s="583"/>
      <c r="AQ58" s="586"/>
      <c r="AR58" s="582">
        <f>SUMIFS(Input[Institutional Revenue], Input[Institution Name],H58)</f>
        <v>45911053</v>
      </c>
      <c r="AS58" s="583"/>
      <c r="AT58" s="584"/>
      <c r="AU58" s="585">
        <f t="shared" si="18"/>
        <v>5106</v>
      </c>
      <c r="AV58" s="583"/>
      <c r="AW58" s="586"/>
      <c r="AX58" s="582">
        <f t="shared" si="19"/>
        <v>336902799</v>
      </c>
      <c r="AY58" s="583"/>
      <c r="AZ58" s="584"/>
      <c r="BA58" s="585">
        <f t="shared" si="20"/>
        <v>37467</v>
      </c>
      <c r="BB58" s="583"/>
      <c r="BC58" s="584"/>
      <c r="BD58" s="17"/>
      <c r="BE58" s="17"/>
    </row>
    <row r="59" spans="1:57" ht="30" customHeight="1" x14ac:dyDescent="0.3">
      <c r="A59" s="17"/>
      <c r="B59" s="17"/>
      <c r="C59" s="17"/>
      <c r="D59" s="17"/>
      <c r="E59" s="17"/>
      <c r="F59" s="17"/>
      <c r="G59" s="17"/>
      <c r="H59" s="587" t="s">
        <v>7</v>
      </c>
      <c r="I59" s="588"/>
      <c r="J59" s="588"/>
      <c r="K59" s="588"/>
      <c r="L59" s="588"/>
      <c r="M59" s="588"/>
      <c r="N59" s="588"/>
      <c r="O59" s="588"/>
      <c r="P59" s="589"/>
      <c r="Q59" s="576">
        <f>SUMIFS('FTSE | FTFE'!$P$104:$P$139,'FTSE | FTFE'!$H$104:$H$139,H59)</f>
        <v>13369</v>
      </c>
      <c r="R59" s="574"/>
      <c r="S59" s="575"/>
      <c r="T59" s="576">
        <f>SUMIFS(Input[State Revenue], Input[Institution Name],H59)</f>
        <v>104627491</v>
      </c>
      <c r="U59" s="574"/>
      <c r="V59" s="577"/>
      <c r="W59" s="573">
        <f t="shared" si="14"/>
        <v>7826</v>
      </c>
      <c r="X59" s="574"/>
      <c r="Y59" s="575"/>
      <c r="Z59" s="576">
        <f>SUMIFS(Input[Constitutional Funds Revenue], Input[Institution Name],H59)</f>
        <v>0</v>
      </c>
      <c r="AA59" s="574"/>
      <c r="AB59" s="577"/>
      <c r="AC59" s="573">
        <f t="shared" si="15"/>
        <v>0</v>
      </c>
      <c r="AD59" s="574"/>
      <c r="AE59" s="575"/>
      <c r="AF59" s="576">
        <f>SUMIFS(Input[Net Tuition Revenue], Input[Institution Name],H59)+SUMIFS(Input[Net Fees Revenue], Input[Institution Name],H59)</f>
        <v>86113387</v>
      </c>
      <c r="AG59" s="574"/>
      <c r="AH59" s="577"/>
      <c r="AI59" s="573">
        <f t="shared" si="16"/>
        <v>6441</v>
      </c>
      <c r="AJ59" s="574"/>
      <c r="AK59" s="575"/>
      <c r="AL59" s="576">
        <f>SUMIFS(Input[Federal Revenue], Input[Institution Name],H59)</f>
        <v>45021432</v>
      </c>
      <c r="AM59" s="574"/>
      <c r="AN59" s="577"/>
      <c r="AO59" s="573">
        <f t="shared" si="17"/>
        <v>3368</v>
      </c>
      <c r="AP59" s="574"/>
      <c r="AQ59" s="575"/>
      <c r="AR59" s="576">
        <f>SUMIFS(Input[Institutional Revenue], Input[Institution Name],H59)</f>
        <v>32309390</v>
      </c>
      <c r="AS59" s="574"/>
      <c r="AT59" s="577"/>
      <c r="AU59" s="573">
        <f t="shared" si="18"/>
        <v>2417</v>
      </c>
      <c r="AV59" s="574"/>
      <c r="AW59" s="575"/>
      <c r="AX59" s="576">
        <f t="shared" si="19"/>
        <v>268071700</v>
      </c>
      <c r="AY59" s="574"/>
      <c r="AZ59" s="577"/>
      <c r="BA59" s="573">
        <f t="shared" si="20"/>
        <v>20052</v>
      </c>
      <c r="BB59" s="574"/>
      <c r="BC59" s="577"/>
      <c r="BD59" s="17"/>
      <c r="BE59" s="17"/>
    </row>
    <row r="60" spans="1:57" ht="30" customHeight="1" x14ac:dyDescent="0.3">
      <c r="A60" s="17"/>
      <c r="B60" s="17"/>
      <c r="C60" s="17"/>
      <c r="D60" s="17"/>
      <c r="E60" s="17"/>
      <c r="F60" s="17"/>
      <c r="G60" s="17"/>
      <c r="H60" s="579" t="s">
        <v>14</v>
      </c>
      <c r="I60" s="580"/>
      <c r="J60" s="580"/>
      <c r="K60" s="580"/>
      <c r="L60" s="580"/>
      <c r="M60" s="580"/>
      <c r="N60" s="580"/>
      <c r="O60" s="580"/>
      <c r="P60" s="581"/>
      <c r="Q60" s="582">
        <f>SUMIFS('FTSE | FTFE'!$P$104:$P$139,'FTSE | FTFE'!$H$104:$H$139,H60)</f>
        <v>1811</v>
      </c>
      <c r="R60" s="583"/>
      <c r="S60" s="586"/>
      <c r="T60" s="582">
        <f>SUMIFS(Input[State Revenue], Input[Institution Name],H60)</f>
        <v>29292970</v>
      </c>
      <c r="U60" s="583"/>
      <c r="V60" s="584"/>
      <c r="W60" s="585">
        <f t="shared" si="14"/>
        <v>16175</v>
      </c>
      <c r="X60" s="583"/>
      <c r="Y60" s="586"/>
      <c r="Z60" s="582">
        <f>SUMIFS(Input[Constitutional Funds Revenue], Input[Institution Name],H60)</f>
        <v>0</v>
      </c>
      <c r="AA60" s="583"/>
      <c r="AB60" s="584"/>
      <c r="AC60" s="585">
        <f t="shared" si="15"/>
        <v>0</v>
      </c>
      <c r="AD60" s="583"/>
      <c r="AE60" s="586"/>
      <c r="AF60" s="582">
        <f>SUMIFS(Input[Net Tuition Revenue], Input[Institution Name],H60)+SUMIFS(Input[Net Fees Revenue], Input[Institution Name],H60)</f>
        <v>13846131</v>
      </c>
      <c r="AG60" s="583"/>
      <c r="AH60" s="584"/>
      <c r="AI60" s="585">
        <f t="shared" si="16"/>
        <v>7646</v>
      </c>
      <c r="AJ60" s="583"/>
      <c r="AK60" s="586"/>
      <c r="AL60" s="582">
        <f>SUMIFS(Input[Federal Revenue], Input[Institution Name],H60)</f>
        <v>9158117</v>
      </c>
      <c r="AM60" s="583"/>
      <c r="AN60" s="584"/>
      <c r="AO60" s="585">
        <f t="shared" si="17"/>
        <v>5057</v>
      </c>
      <c r="AP60" s="583"/>
      <c r="AQ60" s="586"/>
      <c r="AR60" s="582">
        <f>SUMIFS(Input[Institutional Revenue], Input[Institution Name],H60)</f>
        <v>2818514</v>
      </c>
      <c r="AS60" s="583"/>
      <c r="AT60" s="584"/>
      <c r="AU60" s="585">
        <f t="shared" si="18"/>
        <v>1556</v>
      </c>
      <c r="AV60" s="583"/>
      <c r="AW60" s="586"/>
      <c r="AX60" s="582">
        <f t="shared" si="19"/>
        <v>55115732</v>
      </c>
      <c r="AY60" s="583"/>
      <c r="AZ60" s="584"/>
      <c r="BA60" s="585">
        <f t="shared" si="20"/>
        <v>30434</v>
      </c>
      <c r="BB60" s="583"/>
      <c r="BC60" s="584"/>
      <c r="BD60" s="17"/>
      <c r="BE60" s="17"/>
    </row>
    <row r="61" spans="1:57" ht="30" customHeight="1" x14ac:dyDescent="0.3">
      <c r="A61" s="17"/>
      <c r="B61" s="17"/>
      <c r="C61" s="17"/>
      <c r="D61" s="17"/>
      <c r="E61" s="17"/>
      <c r="F61" s="17"/>
      <c r="G61" s="17"/>
      <c r="H61" s="587" t="s">
        <v>8</v>
      </c>
      <c r="I61" s="588"/>
      <c r="J61" s="588"/>
      <c r="K61" s="588"/>
      <c r="L61" s="588"/>
      <c r="M61" s="588"/>
      <c r="N61" s="588"/>
      <c r="O61" s="588"/>
      <c r="P61" s="589"/>
      <c r="Q61" s="576">
        <f>SUMIFS('FTSE | FTFE'!$P$104:$P$139,'FTSE | FTFE'!$H$104:$H$139,H61)</f>
        <v>9531</v>
      </c>
      <c r="R61" s="574"/>
      <c r="S61" s="575"/>
      <c r="T61" s="576">
        <f>SUMIFS(Input[State Revenue], Input[Institution Name],H61)</f>
        <v>84879341</v>
      </c>
      <c r="U61" s="574"/>
      <c r="V61" s="577"/>
      <c r="W61" s="573">
        <f t="shared" si="14"/>
        <v>8906</v>
      </c>
      <c r="X61" s="574"/>
      <c r="Y61" s="575"/>
      <c r="Z61" s="576">
        <f>SUMIFS(Input[Constitutional Funds Revenue], Input[Institution Name],H61)</f>
        <v>11825139</v>
      </c>
      <c r="AA61" s="574"/>
      <c r="AB61" s="577"/>
      <c r="AC61" s="573">
        <f t="shared" si="15"/>
        <v>1241</v>
      </c>
      <c r="AD61" s="574"/>
      <c r="AE61" s="575"/>
      <c r="AF61" s="576">
        <f>SUMIFS(Input[Net Tuition Revenue], Input[Institution Name],H61)+SUMIFS(Input[Net Fees Revenue], Input[Institution Name],H61)</f>
        <v>70580463</v>
      </c>
      <c r="AG61" s="574"/>
      <c r="AH61" s="577"/>
      <c r="AI61" s="573">
        <f t="shared" si="16"/>
        <v>7405</v>
      </c>
      <c r="AJ61" s="574"/>
      <c r="AK61" s="575"/>
      <c r="AL61" s="576">
        <f>SUMIFS(Input[Federal Revenue], Input[Institution Name],H61)</f>
        <v>51428351</v>
      </c>
      <c r="AM61" s="574"/>
      <c r="AN61" s="577"/>
      <c r="AO61" s="573">
        <f t="shared" si="17"/>
        <v>5396</v>
      </c>
      <c r="AP61" s="574"/>
      <c r="AQ61" s="575"/>
      <c r="AR61" s="576">
        <f>SUMIFS(Input[Institutional Revenue], Input[Institution Name],H61)</f>
        <v>41591784</v>
      </c>
      <c r="AS61" s="574"/>
      <c r="AT61" s="577"/>
      <c r="AU61" s="573">
        <f t="shared" si="18"/>
        <v>4364</v>
      </c>
      <c r="AV61" s="574"/>
      <c r="AW61" s="575"/>
      <c r="AX61" s="576">
        <f t="shared" si="19"/>
        <v>260305078</v>
      </c>
      <c r="AY61" s="574"/>
      <c r="AZ61" s="577"/>
      <c r="BA61" s="573">
        <f t="shared" si="20"/>
        <v>27311</v>
      </c>
      <c r="BB61" s="574"/>
      <c r="BC61" s="577"/>
      <c r="BD61" s="17"/>
      <c r="BE61" s="17"/>
    </row>
    <row r="62" spans="1:57" ht="30" customHeight="1" x14ac:dyDescent="0.3">
      <c r="A62" s="17"/>
      <c r="B62" s="17"/>
      <c r="C62" s="17"/>
      <c r="D62" s="17"/>
      <c r="E62" s="17"/>
      <c r="F62" s="17"/>
      <c r="G62" s="17"/>
      <c r="H62" s="579" t="s">
        <v>9</v>
      </c>
      <c r="I62" s="580"/>
      <c r="J62" s="580"/>
      <c r="K62" s="580"/>
      <c r="L62" s="580"/>
      <c r="M62" s="580"/>
      <c r="N62" s="580"/>
      <c r="O62" s="580"/>
      <c r="P62" s="581"/>
      <c r="Q62" s="582">
        <f>SUMIFS('FTSE | FTFE'!$P$104:$P$139,'FTSE | FTFE'!$H$104:$H$139,H62)</f>
        <v>5640</v>
      </c>
      <c r="R62" s="583"/>
      <c r="S62" s="586"/>
      <c r="T62" s="582">
        <f>SUMIFS(Input[State Revenue], Input[Institution Name],H62)</f>
        <v>64114596</v>
      </c>
      <c r="U62" s="583"/>
      <c r="V62" s="584"/>
      <c r="W62" s="585">
        <f t="shared" si="14"/>
        <v>11368</v>
      </c>
      <c r="X62" s="583"/>
      <c r="Y62" s="586"/>
      <c r="Z62" s="582">
        <f>SUMIFS(Input[Constitutional Funds Revenue], Input[Institution Name],H62)</f>
        <v>9125307</v>
      </c>
      <c r="AA62" s="583"/>
      <c r="AB62" s="584"/>
      <c r="AC62" s="585">
        <f t="shared" si="15"/>
        <v>1618</v>
      </c>
      <c r="AD62" s="583"/>
      <c r="AE62" s="586"/>
      <c r="AF62" s="582">
        <f>SUMIFS(Input[Net Tuition Revenue], Input[Institution Name],H62)+SUMIFS(Input[Net Fees Revenue], Input[Institution Name],H62)</f>
        <v>33146237</v>
      </c>
      <c r="AG62" s="583"/>
      <c r="AH62" s="584"/>
      <c r="AI62" s="585">
        <f t="shared" si="16"/>
        <v>5877</v>
      </c>
      <c r="AJ62" s="583"/>
      <c r="AK62" s="586"/>
      <c r="AL62" s="582">
        <f>SUMIFS(Input[Federal Revenue], Input[Institution Name],H62)</f>
        <v>46773029</v>
      </c>
      <c r="AM62" s="583"/>
      <c r="AN62" s="584"/>
      <c r="AO62" s="585">
        <f t="shared" si="17"/>
        <v>8293</v>
      </c>
      <c r="AP62" s="583"/>
      <c r="AQ62" s="586"/>
      <c r="AR62" s="582">
        <f>SUMIFS(Input[Institutional Revenue], Input[Institution Name],H62)</f>
        <v>32880933</v>
      </c>
      <c r="AS62" s="583"/>
      <c r="AT62" s="584"/>
      <c r="AU62" s="585">
        <f t="shared" si="18"/>
        <v>5830</v>
      </c>
      <c r="AV62" s="583"/>
      <c r="AW62" s="586"/>
      <c r="AX62" s="582">
        <f t="shared" si="19"/>
        <v>186040102</v>
      </c>
      <c r="AY62" s="583"/>
      <c r="AZ62" s="584"/>
      <c r="BA62" s="585">
        <f t="shared" si="20"/>
        <v>32986</v>
      </c>
      <c r="BB62" s="583"/>
      <c r="BC62" s="584"/>
      <c r="BD62" s="17"/>
      <c r="BE62" s="17"/>
    </row>
    <row r="63" spans="1:57" ht="30" customHeight="1" x14ac:dyDescent="0.3">
      <c r="A63" s="17"/>
      <c r="B63" s="17"/>
      <c r="C63" s="17"/>
      <c r="D63" s="17"/>
      <c r="E63" s="17"/>
      <c r="F63" s="17"/>
      <c r="G63" s="17"/>
      <c r="H63" s="587" t="s">
        <v>15</v>
      </c>
      <c r="I63" s="588"/>
      <c r="J63" s="588"/>
      <c r="K63" s="588"/>
      <c r="L63" s="588"/>
      <c r="M63" s="588"/>
      <c r="N63" s="588"/>
      <c r="O63" s="588"/>
      <c r="P63" s="589"/>
      <c r="Q63" s="576">
        <f>SUMIFS('FTSE | FTFE'!$P$104:$P$139,'FTSE | FTFE'!$H$104:$H$139,H63)</f>
        <v>5683</v>
      </c>
      <c r="R63" s="574"/>
      <c r="S63" s="575"/>
      <c r="T63" s="576">
        <f>SUMIFS(Input[State Revenue], Input[Institution Name],H63)</f>
        <v>50699530</v>
      </c>
      <c r="U63" s="574"/>
      <c r="V63" s="577"/>
      <c r="W63" s="573">
        <f t="shared" si="14"/>
        <v>8921</v>
      </c>
      <c r="X63" s="574"/>
      <c r="Y63" s="575"/>
      <c r="Z63" s="576">
        <f>SUMIFS(Input[Constitutional Funds Revenue], Input[Institution Name],H63)</f>
        <v>0</v>
      </c>
      <c r="AA63" s="574"/>
      <c r="AB63" s="577"/>
      <c r="AC63" s="573">
        <f t="shared" si="15"/>
        <v>0</v>
      </c>
      <c r="AD63" s="574"/>
      <c r="AE63" s="575"/>
      <c r="AF63" s="576">
        <f>SUMIFS(Input[Net Tuition Revenue], Input[Institution Name],H63)+SUMIFS(Input[Net Fees Revenue], Input[Institution Name],H63)</f>
        <v>24931997</v>
      </c>
      <c r="AG63" s="574"/>
      <c r="AH63" s="577"/>
      <c r="AI63" s="573">
        <f t="shared" si="16"/>
        <v>4387</v>
      </c>
      <c r="AJ63" s="574"/>
      <c r="AK63" s="575"/>
      <c r="AL63" s="576">
        <f>SUMIFS(Input[Federal Revenue], Input[Institution Name],H63)</f>
        <v>29756476</v>
      </c>
      <c r="AM63" s="574"/>
      <c r="AN63" s="577"/>
      <c r="AO63" s="573">
        <f t="shared" si="17"/>
        <v>5236</v>
      </c>
      <c r="AP63" s="574"/>
      <c r="AQ63" s="575"/>
      <c r="AR63" s="576">
        <f>SUMIFS(Input[Institutional Revenue], Input[Institution Name],H63)</f>
        <v>17764871</v>
      </c>
      <c r="AS63" s="574"/>
      <c r="AT63" s="577"/>
      <c r="AU63" s="573">
        <f t="shared" si="18"/>
        <v>3126</v>
      </c>
      <c r="AV63" s="574"/>
      <c r="AW63" s="575"/>
      <c r="AX63" s="576">
        <f t="shared" si="19"/>
        <v>123152874</v>
      </c>
      <c r="AY63" s="574"/>
      <c r="AZ63" s="577"/>
      <c r="BA63" s="573">
        <f t="shared" si="20"/>
        <v>21670</v>
      </c>
      <c r="BB63" s="574"/>
      <c r="BC63" s="577"/>
      <c r="BD63" s="17"/>
      <c r="BE63" s="17"/>
    </row>
    <row r="64" spans="1:57" ht="30" customHeight="1" x14ac:dyDescent="0.3">
      <c r="A64" s="17"/>
      <c r="B64" s="17"/>
      <c r="C64" s="17"/>
      <c r="D64" s="17"/>
      <c r="E64" s="17"/>
      <c r="F64" s="17"/>
      <c r="G64" s="17"/>
      <c r="H64" s="579" t="s">
        <v>10</v>
      </c>
      <c r="I64" s="580"/>
      <c r="J64" s="580"/>
      <c r="K64" s="580"/>
      <c r="L64" s="580"/>
      <c r="M64" s="580"/>
      <c r="N64" s="580"/>
      <c r="O64" s="580"/>
      <c r="P64" s="581"/>
      <c r="Q64" s="582">
        <f>SUMIFS('FTSE | FTFE'!$P$104:$P$139,'FTSE | FTFE'!$H$104:$H$139,H64)</f>
        <v>7562</v>
      </c>
      <c r="R64" s="583"/>
      <c r="S64" s="586"/>
      <c r="T64" s="582">
        <f>SUMIFS(Input[State Revenue], Input[Institution Name],H64)</f>
        <v>72606639</v>
      </c>
      <c r="U64" s="583"/>
      <c r="V64" s="584"/>
      <c r="W64" s="585">
        <f t="shared" si="14"/>
        <v>9602</v>
      </c>
      <c r="X64" s="583"/>
      <c r="Y64" s="586"/>
      <c r="Z64" s="582">
        <f>SUMIFS(Input[Constitutional Funds Revenue], Input[Institution Name],H64)</f>
        <v>7687534</v>
      </c>
      <c r="AA64" s="583"/>
      <c r="AB64" s="584"/>
      <c r="AC64" s="585">
        <f t="shared" si="15"/>
        <v>1017</v>
      </c>
      <c r="AD64" s="583"/>
      <c r="AE64" s="586"/>
      <c r="AF64" s="582">
        <f>SUMIFS(Input[Net Tuition Revenue], Input[Institution Name],H64)+SUMIFS(Input[Net Fees Revenue], Input[Institution Name],H64)</f>
        <v>26514379</v>
      </c>
      <c r="AG64" s="583"/>
      <c r="AH64" s="584"/>
      <c r="AI64" s="585">
        <f t="shared" si="16"/>
        <v>3506</v>
      </c>
      <c r="AJ64" s="583"/>
      <c r="AK64" s="586"/>
      <c r="AL64" s="582">
        <f>SUMIFS(Input[Federal Revenue], Input[Institution Name],H64)</f>
        <v>41922703</v>
      </c>
      <c r="AM64" s="583"/>
      <c r="AN64" s="584"/>
      <c r="AO64" s="585">
        <f t="shared" si="17"/>
        <v>5544</v>
      </c>
      <c r="AP64" s="583"/>
      <c r="AQ64" s="586"/>
      <c r="AR64" s="582">
        <f>SUMIFS(Input[Institutional Revenue], Input[Institution Name],H64)</f>
        <v>77871210</v>
      </c>
      <c r="AS64" s="583"/>
      <c r="AT64" s="584"/>
      <c r="AU64" s="585">
        <f t="shared" si="18"/>
        <v>10298</v>
      </c>
      <c r="AV64" s="583"/>
      <c r="AW64" s="586"/>
      <c r="AX64" s="582">
        <f t="shared" si="19"/>
        <v>226602465</v>
      </c>
      <c r="AY64" s="583"/>
      <c r="AZ64" s="584"/>
      <c r="BA64" s="585">
        <f t="shared" si="20"/>
        <v>29966</v>
      </c>
      <c r="BB64" s="583"/>
      <c r="BC64" s="584"/>
      <c r="BD64" s="17"/>
      <c r="BE64" s="17"/>
    </row>
    <row r="65" spans="1:57" ht="30" customHeight="1" x14ac:dyDescent="0.3">
      <c r="A65" s="17"/>
      <c r="B65" s="17"/>
      <c r="C65" s="17"/>
      <c r="D65" s="17"/>
      <c r="E65" s="17"/>
      <c r="F65" s="17"/>
      <c r="G65" s="17"/>
      <c r="H65" s="587" t="s">
        <v>12</v>
      </c>
      <c r="I65" s="588"/>
      <c r="J65" s="588"/>
      <c r="K65" s="588"/>
      <c r="L65" s="588"/>
      <c r="M65" s="588"/>
      <c r="N65" s="588"/>
      <c r="O65" s="588"/>
      <c r="P65" s="589"/>
      <c r="Q65" s="576">
        <f>SUMIFS('FTSE | FTFE'!$P$104:$P$139,'FTSE | FTFE'!$H$104:$H$139,H65)</f>
        <v>10094</v>
      </c>
      <c r="R65" s="574"/>
      <c r="S65" s="575"/>
      <c r="T65" s="576">
        <f>SUMIFS(Input[State Revenue], Input[Institution Name],H65)</f>
        <v>76267610</v>
      </c>
      <c r="U65" s="574"/>
      <c r="V65" s="577"/>
      <c r="W65" s="573">
        <f t="shared" si="14"/>
        <v>7556</v>
      </c>
      <c r="X65" s="574"/>
      <c r="Y65" s="575"/>
      <c r="Z65" s="576">
        <f>SUMIFS(Input[Constitutional Funds Revenue], Input[Institution Name],H65)</f>
        <v>11459464</v>
      </c>
      <c r="AA65" s="574"/>
      <c r="AB65" s="577"/>
      <c r="AC65" s="573">
        <f t="shared" si="15"/>
        <v>1135</v>
      </c>
      <c r="AD65" s="574"/>
      <c r="AE65" s="575"/>
      <c r="AF65" s="576">
        <f>SUMIFS(Input[Net Tuition Revenue], Input[Institution Name],H65)+SUMIFS(Input[Net Fees Revenue], Input[Institution Name],H65)</f>
        <v>50724716</v>
      </c>
      <c r="AG65" s="574"/>
      <c r="AH65" s="577"/>
      <c r="AI65" s="573">
        <f t="shared" si="16"/>
        <v>5025</v>
      </c>
      <c r="AJ65" s="574"/>
      <c r="AK65" s="575"/>
      <c r="AL65" s="576">
        <f>SUMIFS(Input[Federal Revenue], Input[Institution Name],H65)</f>
        <v>30251289</v>
      </c>
      <c r="AM65" s="574"/>
      <c r="AN65" s="577"/>
      <c r="AO65" s="573">
        <f t="shared" si="17"/>
        <v>2997</v>
      </c>
      <c r="AP65" s="574"/>
      <c r="AQ65" s="575"/>
      <c r="AR65" s="576">
        <f>SUMIFS(Input[Institutional Revenue], Input[Institution Name],H65)</f>
        <v>36360459</v>
      </c>
      <c r="AS65" s="574"/>
      <c r="AT65" s="577"/>
      <c r="AU65" s="573">
        <f t="shared" si="18"/>
        <v>3602</v>
      </c>
      <c r="AV65" s="574"/>
      <c r="AW65" s="575"/>
      <c r="AX65" s="576">
        <f t="shared" si="19"/>
        <v>205063538</v>
      </c>
      <c r="AY65" s="574"/>
      <c r="AZ65" s="577"/>
      <c r="BA65" s="573">
        <f t="shared" si="20"/>
        <v>20315</v>
      </c>
      <c r="BB65" s="574"/>
      <c r="BC65" s="577"/>
      <c r="BD65" s="17"/>
      <c r="BE65" s="17"/>
    </row>
    <row r="66" spans="1:57" ht="30" customHeight="1" x14ac:dyDescent="0.3">
      <c r="A66" s="17"/>
      <c r="B66" s="17"/>
      <c r="C66" s="17"/>
      <c r="D66" s="17"/>
      <c r="E66" s="17"/>
      <c r="F66" s="17"/>
      <c r="G66" s="17"/>
      <c r="H66" s="579" t="s">
        <v>11</v>
      </c>
      <c r="I66" s="580"/>
      <c r="J66" s="580"/>
      <c r="K66" s="580"/>
      <c r="L66" s="580"/>
      <c r="M66" s="580"/>
      <c r="N66" s="580"/>
      <c r="O66" s="580"/>
      <c r="P66" s="581"/>
      <c r="Q66" s="582">
        <f>SUMIFS('FTSE | FTFE'!$P$104:$P$139,'FTSE | FTFE'!$H$104:$H$139,H66)</f>
        <v>7338</v>
      </c>
      <c r="R66" s="583"/>
      <c r="S66" s="586"/>
      <c r="T66" s="582">
        <f>SUMIFS(Input[State Revenue], Input[Institution Name],H66)</f>
        <v>68266959</v>
      </c>
      <c r="U66" s="583"/>
      <c r="V66" s="584"/>
      <c r="W66" s="585">
        <f t="shared" si="14"/>
        <v>9303</v>
      </c>
      <c r="X66" s="583"/>
      <c r="Y66" s="586"/>
      <c r="Z66" s="582">
        <f>SUMIFS(Input[Constitutional Funds Revenue], Input[Institution Name],H66)</f>
        <v>7671155</v>
      </c>
      <c r="AA66" s="583"/>
      <c r="AB66" s="584"/>
      <c r="AC66" s="585">
        <f t="shared" si="15"/>
        <v>1045</v>
      </c>
      <c r="AD66" s="583"/>
      <c r="AE66" s="586"/>
      <c r="AF66" s="582">
        <f>SUMIFS(Input[Net Tuition Revenue], Input[Institution Name],H66)+SUMIFS(Input[Net Fees Revenue], Input[Institution Name],H66)</f>
        <v>46425705</v>
      </c>
      <c r="AG66" s="583"/>
      <c r="AH66" s="584"/>
      <c r="AI66" s="585">
        <f t="shared" si="16"/>
        <v>6327</v>
      </c>
      <c r="AJ66" s="583"/>
      <c r="AK66" s="586"/>
      <c r="AL66" s="582">
        <f>SUMIFS(Input[Federal Revenue], Input[Institution Name],H66)</f>
        <v>25120093</v>
      </c>
      <c r="AM66" s="583"/>
      <c r="AN66" s="584"/>
      <c r="AO66" s="585">
        <f t="shared" si="17"/>
        <v>3423</v>
      </c>
      <c r="AP66" s="583"/>
      <c r="AQ66" s="586"/>
      <c r="AR66" s="582">
        <f>SUMIFS(Input[Institutional Revenue], Input[Institution Name],H66)</f>
        <v>53555541</v>
      </c>
      <c r="AS66" s="583"/>
      <c r="AT66" s="584"/>
      <c r="AU66" s="585">
        <f t="shared" si="18"/>
        <v>7298</v>
      </c>
      <c r="AV66" s="583"/>
      <c r="AW66" s="586"/>
      <c r="AX66" s="582">
        <f t="shared" si="19"/>
        <v>201039453</v>
      </c>
      <c r="AY66" s="583"/>
      <c r="AZ66" s="584"/>
      <c r="BA66" s="585">
        <f t="shared" si="20"/>
        <v>27397</v>
      </c>
      <c r="BB66" s="583"/>
      <c r="BC66" s="584"/>
      <c r="BD66" s="17"/>
      <c r="BE66" s="17"/>
    </row>
    <row r="67" spans="1:57" ht="30" customHeight="1" x14ac:dyDescent="0.3">
      <c r="A67" s="17"/>
      <c r="B67" s="17"/>
      <c r="C67" s="17"/>
      <c r="D67" s="17"/>
      <c r="E67" s="17"/>
      <c r="F67" s="17"/>
      <c r="G67" s="17"/>
      <c r="H67" s="587" t="s">
        <v>13</v>
      </c>
      <c r="I67" s="588"/>
      <c r="J67" s="588"/>
      <c r="K67" s="588"/>
      <c r="L67" s="588"/>
      <c r="M67" s="588"/>
      <c r="N67" s="588"/>
      <c r="O67" s="588"/>
      <c r="P67" s="589"/>
      <c r="Q67" s="576">
        <f>SUMIFS('FTSE | FTFE'!$P$104:$P$139,'FTSE | FTFE'!$H$104:$H$139,H67)</f>
        <v>1699</v>
      </c>
      <c r="R67" s="574"/>
      <c r="S67" s="575"/>
      <c r="T67" s="576">
        <f>SUMIFS(Input[State Revenue], Input[Institution Name],H67)</f>
        <v>39670849</v>
      </c>
      <c r="U67" s="574"/>
      <c r="V67" s="577"/>
      <c r="W67" s="573">
        <f t="shared" si="14"/>
        <v>23350</v>
      </c>
      <c r="X67" s="574"/>
      <c r="Y67" s="575"/>
      <c r="Z67" s="576">
        <f>SUMIFS(Input[Constitutional Funds Revenue], Input[Institution Name],H67)</f>
        <v>2112129</v>
      </c>
      <c r="AA67" s="574"/>
      <c r="AB67" s="577"/>
      <c r="AC67" s="573">
        <f t="shared" si="15"/>
        <v>1243</v>
      </c>
      <c r="AD67" s="574"/>
      <c r="AE67" s="575"/>
      <c r="AF67" s="576">
        <f>SUMIFS(Input[Net Tuition Revenue], Input[Institution Name],H67)+SUMIFS(Input[Net Fees Revenue], Input[Institution Name],H67)</f>
        <v>10587483</v>
      </c>
      <c r="AG67" s="574"/>
      <c r="AH67" s="577"/>
      <c r="AI67" s="573">
        <f t="shared" si="16"/>
        <v>6232</v>
      </c>
      <c r="AJ67" s="574"/>
      <c r="AK67" s="575"/>
      <c r="AL67" s="576">
        <f>SUMIFS(Input[Federal Revenue], Input[Institution Name],H67)</f>
        <v>7711817</v>
      </c>
      <c r="AM67" s="574"/>
      <c r="AN67" s="577"/>
      <c r="AO67" s="573">
        <f t="shared" si="17"/>
        <v>4539</v>
      </c>
      <c r="AP67" s="574"/>
      <c r="AQ67" s="575"/>
      <c r="AR67" s="576">
        <f>SUMIFS(Input[Institutional Revenue], Input[Institution Name],H67)</f>
        <v>12412867</v>
      </c>
      <c r="AS67" s="574"/>
      <c r="AT67" s="577"/>
      <c r="AU67" s="573">
        <f t="shared" si="18"/>
        <v>7306</v>
      </c>
      <c r="AV67" s="574"/>
      <c r="AW67" s="575"/>
      <c r="AX67" s="576">
        <f t="shared" si="19"/>
        <v>72495145</v>
      </c>
      <c r="AY67" s="574"/>
      <c r="AZ67" s="577"/>
      <c r="BA67" s="573">
        <f t="shared" si="20"/>
        <v>42669</v>
      </c>
      <c r="BB67" s="574"/>
      <c r="BC67" s="577"/>
      <c r="BD67" s="17"/>
      <c r="BE67" s="17"/>
    </row>
    <row r="68" spans="1:57" ht="30" customHeight="1" x14ac:dyDescent="0.3">
      <c r="A68" s="17"/>
      <c r="B68" s="17"/>
      <c r="C68" s="17"/>
      <c r="D68" s="17"/>
      <c r="E68" s="17"/>
      <c r="F68" s="17"/>
      <c r="G68" s="17"/>
      <c r="H68" s="579" t="s">
        <v>16</v>
      </c>
      <c r="I68" s="580"/>
      <c r="J68" s="580"/>
      <c r="K68" s="580"/>
      <c r="L68" s="580"/>
      <c r="M68" s="580"/>
      <c r="N68" s="580"/>
      <c r="O68" s="580"/>
      <c r="P68" s="581"/>
      <c r="Q68" s="582">
        <f>SUMIFS('FTSE | FTFE'!$P$104:$P$139,'FTSE | FTFE'!$H$104:$H$139,H68)</f>
        <v>40598</v>
      </c>
      <c r="R68" s="583"/>
      <c r="S68" s="586"/>
      <c r="T68" s="582">
        <f>SUMIFS(Input[State Revenue], Input[Institution Name],H68)</f>
        <v>468083256</v>
      </c>
      <c r="U68" s="583"/>
      <c r="V68" s="584"/>
      <c r="W68" s="585">
        <f t="shared" si="14"/>
        <v>11530</v>
      </c>
      <c r="X68" s="583"/>
      <c r="Y68" s="586"/>
      <c r="Z68" s="582">
        <f>SUMIFS(Input[Constitutional Funds Revenue], Input[Institution Name],H68)</f>
        <v>56158685</v>
      </c>
      <c r="AA68" s="583"/>
      <c r="AB68" s="584"/>
      <c r="AC68" s="585">
        <f t="shared" si="15"/>
        <v>1383</v>
      </c>
      <c r="AD68" s="583"/>
      <c r="AE68" s="586"/>
      <c r="AF68" s="582">
        <f>SUMIFS(Input[Net Tuition Revenue], Input[Institution Name],H68)+SUMIFS(Input[Net Fees Revenue], Input[Institution Name],H68)</f>
        <v>542287497</v>
      </c>
      <c r="AG68" s="583"/>
      <c r="AH68" s="584"/>
      <c r="AI68" s="585">
        <f t="shared" si="16"/>
        <v>13357</v>
      </c>
      <c r="AJ68" s="583"/>
      <c r="AK68" s="586"/>
      <c r="AL68" s="582">
        <f>SUMIFS(Input[Federal Revenue], Input[Institution Name],H68)</f>
        <v>244991903</v>
      </c>
      <c r="AM68" s="583"/>
      <c r="AN68" s="584"/>
      <c r="AO68" s="585">
        <f t="shared" si="17"/>
        <v>6035</v>
      </c>
      <c r="AP68" s="583"/>
      <c r="AQ68" s="586"/>
      <c r="AR68" s="582">
        <f>SUMIFS(Input[Institutional Revenue], Input[Institution Name],H68)</f>
        <v>292055772</v>
      </c>
      <c r="AS68" s="583"/>
      <c r="AT68" s="584"/>
      <c r="AU68" s="585">
        <f t="shared" si="18"/>
        <v>7194</v>
      </c>
      <c r="AV68" s="583"/>
      <c r="AW68" s="586"/>
      <c r="AX68" s="582">
        <f t="shared" si="19"/>
        <v>1603577113</v>
      </c>
      <c r="AY68" s="583"/>
      <c r="AZ68" s="584"/>
      <c r="BA68" s="585">
        <f t="shared" si="20"/>
        <v>39499</v>
      </c>
      <c r="BB68" s="583"/>
      <c r="BC68" s="584"/>
      <c r="BD68" s="17"/>
      <c r="BE68" s="17"/>
    </row>
    <row r="69" spans="1:57" ht="30" customHeight="1" x14ac:dyDescent="0.3">
      <c r="A69" s="17"/>
      <c r="B69" s="17"/>
      <c r="C69" s="17"/>
      <c r="D69" s="17"/>
      <c r="E69" s="17"/>
      <c r="F69" s="17"/>
      <c r="G69" s="17"/>
      <c r="H69" s="587" t="s">
        <v>17</v>
      </c>
      <c r="I69" s="588"/>
      <c r="J69" s="588"/>
      <c r="K69" s="588"/>
      <c r="L69" s="588"/>
      <c r="M69" s="588"/>
      <c r="N69" s="588"/>
      <c r="O69" s="588"/>
      <c r="P69" s="589"/>
      <c r="Q69" s="576">
        <f>SUMIFS('FTSE | FTFE'!$P$104:$P$139,'FTSE | FTFE'!$H$104:$H$139,H69)</f>
        <v>6008</v>
      </c>
      <c r="R69" s="574"/>
      <c r="S69" s="575"/>
      <c r="T69" s="576">
        <f>SUMIFS(Input[State Revenue], Input[Institution Name],H69)</f>
        <v>51356390</v>
      </c>
      <c r="U69" s="574"/>
      <c r="V69" s="577"/>
      <c r="W69" s="573">
        <f t="shared" si="14"/>
        <v>8548</v>
      </c>
      <c r="X69" s="574"/>
      <c r="Y69" s="575"/>
      <c r="Z69" s="576">
        <f>SUMIFS(Input[Constitutional Funds Revenue], Input[Institution Name],H69)</f>
        <v>7959137</v>
      </c>
      <c r="AA69" s="574"/>
      <c r="AB69" s="577"/>
      <c r="AC69" s="573">
        <f t="shared" si="15"/>
        <v>1325</v>
      </c>
      <c r="AD69" s="574"/>
      <c r="AE69" s="575"/>
      <c r="AF69" s="576">
        <f>SUMIFS(Input[Net Tuition Revenue], Input[Institution Name],H69)+SUMIFS(Input[Net Fees Revenue], Input[Institution Name],H69)</f>
        <v>38720416</v>
      </c>
      <c r="AG69" s="574"/>
      <c r="AH69" s="577"/>
      <c r="AI69" s="573">
        <f t="shared" si="16"/>
        <v>6445</v>
      </c>
      <c r="AJ69" s="574"/>
      <c r="AK69" s="575"/>
      <c r="AL69" s="576">
        <f>SUMIFS(Input[Federal Revenue], Input[Institution Name],H69)</f>
        <v>25505269</v>
      </c>
      <c r="AM69" s="574"/>
      <c r="AN69" s="577"/>
      <c r="AO69" s="573">
        <f t="shared" si="17"/>
        <v>4245</v>
      </c>
      <c r="AP69" s="574"/>
      <c r="AQ69" s="575"/>
      <c r="AR69" s="576">
        <f>SUMIFS(Input[Institutional Revenue], Input[Institution Name],H69)</f>
        <v>11766069</v>
      </c>
      <c r="AS69" s="574"/>
      <c r="AT69" s="577"/>
      <c r="AU69" s="573">
        <f t="shared" si="18"/>
        <v>1958</v>
      </c>
      <c r="AV69" s="574"/>
      <c r="AW69" s="575"/>
      <c r="AX69" s="576">
        <f t="shared" si="19"/>
        <v>135307281</v>
      </c>
      <c r="AY69" s="574"/>
      <c r="AZ69" s="577"/>
      <c r="BA69" s="573">
        <f t="shared" si="20"/>
        <v>22521</v>
      </c>
      <c r="BB69" s="574"/>
      <c r="BC69" s="577"/>
      <c r="BD69" s="17"/>
      <c r="BE69" s="17"/>
    </row>
    <row r="70" spans="1:57" ht="30" customHeight="1" x14ac:dyDescent="0.3">
      <c r="A70" s="17"/>
      <c r="B70" s="17"/>
      <c r="C70" s="17"/>
      <c r="D70" s="17"/>
      <c r="E70" s="17"/>
      <c r="F70" s="17"/>
      <c r="G70" s="17"/>
      <c r="H70" s="579" t="s">
        <v>18</v>
      </c>
      <c r="I70" s="580"/>
      <c r="J70" s="580"/>
      <c r="K70" s="580"/>
      <c r="L70" s="580"/>
      <c r="M70" s="580"/>
      <c r="N70" s="580"/>
      <c r="O70" s="580"/>
      <c r="P70" s="581"/>
      <c r="Q70" s="582">
        <f>SUMIFS('FTSE | FTFE'!$P$104:$P$139,'FTSE | FTFE'!$H$104:$H$139,H70)</f>
        <v>10405</v>
      </c>
      <c r="R70" s="583"/>
      <c r="S70" s="586"/>
      <c r="T70" s="582">
        <f>SUMIFS(Input[State Revenue], Input[Institution Name],H70)</f>
        <v>51622306</v>
      </c>
      <c r="U70" s="583"/>
      <c r="V70" s="584"/>
      <c r="W70" s="585">
        <f t="shared" si="14"/>
        <v>4961</v>
      </c>
      <c r="X70" s="583"/>
      <c r="Y70" s="586"/>
      <c r="Z70" s="582">
        <f>SUMIFS(Input[Constitutional Funds Revenue], Input[Institution Name],H70)</f>
        <v>11155034</v>
      </c>
      <c r="AA70" s="583"/>
      <c r="AB70" s="584"/>
      <c r="AC70" s="585">
        <f t="shared" si="15"/>
        <v>1072</v>
      </c>
      <c r="AD70" s="583"/>
      <c r="AE70" s="586"/>
      <c r="AF70" s="582">
        <f>SUMIFS(Input[Net Tuition Revenue], Input[Institution Name],H70)+SUMIFS(Input[Net Fees Revenue], Input[Institution Name],H70)</f>
        <v>44045381</v>
      </c>
      <c r="AG70" s="583"/>
      <c r="AH70" s="584"/>
      <c r="AI70" s="585">
        <f t="shared" si="16"/>
        <v>4233</v>
      </c>
      <c r="AJ70" s="583"/>
      <c r="AK70" s="586"/>
      <c r="AL70" s="582">
        <f>SUMIFS(Input[Federal Revenue], Input[Institution Name],H70)</f>
        <v>54992153</v>
      </c>
      <c r="AM70" s="583"/>
      <c r="AN70" s="584"/>
      <c r="AO70" s="585">
        <f t="shared" si="17"/>
        <v>5285</v>
      </c>
      <c r="AP70" s="583"/>
      <c r="AQ70" s="586"/>
      <c r="AR70" s="582">
        <f>SUMIFS(Input[Institutional Revenue], Input[Institution Name],H70)</f>
        <v>17098071</v>
      </c>
      <c r="AS70" s="583"/>
      <c r="AT70" s="584"/>
      <c r="AU70" s="585">
        <f t="shared" si="18"/>
        <v>1643</v>
      </c>
      <c r="AV70" s="583"/>
      <c r="AW70" s="586"/>
      <c r="AX70" s="582">
        <f t="shared" si="19"/>
        <v>178912945</v>
      </c>
      <c r="AY70" s="583"/>
      <c r="AZ70" s="584"/>
      <c r="BA70" s="585">
        <f t="shared" si="20"/>
        <v>17195</v>
      </c>
      <c r="BB70" s="583"/>
      <c r="BC70" s="584"/>
      <c r="BD70" s="17"/>
      <c r="BE70" s="17"/>
    </row>
    <row r="71" spans="1:57" ht="30" customHeight="1" x14ac:dyDescent="0.3">
      <c r="A71" s="17"/>
      <c r="B71" s="17"/>
      <c r="C71" s="17"/>
      <c r="D71" s="17"/>
      <c r="E71" s="17"/>
      <c r="F71" s="17"/>
      <c r="G71" s="17"/>
      <c r="H71" s="587" t="s">
        <v>19</v>
      </c>
      <c r="I71" s="588"/>
      <c r="J71" s="588"/>
      <c r="K71" s="588"/>
      <c r="L71" s="588"/>
      <c r="M71" s="588"/>
      <c r="N71" s="588"/>
      <c r="O71" s="588"/>
      <c r="P71" s="589"/>
      <c r="Q71" s="576">
        <f>SUMIFS('FTSE | FTFE'!$P$104:$P$139,'FTSE | FTFE'!$H$104:$H$139,H71)</f>
        <v>2681</v>
      </c>
      <c r="R71" s="574"/>
      <c r="S71" s="575"/>
      <c r="T71" s="576">
        <f>SUMIFS(Input[State Revenue], Input[Institution Name],H71)</f>
        <v>23112187</v>
      </c>
      <c r="U71" s="574"/>
      <c r="V71" s="577"/>
      <c r="W71" s="573">
        <f t="shared" si="14"/>
        <v>8621</v>
      </c>
      <c r="X71" s="574"/>
      <c r="Y71" s="575"/>
      <c r="Z71" s="576">
        <f>SUMIFS(Input[Constitutional Funds Revenue], Input[Institution Name],H71)</f>
        <v>3649703</v>
      </c>
      <c r="AA71" s="574"/>
      <c r="AB71" s="577"/>
      <c r="AC71" s="573">
        <f t="shared" si="15"/>
        <v>1361</v>
      </c>
      <c r="AD71" s="574"/>
      <c r="AE71" s="575"/>
      <c r="AF71" s="576">
        <f>SUMIFS(Input[Net Tuition Revenue], Input[Institution Name],H71)+SUMIFS(Input[Net Fees Revenue], Input[Institution Name],H71)</f>
        <v>13115330</v>
      </c>
      <c r="AG71" s="574"/>
      <c r="AH71" s="577"/>
      <c r="AI71" s="573">
        <f t="shared" si="16"/>
        <v>4892</v>
      </c>
      <c r="AJ71" s="574"/>
      <c r="AK71" s="575"/>
      <c r="AL71" s="576">
        <f>SUMIFS(Input[Federal Revenue], Input[Institution Name],H71)</f>
        <v>7026568</v>
      </c>
      <c r="AM71" s="574"/>
      <c r="AN71" s="577"/>
      <c r="AO71" s="573">
        <f t="shared" si="17"/>
        <v>2621</v>
      </c>
      <c r="AP71" s="574"/>
      <c r="AQ71" s="575"/>
      <c r="AR71" s="576">
        <f>SUMIFS(Input[Institutional Revenue], Input[Institution Name],H71)</f>
        <v>2507951</v>
      </c>
      <c r="AS71" s="574"/>
      <c r="AT71" s="577"/>
      <c r="AU71" s="573">
        <f t="shared" si="18"/>
        <v>935</v>
      </c>
      <c r="AV71" s="574"/>
      <c r="AW71" s="575"/>
      <c r="AX71" s="576">
        <f t="shared" si="19"/>
        <v>49411739</v>
      </c>
      <c r="AY71" s="574"/>
      <c r="AZ71" s="577"/>
      <c r="BA71" s="573">
        <f t="shared" si="20"/>
        <v>18430</v>
      </c>
      <c r="BB71" s="574"/>
      <c r="BC71" s="577"/>
      <c r="BD71" s="17"/>
      <c r="BE71" s="17"/>
    </row>
    <row r="72" spans="1:57" ht="30" customHeight="1" x14ac:dyDescent="0.3">
      <c r="A72" s="17"/>
      <c r="B72" s="17"/>
      <c r="C72" s="17"/>
      <c r="D72" s="17"/>
      <c r="E72" s="17"/>
      <c r="F72" s="17"/>
      <c r="G72" s="17"/>
      <c r="H72" s="579" t="s">
        <v>62</v>
      </c>
      <c r="I72" s="580"/>
      <c r="J72" s="580"/>
      <c r="K72" s="580"/>
      <c r="L72" s="580"/>
      <c r="M72" s="580"/>
      <c r="N72" s="580"/>
      <c r="O72" s="580"/>
      <c r="P72" s="581"/>
      <c r="Q72" s="582">
        <f>SUMIFS('FTSE | FTFE'!$P$104:$P$139,'FTSE | FTFE'!$H$104:$H$139,H72)</f>
        <v>38778</v>
      </c>
      <c r="R72" s="583"/>
      <c r="S72" s="586"/>
      <c r="T72" s="582">
        <f>SUMIFS(Input[State Revenue], Input[Institution Name],H72)</f>
        <v>279909933</v>
      </c>
      <c r="U72" s="583"/>
      <c r="V72" s="584"/>
      <c r="W72" s="585">
        <f t="shared" si="14"/>
        <v>7218</v>
      </c>
      <c r="X72" s="583"/>
      <c r="Y72" s="586"/>
      <c r="Z72" s="582">
        <f>SUMIFS(Input[Constitutional Funds Revenue], Input[Institution Name],H72)</f>
        <v>38473304</v>
      </c>
      <c r="AA72" s="583"/>
      <c r="AB72" s="584"/>
      <c r="AC72" s="585">
        <f t="shared" si="15"/>
        <v>992</v>
      </c>
      <c r="AD72" s="583"/>
      <c r="AE72" s="586"/>
      <c r="AF72" s="582">
        <f>SUMIFS(Input[Net Tuition Revenue], Input[Institution Name],H72)+SUMIFS(Input[Net Fees Revenue], Input[Institution Name],H72)</f>
        <v>393471508</v>
      </c>
      <c r="AG72" s="583"/>
      <c r="AH72" s="584"/>
      <c r="AI72" s="585">
        <f t="shared" si="16"/>
        <v>10147</v>
      </c>
      <c r="AJ72" s="583"/>
      <c r="AK72" s="586"/>
      <c r="AL72" s="582">
        <f>SUMIFS(Input[Federal Revenue], Input[Institution Name],H72)</f>
        <v>148647495</v>
      </c>
      <c r="AM72" s="583"/>
      <c r="AN72" s="584"/>
      <c r="AO72" s="585">
        <f t="shared" si="17"/>
        <v>3833</v>
      </c>
      <c r="AP72" s="583"/>
      <c r="AQ72" s="586"/>
      <c r="AR72" s="582">
        <f>SUMIFS(Input[Institutional Revenue], Input[Institution Name],H72)</f>
        <v>89659821</v>
      </c>
      <c r="AS72" s="583"/>
      <c r="AT72" s="584"/>
      <c r="AU72" s="585">
        <f t="shared" si="18"/>
        <v>2312</v>
      </c>
      <c r="AV72" s="583"/>
      <c r="AW72" s="586"/>
      <c r="AX72" s="582">
        <f t="shared" si="19"/>
        <v>950162061</v>
      </c>
      <c r="AY72" s="583"/>
      <c r="AZ72" s="584"/>
      <c r="BA72" s="585">
        <f t="shared" si="20"/>
        <v>24503</v>
      </c>
      <c r="BB72" s="583"/>
      <c r="BC72" s="584"/>
      <c r="BD72" s="17"/>
      <c r="BE72" s="17"/>
    </row>
    <row r="73" spans="1:57" ht="30" customHeight="1" x14ac:dyDescent="0.3">
      <c r="A73" s="17"/>
      <c r="B73" s="17"/>
      <c r="C73" s="17"/>
      <c r="D73" s="17"/>
      <c r="E73" s="17"/>
      <c r="F73" s="17"/>
      <c r="G73" s="17"/>
      <c r="H73" s="587" t="s">
        <v>25</v>
      </c>
      <c r="I73" s="588"/>
      <c r="J73" s="588"/>
      <c r="K73" s="588"/>
      <c r="L73" s="588"/>
      <c r="M73" s="588"/>
      <c r="N73" s="588"/>
      <c r="O73" s="588"/>
      <c r="P73" s="589"/>
      <c r="Q73" s="576">
        <f>SUMIFS('FTSE | FTFE'!$P$104:$P$139,'FTSE | FTFE'!$H$104:$H$139,H73)</f>
        <v>3201</v>
      </c>
      <c r="R73" s="574"/>
      <c r="S73" s="575"/>
      <c r="T73" s="576">
        <f>SUMIFS(Input[State Revenue], Input[Institution Name],H73)</f>
        <v>54424667</v>
      </c>
      <c r="U73" s="574"/>
      <c r="V73" s="577"/>
      <c r="W73" s="573">
        <f t="shared" si="14"/>
        <v>17002</v>
      </c>
      <c r="X73" s="574"/>
      <c r="Y73" s="575"/>
      <c r="Z73" s="576">
        <f>SUMIFS(Input[Constitutional Funds Revenue], Input[Institution Name],H73)</f>
        <v>3455644</v>
      </c>
      <c r="AA73" s="574"/>
      <c r="AB73" s="577"/>
      <c r="AC73" s="573">
        <f t="shared" si="15"/>
        <v>1080</v>
      </c>
      <c r="AD73" s="574"/>
      <c r="AE73" s="575"/>
      <c r="AF73" s="576">
        <f>SUMIFS(Input[Net Tuition Revenue], Input[Institution Name],H73)+SUMIFS(Input[Net Fees Revenue], Input[Institution Name],H73)</f>
        <v>22882375</v>
      </c>
      <c r="AG73" s="574"/>
      <c r="AH73" s="577"/>
      <c r="AI73" s="573">
        <f t="shared" si="16"/>
        <v>7149</v>
      </c>
      <c r="AJ73" s="574"/>
      <c r="AK73" s="575"/>
      <c r="AL73" s="576">
        <f>SUMIFS(Input[Federal Revenue], Input[Institution Name],H73)</f>
        <v>14557585</v>
      </c>
      <c r="AM73" s="574"/>
      <c r="AN73" s="577"/>
      <c r="AO73" s="573">
        <f t="shared" si="17"/>
        <v>4548</v>
      </c>
      <c r="AP73" s="574"/>
      <c r="AQ73" s="575"/>
      <c r="AR73" s="576">
        <f>SUMIFS(Input[Institutional Revenue], Input[Institution Name],H73)</f>
        <v>6873779</v>
      </c>
      <c r="AS73" s="574"/>
      <c r="AT73" s="577"/>
      <c r="AU73" s="573">
        <f t="shared" si="18"/>
        <v>2147</v>
      </c>
      <c r="AV73" s="574"/>
      <c r="AW73" s="575"/>
      <c r="AX73" s="576">
        <f t="shared" si="19"/>
        <v>102194050</v>
      </c>
      <c r="AY73" s="574"/>
      <c r="AZ73" s="577"/>
      <c r="BA73" s="573">
        <f t="shared" si="20"/>
        <v>31926</v>
      </c>
      <c r="BB73" s="574"/>
      <c r="BC73" s="577"/>
      <c r="BD73" s="17"/>
      <c r="BE73" s="17"/>
    </row>
    <row r="74" spans="1:57" ht="30" customHeight="1" x14ac:dyDescent="0.3">
      <c r="A74" s="17"/>
      <c r="B74" s="17"/>
      <c r="C74" s="17"/>
      <c r="D74" s="17"/>
      <c r="E74" s="17"/>
      <c r="F74" s="17"/>
      <c r="G74" s="17"/>
      <c r="H74" s="579" t="s">
        <v>63</v>
      </c>
      <c r="I74" s="580"/>
      <c r="J74" s="580"/>
      <c r="K74" s="580"/>
      <c r="L74" s="580"/>
      <c r="M74" s="580"/>
      <c r="N74" s="580"/>
      <c r="O74" s="580"/>
      <c r="P74" s="581"/>
      <c r="Q74" s="582">
        <f>SUMIFS('FTSE | FTFE'!$P$104:$P$139,'FTSE | FTFE'!$H$104:$H$139,H74)</f>
        <v>8007</v>
      </c>
      <c r="R74" s="583"/>
      <c r="S74" s="586"/>
      <c r="T74" s="582">
        <f>SUMIFS(Input[State Revenue], Input[Institution Name],H74)</f>
        <v>72465159</v>
      </c>
      <c r="U74" s="583"/>
      <c r="V74" s="584"/>
      <c r="W74" s="585">
        <f t="shared" si="14"/>
        <v>9050</v>
      </c>
      <c r="X74" s="583"/>
      <c r="Y74" s="586"/>
      <c r="Z74" s="582">
        <f>SUMIFS(Input[Constitutional Funds Revenue], Input[Institution Name],H74)</f>
        <v>35162824</v>
      </c>
      <c r="AA74" s="583"/>
      <c r="AB74" s="584"/>
      <c r="AC74" s="585">
        <f t="shared" si="15"/>
        <v>4392</v>
      </c>
      <c r="AD74" s="583"/>
      <c r="AE74" s="586"/>
      <c r="AF74" s="582">
        <f>SUMIFS(Input[Net Tuition Revenue], Input[Institution Name],H74)+SUMIFS(Input[Net Fees Revenue], Input[Institution Name],H74)</f>
        <v>58711791</v>
      </c>
      <c r="AG74" s="583"/>
      <c r="AH74" s="584"/>
      <c r="AI74" s="585">
        <f t="shared" si="16"/>
        <v>7333</v>
      </c>
      <c r="AJ74" s="583"/>
      <c r="AK74" s="586"/>
      <c r="AL74" s="582">
        <f>SUMIFS(Input[Federal Revenue], Input[Institution Name],H74)</f>
        <v>75560557</v>
      </c>
      <c r="AM74" s="583"/>
      <c r="AN74" s="584"/>
      <c r="AO74" s="585">
        <f t="shared" si="17"/>
        <v>9437</v>
      </c>
      <c r="AP74" s="583"/>
      <c r="AQ74" s="586"/>
      <c r="AR74" s="582">
        <f>SUMIFS(Input[Institutional Revenue], Input[Institution Name],H74)</f>
        <v>17984862</v>
      </c>
      <c r="AS74" s="583"/>
      <c r="AT74" s="584"/>
      <c r="AU74" s="585">
        <f t="shared" si="18"/>
        <v>2246</v>
      </c>
      <c r="AV74" s="583"/>
      <c r="AW74" s="586"/>
      <c r="AX74" s="582">
        <f t="shared" si="19"/>
        <v>259885193</v>
      </c>
      <c r="AY74" s="583"/>
      <c r="AZ74" s="584"/>
      <c r="BA74" s="585">
        <f t="shared" si="20"/>
        <v>32457</v>
      </c>
      <c r="BB74" s="583"/>
      <c r="BC74" s="584"/>
      <c r="BD74" s="17"/>
      <c r="BE74" s="17"/>
    </row>
    <row r="75" spans="1:57" ht="30" customHeight="1" x14ac:dyDescent="0.3">
      <c r="A75" s="17"/>
      <c r="B75" s="17"/>
      <c r="C75" s="17"/>
      <c r="D75" s="17"/>
      <c r="E75" s="17"/>
      <c r="F75" s="17"/>
      <c r="G75" s="17"/>
      <c r="H75" s="587" t="s">
        <v>23</v>
      </c>
      <c r="I75" s="588"/>
      <c r="J75" s="588"/>
      <c r="K75" s="588"/>
      <c r="L75" s="588"/>
      <c r="M75" s="588"/>
      <c r="N75" s="588"/>
      <c r="O75" s="588"/>
      <c r="P75" s="589"/>
      <c r="Q75" s="576">
        <f>SUMIFS('FTSE | FTFE'!$P$104:$P$139,'FTSE | FTFE'!$H$104:$H$139,H75)</f>
        <v>38546</v>
      </c>
      <c r="R75" s="574"/>
      <c r="S75" s="575"/>
      <c r="T75" s="576">
        <f>SUMIFS(Input[State Revenue], Input[Institution Name],H75)</f>
        <v>545774404</v>
      </c>
      <c r="U75" s="574"/>
      <c r="V75" s="577"/>
      <c r="W75" s="573">
        <f t="shared" si="14"/>
        <v>14159</v>
      </c>
      <c r="X75" s="574"/>
      <c r="Y75" s="575"/>
      <c r="Z75" s="576">
        <f>SUMIFS(Input[Constitutional Funds Revenue], Input[Institution Name],H75)</f>
        <v>51379461</v>
      </c>
      <c r="AA75" s="574"/>
      <c r="AB75" s="577"/>
      <c r="AC75" s="573">
        <f t="shared" si="15"/>
        <v>1333</v>
      </c>
      <c r="AD75" s="574"/>
      <c r="AE75" s="575"/>
      <c r="AF75" s="576">
        <f>SUMIFS(Input[Net Tuition Revenue], Input[Institution Name],H75)+SUMIFS(Input[Net Fees Revenue], Input[Institution Name],H75)</f>
        <v>335185266</v>
      </c>
      <c r="AG75" s="574"/>
      <c r="AH75" s="577"/>
      <c r="AI75" s="573">
        <f t="shared" si="16"/>
        <v>8696</v>
      </c>
      <c r="AJ75" s="574"/>
      <c r="AK75" s="575"/>
      <c r="AL75" s="576">
        <f>SUMIFS(Input[Federal Revenue], Input[Institution Name],H75)</f>
        <v>151986603</v>
      </c>
      <c r="AM75" s="574"/>
      <c r="AN75" s="577"/>
      <c r="AO75" s="573">
        <f t="shared" si="17"/>
        <v>3943</v>
      </c>
      <c r="AP75" s="574"/>
      <c r="AQ75" s="575"/>
      <c r="AR75" s="576">
        <f>SUMIFS(Input[Institutional Revenue], Input[Institution Name],H75)</f>
        <v>196732006</v>
      </c>
      <c r="AS75" s="574"/>
      <c r="AT75" s="577"/>
      <c r="AU75" s="573">
        <f t="shared" si="18"/>
        <v>5104</v>
      </c>
      <c r="AV75" s="574"/>
      <c r="AW75" s="575"/>
      <c r="AX75" s="576">
        <f t="shared" si="19"/>
        <v>1281057740</v>
      </c>
      <c r="AY75" s="574"/>
      <c r="AZ75" s="577"/>
      <c r="BA75" s="573">
        <f t="shared" si="20"/>
        <v>33235</v>
      </c>
      <c r="BB75" s="574"/>
      <c r="BC75" s="577"/>
      <c r="BD75" s="17"/>
      <c r="BE75" s="17"/>
    </row>
    <row r="76" spans="1:57" ht="30" customHeight="1" x14ac:dyDescent="0.3">
      <c r="A76" s="17"/>
      <c r="B76" s="17"/>
      <c r="C76" s="17"/>
      <c r="D76" s="17"/>
      <c r="E76" s="17"/>
      <c r="F76" s="17"/>
      <c r="G76" s="17"/>
      <c r="H76" s="579" t="s">
        <v>24</v>
      </c>
      <c r="I76" s="580"/>
      <c r="J76" s="580"/>
      <c r="K76" s="580"/>
      <c r="L76" s="580"/>
      <c r="M76" s="580"/>
      <c r="N76" s="580"/>
      <c r="O76" s="580"/>
      <c r="P76" s="581"/>
      <c r="Q76" s="582">
        <f>SUMIFS('FTSE | FTFE'!$P$104:$P$139,'FTSE | FTFE'!$H$104:$H$139,H76)</f>
        <v>8110</v>
      </c>
      <c r="R76" s="583"/>
      <c r="S76" s="586"/>
      <c r="T76" s="582">
        <f>SUMIFS(Input[State Revenue], Input[Institution Name],H76)</f>
        <v>56920589</v>
      </c>
      <c r="U76" s="583"/>
      <c r="V76" s="584"/>
      <c r="W76" s="585">
        <f t="shared" si="14"/>
        <v>7019</v>
      </c>
      <c r="X76" s="583"/>
      <c r="Y76" s="586"/>
      <c r="Z76" s="582">
        <f>SUMIFS(Input[Constitutional Funds Revenue], Input[Institution Name],H76)</f>
        <v>6997943</v>
      </c>
      <c r="AA76" s="583"/>
      <c r="AB76" s="584"/>
      <c r="AC76" s="585">
        <f t="shared" si="15"/>
        <v>863</v>
      </c>
      <c r="AD76" s="583"/>
      <c r="AE76" s="586"/>
      <c r="AF76" s="582">
        <f>SUMIFS(Input[Net Tuition Revenue], Input[Institution Name],H76)+SUMIFS(Input[Net Fees Revenue], Input[Institution Name],H76)</f>
        <v>28889956</v>
      </c>
      <c r="AG76" s="583"/>
      <c r="AH76" s="584"/>
      <c r="AI76" s="585">
        <f t="shared" si="16"/>
        <v>3562</v>
      </c>
      <c r="AJ76" s="583"/>
      <c r="AK76" s="586"/>
      <c r="AL76" s="582">
        <f>SUMIFS(Input[Federal Revenue], Input[Institution Name],H76)</f>
        <v>25844523</v>
      </c>
      <c r="AM76" s="583"/>
      <c r="AN76" s="584"/>
      <c r="AO76" s="585">
        <f t="shared" si="17"/>
        <v>3187</v>
      </c>
      <c r="AP76" s="583"/>
      <c r="AQ76" s="586"/>
      <c r="AR76" s="582">
        <f>SUMIFS(Input[Institutional Revenue], Input[Institution Name],H76)</f>
        <v>50816121</v>
      </c>
      <c r="AS76" s="583"/>
      <c r="AT76" s="584"/>
      <c r="AU76" s="585">
        <f t="shared" si="18"/>
        <v>6266</v>
      </c>
      <c r="AV76" s="583"/>
      <c r="AW76" s="586"/>
      <c r="AX76" s="582">
        <f t="shared" si="19"/>
        <v>169469132</v>
      </c>
      <c r="AY76" s="583"/>
      <c r="AZ76" s="584"/>
      <c r="BA76" s="585">
        <f t="shared" si="20"/>
        <v>20896</v>
      </c>
      <c r="BB76" s="583"/>
      <c r="BC76" s="584"/>
      <c r="BD76" s="17"/>
      <c r="BE76" s="17"/>
    </row>
    <row r="77" spans="1:57" ht="30" customHeight="1" x14ac:dyDescent="0.3">
      <c r="A77" s="17"/>
      <c r="B77" s="17"/>
      <c r="C77" s="17"/>
      <c r="D77" s="17"/>
      <c r="E77" s="17"/>
      <c r="F77" s="17"/>
      <c r="G77" s="17"/>
      <c r="H77" s="587" t="s">
        <v>26</v>
      </c>
      <c r="I77" s="588"/>
      <c r="J77" s="588"/>
      <c r="K77" s="588"/>
      <c r="L77" s="588"/>
      <c r="M77" s="588"/>
      <c r="N77" s="588"/>
      <c r="O77" s="588"/>
      <c r="P77" s="589"/>
      <c r="Q77" s="576">
        <f>SUMIFS('FTSE | FTFE'!$P$104:$P$139,'FTSE | FTFE'!$H$104:$H$139,H77)</f>
        <v>3977</v>
      </c>
      <c r="R77" s="574"/>
      <c r="S77" s="575"/>
      <c r="T77" s="576">
        <f>SUMIFS(Input[State Revenue], Input[Institution Name],H77)</f>
        <v>40873632</v>
      </c>
      <c r="U77" s="574"/>
      <c r="V77" s="577"/>
      <c r="W77" s="573">
        <f t="shared" si="14"/>
        <v>10278</v>
      </c>
      <c r="X77" s="574"/>
      <c r="Y77" s="575"/>
      <c r="Z77" s="576">
        <f>SUMIFS(Input[Constitutional Funds Revenue], Input[Institution Name],H77)</f>
        <v>5082034</v>
      </c>
      <c r="AA77" s="574"/>
      <c r="AB77" s="577"/>
      <c r="AC77" s="573">
        <f t="shared" si="15"/>
        <v>1278</v>
      </c>
      <c r="AD77" s="574"/>
      <c r="AE77" s="575"/>
      <c r="AF77" s="576">
        <f>SUMIFS(Input[Net Tuition Revenue], Input[Institution Name],H77)+SUMIFS(Input[Net Fees Revenue], Input[Institution Name],H77)</f>
        <v>28968677</v>
      </c>
      <c r="AG77" s="574"/>
      <c r="AH77" s="577"/>
      <c r="AI77" s="573">
        <f t="shared" si="16"/>
        <v>7284</v>
      </c>
      <c r="AJ77" s="574"/>
      <c r="AK77" s="575"/>
      <c r="AL77" s="576">
        <f>SUMIFS(Input[Federal Revenue], Input[Institution Name],H77)</f>
        <v>15656326</v>
      </c>
      <c r="AM77" s="574"/>
      <c r="AN77" s="577"/>
      <c r="AO77" s="573">
        <f t="shared" si="17"/>
        <v>3937</v>
      </c>
      <c r="AP77" s="574"/>
      <c r="AQ77" s="575"/>
      <c r="AR77" s="576">
        <f>SUMIFS(Input[Institutional Revenue], Input[Institution Name],H77)</f>
        <v>16207513</v>
      </c>
      <c r="AS77" s="574"/>
      <c r="AT77" s="577"/>
      <c r="AU77" s="573">
        <f t="shared" si="18"/>
        <v>4075</v>
      </c>
      <c r="AV77" s="574"/>
      <c r="AW77" s="575"/>
      <c r="AX77" s="576">
        <f t="shared" si="19"/>
        <v>106788182</v>
      </c>
      <c r="AY77" s="574"/>
      <c r="AZ77" s="577"/>
      <c r="BA77" s="573">
        <f t="shared" si="20"/>
        <v>26851</v>
      </c>
      <c r="BB77" s="574"/>
      <c r="BC77" s="577"/>
      <c r="BD77" s="17"/>
      <c r="BE77" s="17"/>
    </row>
    <row r="78" spans="1:57" ht="30" customHeight="1" x14ac:dyDescent="0.3">
      <c r="A78" s="17"/>
      <c r="B78" s="17"/>
      <c r="C78" s="17"/>
      <c r="D78" s="17"/>
      <c r="E78" s="17"/>
      <c r="F78" s="17"/>
      <c r="G78" s="17"/>
      <c r="H78" s="579" t="s">
        <v>64</v>
      </c>
      <c r="I78" s="580"/>
      <c r="J78" s="580"/>
      <c r="K78" s="580"/>
      <c r="L78" s="580"/>
      <c r="M78" s="580"/>
      <c r="N78" s="580"/>
      <c r="O78" s="580"/>
      <c r="P78" s="581"/>
      <c r="Q78" s="582">
        <f>SUMIFS('FTSE | FTFE'!$P$104:$P$139,'FTSE | FTFE'!$H$104:$H$139,H78)</f>
        <v>12629</v>
      </c>
      <c r="R78" s="583"/>
      <c r="S78" s="586"/>
      <c r="T78" s="582">
        <f>SUMIFS(Input[State Revenue], Input[Institution Name],H78)</f>
        <v>113849435</v>
      </c>
      <c r="U78" s="583"/>
      <c r="V78" s="584"/>
      <c r="W78" s="585">
        <f t="shared" si="14"/>
        <v>9015</v>
      </c>
      <c r="X78" s="583"/>
      <c r="Y78" s="586"/>
      <c r="Z78" s="582">
        <f>SUMIFS(Input[Constitutional Funds Revenue], Input[Institution Name],H78)</f>
        <v>14993229</v>
      </c>
      <c r="AA78" s="583"/>
      <c r="AB78" s="584"/>
      <c r="AC78" s="585">
        <f t="shared" si="15"/>
        <v>1187</v>
      </c>
      <c r="AD78" s="583"/>
      <c r="AE78" s="586"/>
      <c r="AF78" s="582">
        <f>SUMIFS(Input[Net Tuition Revenue], Input[Institution Name],H78)+SUMIFS(Input[Net Fees Revenue], Input[Institution Name],H78)</f>
        <v>90095015</v>
      </c>
      <c r="AG78" s="583"/>
      <c r="AH78" s="584"/>
      <c r="AI78" s="585">
        <f t="shared" si="16"/>
        <v>7134</v>
      </c>
      <c r="AJ78" s="583"/>
      <c r="AK78" s="586"/>
      <c r="AL78" s="582">
        <f>SUMIFS(Input[Federal Revenue], Input[Institution Name],H78)</f>
        <v>39965150</v>
      </c>
      <c r="AM78" s="583"/>
      <c r="AN78" s="584"/>
      <c r="AO78" s="585">
        <f t="shared" si="17"/>
        <v>3165</v>
      </c>
      <c r="AP78" s="583"/>
      <c r="AQ78" s="586"/>
      <c r="AR78" s="582">
        <f>SUMIFS(Input[Institutional Revenue], Input[Institution Name],H78)</f>
        <v>45033593</v>
      </c>
      <c r="AS78" s="583"/>
      <c r="AT78" s="584"/>
      <c r="AU78" s="585">
        <f t="shared" si="18"/>
        <v>3566</v>
      </c>
      <c r="AV78" s="583"/>
      <c r="AW78" s="586"/>
      <c r="AX78" s="582">
        <f t="shared" si="19"/>
        <v>303936422</v>
      </c>
      <c r="AY78" s="583"/>
      <c r="AZ78" s="584"/>
      <c r="BA78" s="585">
        <f t="shared" si="20"/>
        <v>24067</v>
      </c>
      <c r="BB78" s="583"/>
      <c r="BC78" s="584"/>
      <c r="BD78" s="17"/>
      <c r="BE78" s="17"/>
    </row>
    <row r="79" spans="1:57" ht="30" customHeight="1" x14ac:dyDescent="0.3">
      <c r="A79" s="17"/>
      <c r="B79" s="17"/>
      <c r="C79" s="17"/>
      <c r="D79" s="17"/>
      <c r="E79" s="17"/>
      <c r="F79" s="17"/>
      <c r="G79" s="17"/>
      <c r="H79" s="587" t="s">
        <v>20</v>
      </c>
      <c r="I79" s="588"/>
      <c r="J79" s="588"/>
      <c r="K79" s="588"/>
      <c r="L79" s="588"/>
      <c r="M79" s="588"/>
      <c r="N79" s="588"/>
      <c r="O79" s="588"/>
      <c r="P79" s="589"/>
      <c r="Q79" s="576">
        <f>SUMIFS('FTSE | FTFE'!$P$104:$P$139,'FTSE | FTFE'!$H$104:$H$139,H79)</f>
        <v>14170</v>
      </c>
      <c r="R79" s="574"/>
      <c r="S79" s="575"/>
      <c r="T79" s="576">
        <f>SUMIFS(Input[State Revenue], Input[Institution Name],H79)</f>
        <v>119031648</v>
      </c>
      <c r="U79" s="574"/>
      <c r="V79" s="577"/>
      <c r="W79" s="573">
        <f t="shared" si="14"/>
        <v>8400</v>
      </c>
      <c r="X79" s="574"/>
      <c r="Y79" s="575"/>
      <c r="Z79" s="576">
        <f>SUMIFS(Input[Constitutional Funds Revenue], Input[Institution Name],H79)</f>
        <v>13537649</v>
      </c>
      <c r="AA79" s="574"/>
      <c r="AB79" s="577"/>
      <c r="AC79" s="573">
        <f t="shared" si="15"/>
        <v>955</v>
      </c>
      <c r="AD79" s="574"/>
      <c r="AE79" s="575"/>
      <c r="AF79" s="576">
        <f>SUMIFS(Input[Net Tuition Revenue], Input[Institution Name],H79)+SUMIFS(Input[Net Fees Revenue], Input[Institution Name],H79)</f>
        <v>80276270</v>
      </c>
      <c r="AG79" s="574"/>
      <c r="AH79" s="577"/>
      <c r="AI79" s="573">
        <f t="shared" si="16"/>
        <v>5665</v>
      </c>
      <c r="AJ79" s="574"/>
      <c r="AK79" s="575"/>
      <c r="AL79" s="576">
        <f>SUMIFS(Input[Federal Revenue], Input[Institution Name],H79)</f>
        <v>33067739</v>
      </c>
      <c r="AM79" s="574"/>
      <c r="AN79" s="577"/>
      <c r="AO79" s="573">
        <f t="shared" si="17"/>
        <v>2334</v>
      </c>
      <c r="AP79" s="574"/>
      <c r="AQ79" s="575"/>
      <c r="AR79" s="576">
        <f>SUMIFS(Input[Institutional Revenue], Input[Institution Name],H79)</f>
        <v>16799424</v>
      </c>
      <c r="AS79" s="574"/>
      <c r="AT79" s="577"/>
      <c r="AU79" s="573">
        <f t="shared" si="18"/>
        <v>1186</v>
      </c>
      <c r="AV79" s="574"/>
      <c r="AW79" s="575"/>
      <c r="AX79" s="576">
        <f t="shared" si="19"/>
        <v>262712730</v>
      </c>
      <c r="AY79" s="574"/>
      <c r="AZ79" s="577"/>
      <c r="BA79" s="573">
        <f t="shared" si="20"/>
        <v>18540</v>
      </c>
      <c r="BB79" s="574"/>
      <c r="BC79" s="577"/>
      <c r="BD79" s="17"/>
      <c r="BE79" s="17"/>
    </row>
    <row r="80" spans="1:57" ht="30" customHeight="1" x14ac:dyDescent="0.3">
      <c r="A80" s="17"/>
      <c r="B80" s="17"/>
      <c r="C80" s="17"/>
      <c r="D80" s="17"/>
      <c r="E80" s="17"/>
      <c r="F80" s="17"/>
      <c r="G80" s="17"/>
      <c r="H80" s="579" t="s">
        <v>21</v>
      </c>
      <c r="I80" s="580"/>
      <c r="J80" s="580"/>
      <c r="K80" s="580"/>
      <c r="L80" s="580"/>
      <c r="M80" s="580"/>
      <c r="N80" s="580"/>
      <c r="O80" s="580"/>
      <c r="P80" s="581"/>
      <c r="Q80" s="582">
        <f>SUMIFS('FTSE | FTFE'!$P$104:$P$139,'FTSE | FTFE'!$H$104:$H$139,H80)</f>
        <v>17145</v>
      </c>
      <c r="R80" s="583"/>
      <c r="S80" s="586"/>
      <c r="T80" s="582">
        <f>SUMIFS(Input[State Revenue], Input[Institution Name],H80)</f>
        <v>122137866</v>
      </c>
      <c r="U80" s="583"/>
      <c r="V80" s="584"/>
      <c r="W80" s="585">
        <f t="shared" si="14"/>
        <v>7124</v>
      </c>
      <c r="X80" s="583"/>
      <c r="Y80" s="586"/>
      <c r="Z80" s="582">
        <f>SUMIFS(Input[Constitutional Funds Revenue], Input[Institution Name],H80)</f>
        <v>18787013</v>
      </c>
      <c r="AA80" s="583"/>
      <c r="AB80" s="584"/>
      <c r="AC80" s="585">
        <f t="shared" si="15"/>
        <v>1096</v>
      </c>
      <c r="AD80" s="583"/>
      <c r="AE80" s="586"/>
      <c r="AF80" s="582">
        <f>SUMIFS(Input[Net Tuition Revenue], Input[Institution Name],H80)+SUMIFS(Input[Net Fees Revenue], Input[Institution Name],H80)</f>
        <v>121473564</v>
      </c>
      <c r="AG80" s="583"/>
      <c r="AH80" s="584"/>
      <c r="AI80" s="585">
        <f t="shared" si="16"/>
        <v>7085</v>
      </c>
      <c r="AJ80" s="583"/>
      <c r="AK80" s="586"/>
      <c r="AL80" s="582">
        <f>SUMIFS(Input[Federal Revenue], Input[Institution Name],H80)</f>
        <v>66655913</v>
      </c>
      <c r="AM80" s="583"/>
      <c r="AN80" s="584"/>
      <c r="AO80" s="585">
        <f t="shared" si="17"/>
        <v>3888</v>
      </c>
      <c r="AP80" s="583"/>
      <c r="AQ80" s="586"/>
      <c r="AR80" s="582">
        <f>SUMIFS(Input[Institutional Revenue], Input[Institution Name],H80)</f>
        <v>33672433</v>
      </c>
      <c r="AS80" s="583"/>
      <c r="AT80" s="584"/>
      <c r="AU80" s="585">
        <f t="shared" si="18"/>
        <v>1964</v>
      </c>
      <c r="AV80" s="583"/>
      <c r="AW80" s="586"/>
      <c r="AX80" s="582">
        <f t="shared" si="19"/>
        <v>362726789</v>
      </c>
      <c r="AY80" s="583"/>
      <c r="AZ80" s="584"/>
      <c r="BA80" s="585">
        <f t="shared" si="20"/>
        <v>21156</v>
      </c>
      <c r="BB80" s="583"/>
      <c r="BC80" s="584"/>
      <c r="BD80" s="17"/>
      <c r="BE80" s="17"/>
    </row>
    <row r="81" spans="1:57" ht="30" customHeight="1" x14ac:dyDescent="0.3">
      <c r="A81" s="17"/>
      <c r="B81" s="17"/>
      <c r="C81" s="17"/>
      <c r="D81" s="17"/>
      <c r="E81" s="17"/>
      <c r="F81" s="17"/>
      <c r="G81" s="17"/>
      <c r="H81" s="587" t="s">
        <v>61</v>
      </c>
      <c r="I81" s="588"/>
      <c r="J81" s="588"/>
      <c r="K81" s="588"/>
      <c r="L81" s="588"/>
      <c r="M81" s="588"/>
      <c r="N81" s="588"/>
      <c r="O81" s="588"/>
      <c r="P81" s="589"/>
      <c r="Q81" s="576">
        <f>SUMIFS('FTSE | FTFE'!$P$104:$P$139,'FTSE | FTFE'!$H$104:$H$139,H81)</f>
        <v>35201</v>
      </c>
      <c r="R81" s="574"/>
      <c r="S81" s="575"/>
      <c r="T81" s="576">
        <f>SUMIFS(Input[State Revenue], Input[Institution Name],H81)</f>
        <v>253816775</v>
      </c>
      <c r="U81" s="574"/>
      <c r="V81" s="577"/>
      <c r="W81" s="573">
        <f t="shared" si="14"/>
        <v>7210</v>
      </c>
      <c r="X81" s="574"/>
      <c r="Y81" s="575"/>
      <c r="Z81" s="576">
        <f>SUMIFS(Input[Constitutional Funds Revenue], Input[Institution Name],H81)</f>
        <v>38741061</v>
      </c>
      <c r="AA81" s="574"/>
      <c r="AB81" s="577"/>
      <c r="AC81" s="573">
        <f t="shared" si="15"/>
        <v>1101</v>
      </c>
      <c r="AD81" s="574"/>
      <c r="AE81" s="575"/>
      <c r="AF81" s="576">
        <f>SUMIFS(Input[Net Tuition Revenue], Input[Institution Name],H81)+SUMIFS(Input[Net Fees Revenue], Input[Institution Name],H81)</f>
        <v>216341728</v>
      </c>
      <c r="AG81" s="574"/>
      <c r="AH81" s="577"/>
      <c r="AI81" s="573">
        <f t="shared" si="16"/>
        <v>6146</v>
      </c>
      <c r="AJ81" s="574"/>
      <c r="AK81" s="575"/>
      <c r="AL81" s="576">
        <f>SUMIFS(Input[Federal Revenue], Input[Institution Name],H81)</f>
        <v>168294220</v>
      </c>
      <c r="AM81" s="574"/>
      <c r="AN81" s="577"/>
      <c r="AO81" s="573">
        <f t="shared" si="17"/>
        <v>4781</v>
      </c>
      <c r="AP81" s="574"/>
      <c r="AQ81" s="575"/>
      <c r="AR81" s="576">
        <f>SUMIFS(Input[Institutional Revenue], Input[Institution Name],H81)</f>
        <v>84776384</v>
      </c>
      <c r="AS81" s="574"/>
      <c r="AT81" s="577"/>
      <c r="AU81" s="573">
        <f t="shared" si="18"/>
        <v>2408</v>
      </c>
      <c r="AV81" s="574"/>
      <c r="AW81" s="575"/>
      <c r="AX81" s="576">
        <f t="shared" si="19"/>
        <v>761970168</v>
      </c>
      <c r="AY81" s="574"/>
      <c r="AZ81" s="577"/>
      <c r="BA81" s="573">
        <f t="shared" si="20"/>
        <v>21646</v>
      </c>
      <c r="BB81" s="574"/>
      <c r="BC81" s="577"/>
      <c r="BD81" s="17"/>
      <c r="BE81" s="17"/>
    </row>
    <row r="82" spans="1:57" ht="30" customHeight="1" thickBot="1" x14ac:dyDescent="0.35">
      <c r="A82" s="17"/>
      <c r="B82" s="17"/>
      <c r="C82" s="17"/>
      <c r="D82" s="17"/>
      <c r="E82" s="17"/>
      <c r="F82" s="17"/>
      <c r="G82" s="17"/>
      <c r="H82" s="579" t="s">
        <v>22</v>
      </c>
      <c r="I82" s="580"/>
      <c r="J82" s="580"/>
      <c r="K82" s="580"/>
      <c r="L82" s="580"/>
      <c r="M82" s="580"/>
      <c r="N82" s="580"/>
      <c r="O82" s="580"/>
      <c r="P82" s="581"/>
      <c r="Q82" s="582">
        <f>SUMIFS('FTSE | FTFE'!$P$104:$P$139,'FTSE | FTFE'!$H$104:$H$139,H82)</f>
        <v>1560</v>
      </c>
      <c r="R82" s="583"/>
      <c r="S82" s="586"/>
      <c r="T82" s="595">
        <f>SUMIFS(Input[State Revenue], Input[Institution Name],H82)</f>
        <v>28497789</v>
      </c>
      <c r="U82" s="596"/>
      <c r="V82" s="597"/>
      <c r="W82" s="585">
        <f t="shared" si="14"/>
        <v>18268</v>
      </c>
      <c r="X82" s="583"/>
      <c r="Y82" s="586"/>
      <c r="Z82" s="595">
        <f>SUMIFS(Input[Constitutional Funds Revenue], Input[Institution Name],H82)</f>
        <v>2703797</v>
      </c>
      <c r="AA82" s="596"/>
      <c r="AB82" s="597"/>
      <c r="AC82" s="585">
        <f t="shared" si="15"/>
        <v>1733</v>
      </c>
      <c r="AD82" s="583"/>
      <c r="AE82" s="586"/>
      <c r="AF82" s="595">
        <f>SUMIFS(Input[Net Tuition Revenue], Input[Institution Name],H82)+SUMIFS(Input[Net Fees Revenue], Input[Institution Name],H82)</f>
        <v>8443770</v>
      </c>
      <c r="AG82" s="596"/>
      <c r="AH82" s="597"/>
      <c r="AI82" s="585">
        <f t="shared" si="16"/>
        <v>5413</v>
      </c>
      <c r="AJ82" s="583"/>
      <c r="AK82" s="586"/>
      <c r="AL82" s="595">
        <f>SUMIFS(Input[Federal Revenue], Input[Institution Name],H82)</f>
        <v>19500294</v>
      </c>
      <c r="AM82" s="596"/>
      <c r="AN82" s="597"/>
      <c r="AO82" s="585">
        <f t="shared" si="17"/>
        <v>12500</v>
      </c>
      <c r="AP82" s="583"/>
      <c r="AQ82" s="586"/>
      <c r="AR82" s="595">
        <f>SUMIFS(Input[Institutional Revenue], Input[Institution Name],H82)</f>
        <v>7221092</v>
      </c>
      <c r="AS82" s="596"/>
      <c r="AT82" s="597"/>
      <c r="AU82" s="585">
        <f t="shared" si="18"/>
        <v>4629</v>
      </c>
      <c r="AV82" s="583"/>
      <c r="AW82" s="586"/>
      <c r="AX82" s="595">
        <f t="shared" si="19"/>
        <v>66366742</v>
      </c>
      <c r="AY82" s="596"/>
      <c r="AZ82" s="597"/>
      <c r="BA82" s="585">
        <f t="shared" si="20"/>
        <v>42543</v>
      </c>
      <c r="BB82" s="583"/>
      <c r="BC82" s="584"/>
      <c r="BD82" s="17"/>
      <c r="BE82" s="17"/>
    </row>
    <row r="83" spans="1:57" ht="30" customHeight="1" thickTop="1" x14ac:dyDescent="0.3">
      <c r="A83" s="17"/>
      <c r="B83" s="17"/>
      <c r="C83" s="17"/>
      <c r="D83" s="17"/>
      <c r="E83" s="17"/>
      <c r="F83" s="17"/>
      <c r="G83" s="17"/>
      <c r="H83" s="564"/>
      <c r="I83" s="565"/>
      <c r="J83" s="565"/>
      <c r="K83" s="565"/>
      <c r="L83" s="565"/>
      <c r="M83" s="565"/>
      <c r="N83" s="565"/>
      <c r="O83" s="565"/>
      <c r="P83" s="566"/>
      <c r="Q83" s="649">
        <f>SUM(Q47:S82)</f>
        <v>587918</v>
      </c>
      <c r="R83" s="650"/>
      <c r="S83" s="651"/>
      <c r="T83" s="593">
        <f>SUM(T47:V82)</f>
        <v>5543904932</v>
      </c>
      <c r="U83" s="591"/>
      <c r="V83" s="594"/>
      <c r="W83" s="590">
        <f>SUM(W47:Y82)</f>
        <v>376023</v>
      </c>
      <c r="X83" s="591"/>
      <c r="Y83" s="592"/>
      <c r="Z83" s="593">
        <f>SUM(Z47:AB82)</f>
        <v>1153594641</v>
      </c>
      <c r="AA83" s="591"/>
      <c r="AB83" s="594"/>
      <c r="AC83" s="590">
        <f>SUM(AC47:AE82)</f>
        <v>46767</v>
      </c>
      <c r="AD83" s="591"/>
      <c r="AE83" s="592"/>
      <c r="AF83" s="593">
        <f>SUM(AF47:AH82)</f>
        <v>4568697718</v>
      </c>
      <c r="AG83" s="591"/>
      <c r="AH83" s="594"/>
      <c r="AI83" s="590">
        <f>SUM(AI47:AK82)</f>
        <v>245434</v>
      </c>
      <c r="AJ83" s="591"/>
      <c r="AK83" s="592"/>
      <c r="AL83" s="593">
        <f>SUM(AL47:AN82)</f>
        <v>3691982144</v>
      </c>
      <c r="AM83" s="591"/>
      <c r="AN83" s="594"/>
      <c r="AO83" s="590">
        <f>SUM(AO47:AQ82)</f>
        <v>202079</v>
      </c>
      <c r="AP83" s="591"/>
      <c r="AQ83" s="592"/>
      <c r="AR83" s="593">
        <f>SUM(AR47:AT82)</f>
        <v>4199848932</v>
      </c>
      <c r="AS83" s="591"/>
      <c r="AT83" s="594"/>
      <c r="AU83" s="590">
        <f>SUM(AU47:AW82)</f>
        <v>186462</v>
      </c>
      <c r="AV83" s="591"/>
      <c r="AW83" s="592"/>
      <c r="AX83" s="593">
        <f>SUM(AX47:AZ82)</f>
        <v>19158028367</v>
      </c>
      <c r="AY83" s="591"/>
      <c r="AZ83" s="594"/>
      <c r="BA83" s="590">
        <f>SUM(BA47:BC82)</f>
        <v>1056758</v>
      </c>
      <c r="BB83" s="591"/>
      <c r="BC83" s="594"/>
      <c r="BD83" s="17"/>
      <c r="BE83" s="17"/>
    </row>
    <row r="84" spans="1:57" ht="30" customHeight="1" x14ac:dyDescent="0.3">
      <c r="A84" s="17"/>
      <c r="B84" s="17"/>
      <c r="C84" s="17"/>
      <c r="D84" s="17"/>
      <c r="E84" s="17"/>
      <c r="F84" s="17"/>
      <c r="G84" s="17"/>
      <c r="H84" s="578" t="s">
        <v>1041</v>
      </c>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8"/>
      <c r="AL84" s="578"/>
      <c r="AM84" s="578"/>
      <c r="AN84" s="578"/>
      <c r="AO84" s="578"/>
      <c r="AP84" s="578"/>
      <c r="AQ84" s="578"/>
      <c r="AR84" s="578"/>
      <c r="AS84" s="578"/>
      <c r="AT84" s="578"/>
      <c r="AU84" s="578"/>
      <c r="AV84" s="578"/>
      <c r="AW84" s="578"/>
      <c r="AX84" s="578"/>
      <c r="AY84" s="578"/>
      <c r="AZ84" s="578"/>
      <c r="BA84" s="578"/>
      <c r="BB84" s="578"/>
      <c r="BC84" s="578"/>
      <c r="BD84" s="17"/>
      <c r="BE84" s="17"/>
    </row>
    <row r="85" spans="1:57" ht="30" customHeight="1" x14ac:dyDescent="0.3">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row>
  </sheetData>
  <sheetProtection algorithmName="SHA-512" hashValue="s4yeDV3zgJMsPog396UCxkCMK/ZMtHc4KKxqkhNOzEWzTAYFFTTrfM4ANx5kdRnjMOZjP2/nxypY4yrENq8X9w==" saltValue="EBdvEsptUCoN/4gIo3e69w==" spinCount="100000" sheet="1" objects="1" scenarios="1" formatCells="0" formatColumns="0" formatRows="0"/>
  <mergeCells count="938">
    <mergeCell ref="Q83:S83"/>
    <mergeCell ref="Q72:S72"/>
    <mergeCell ref="Q73:S73"/>
    <mergeCell ref="Q74:S74"/>
    <mergeCell ref="Q75:S75"/>
    <mergeCell ref="Q76:S76"/>
    <mergeCell ref="Q77:S77"/>
    <mergeCell ref="Q78:S78"/>
    <mergeCell ref="Q79:S79"/>
    <mergeCell ref="Q80:S80"/>
    <mergeCell ref="Q58:S58"/>
    <mergeCell ref="Q59:S59"/>
    <mergeCell ref="Q60:S60"/>
    <mergeCell ref="Q61:S61"/>
    <mergeCell ref="Q62:S62"/>
    <mergeCell ref="Q63:S63"/>
    <mergeCell ref="Q64:S64"/>
    <mergeCell ref="Q65:S65"/>
    <mergeCell ref="Q66:S66"/>
    <mergeCell ref="Q24:S24"/>
    <mergeCell ref="Q47:S47"/>
    <mergeCell ref="Q48:S48"/>
    <mergeCell ref="Q49:S49"/>
    <mergeCell ref="Q50:S50"/>
    <mergeCell ref="Q51:S51"/>
    <mergeCell ref="Q52:S52"/>
    <mergeCell ref="Q53:S53"/>
    <mergeCell ref="Q54:S54"/>
    <mergeCell ref="AI9:AK9"/>
    <mergeCell ref="AL9:AN9"/>
    <mergeCell ref="AF10:AH10"/>
    <mergeCell ref="AI10:AK10"/>
    <mergeCell ref="AF11:AH11"/>
    <mergeCell ref="AI11:AK11"/>
    <mergeCell ref="AF12:AH12"/>
    <mergeCell ref="AI12:AK12"/>
    <mergeCell ref="H20:P20"/>
    <mergeCell ref="Q10:S10"/>
    <mergeCell ref="Q11:S11"/>
    <mergeCell ref="Q12:S12"/>
    <mergeCell ref="Q13:S13"/>
    <mergeCell ref="Q14:S14"/>
    <mergeCell ref="Q15:S15"/>
    <mergeCell ref="Q16:S16"/>
    <mergeCell ref="Q17:S17"/>
    <mergeCell ref="Q18:S18"/>
    <mergeCell ref="Q19:S19"/>
    <mergeCell ref="Q20:S20"/>
    <mergeCell ref="H19:P19"/>
    <mergeCell ref="H14:P14"/>
    <mergeCell ref="T10:V10"/>
    <mergeCell ref="T11:V11"/>
    <mergeCell ref="AR9:AT9"/>
    <mergeCell ref="AU9:AW9"/>
    <mergeCell ref="AX9:AZ9"/>
    <mergeCell ref="BA9:BC9"/>
    <mergeCell ref="AX8:BC8"/>
    <mergeCell ref="AR8:AW8"/>
    <mergeCell ref="H15:P15"/>
    <mergeCell ref="AL8:AQ8"/>
    <mergeCell ref="AO9:AQ9"/>
    <mergeCell ref="T8:Y8"/>
    <mergeCell ref="T9:V9"/>
    <mergeCell ref="W9:Y9"/>
    <mergeCell ref="W10:Y10"/>
    <mergeCell ref="H10:P10"/>
    <mergeCell ref="H11:P11"/>
    <mergeCell ref="H12:P12"/>
    <mergeCell ref="H13:P13"/>
    <mergeCell ref="AF8:AK8"/>
    <mergeCell ref="Z8:AE8"/>
    <mergeCell ref="Q8:S9"/>
    <mergeCell ref="H8:P9"/>
    <mergeCell ref="Z9:AB9"/>
    <mergeCell ref="AC9:AE9"/>
    <mergeCell ref="AF9:AH9"/>
    <mergeCell ref="AF29:AK29"/>
    <mergeCell ref="AL29:AQ29"/>
    <mergeCell ref="AR29:AW29"/>
    <mergeCell ref="AX29:BC29"/>
    <mergeCell ref="T30:V30"/>
    <mergeCell ref="W30:Y30"/>
    <mergeCell ref="Z30:AB30"/>
    <mergeCell ref="AC30:AE30"/>
    <mergeCell ref="AF30:AH30"/>
    <mergeCell ref="AI30:AK30"/>
    <mergeCell ref="AL30:AN30"/>
    <mergeCell ref="AX45:BC45"/>
    <mergeCell ref="T46:V46"/>
    <mergeCell ref="W46:Y46"/>
    <mergeCell ref="Z46:AB46"/>
    <mergeCell ref="AC46:AE46"/>
    <mergeCell ref="AF46:AH46"/>
    <mergeCell ref="AI46:AK46"/>
    <mergeCell ref="AL46:AN46"/>
    <mergeCell ref="AO46:AQ46"/>
    <mergeCell ref="AR46:AT46"/>
    <mergeCell ref="AU46:AW46"/>
    <mergeCell ref="AX46:AZ46"/>
    <mergeCell ref="BA46:BC46"/>
    <mergeCell ref="H22:P22"/>
    <mergeCell ref="H23:P23"/>
    <mergeCell ref="H16:P16"/>
    <mergeCell ref="H17:P17"/>
    <mergeCell ref="H18:P18"/>
    <mergeCell ref="Q45:S46"/>
    <mergeCell ref="T45:Y45"/>
    <mergeCell ref="Z45:AE45"/>
    <mergeCell ref="Q38:S38"/>
    <mergeCell ref="Q39:S39"/>
    <mergeCell ref="Q29:S30"/>
    <mergeCell ref="T29:Y29"/>
    <mergeCell ref="Z29:AE29"/>
    <mergeCell ref="H21:P21"/>
    <mergeCell ref="Q21:S21"/>
    <mergeCell ref="Q22:S22"/>
    <mergeCell ref="Q23:S23"/>
    <mergeCell ref="Q31:S31"/>
    <mergeCell ref="Q32:S32"/>
    <mergeCell ref="Q33:S33"/>
    <mergeCell ref="Q34:S34"/>
    <mergeCell ref="Q35:S35"/>
    <mergeCell ref="Q36:S36"/>
    <mergeCell ref="T21:V21"/>
    <mergeCell ref="T12:V12"/>
    <mergeCell ref="T13:V13"/>
    <mergeCell ref="T14:V14"/>
    <mergeCell ref="T15:V15"/>
    <mergeCell ref="T16:V16"/>
    <mergeCell ref="T17:V17"/>
    <mergeCell ref="T18:V18"/>
    <mergeCell ref="T19:V19"/>
    <mergeCell ref="T20:V20"/>
    <mergeCell ref="T22:V22"/>
    <mergeCell ref="T23:V23"/>
    <mergeCell ref="T24:V24"/>
    <mergeCell ref="BA30:BC30"/>
    <mergeCell ref="AF45:AK45"/>
    <mergeCell ref="AL45:AQ45"/>
    <mergeCell ref="AO30:AQ30"/>
    <mergeCell ref="AR30:AT30"/>
    <mergeCell ref="AU30:AW30"/>
    <mergeCell ref="AX30:AZ30"/>
    <mergeCell ref="AR45:AW45"/>
    <mergeCell ref="AC24:AE24"/>
    <mergeCell ref="AC22:AE22"/>
    <mergeCell ref="AC23:AE23"/>
    <mergeCell ref="AF22:AH22"/>
    <mergeCell ref="AI22:AK22"/>
    <mergeCell ref="AF23:AH23"/>
    <mergeCell ref="AI23:AK23"/>
    <mergeCell ref="AF24:AH24"/>
    <mergeCell ref="AI24:AK24"/>
    <mergeCell ref="AL31:AN31"/>
    <mergeCell ref="AO31:AQ31"/>
    <mergeCell ref="AR31:AT31"/>
    <mergeCell ref="AU31:AW31"/>
    <mergeCell ref="W21:Y21"/>
    <mergeCell ref="W22:Y22"/>
    <mergeCell ref="W23:Y23"/>
    <mergeCell ref="W24:Y24"/>
    <mergeCell ref="Z10:AB10"/>
    <mergeCell ref="Z13:AB13"/>
    <mergeCell ref="Z16:AB16"/>
    <mergeCell ref="Z19:AB19"/>
    <mergeCell ref="Z22:AB22"/>
    <mergeCell ref="W16:Y16"/>
    <mergeCell ref="W17:Y17"/>
    <mergeCell ref="W18:Y18"/>
    <mergeCell ref="W19:Y19"/>
    <mergeCell ref="W20:Y20"/>
    <mergeCell ref="W11:Y11"/>
    <mergeCell ref="W12:Y12"/>
    <mergeCell ref="W13:Y13"/>
    <mergeCell ref="W14:Y14"/>
    <mergeCell ref="W15:Y15"/>
    <mergeCell ref="Z24:AB24"/>
    <mergeCell ref="Z23:AB23"/>
    <mergeCell ref="AC19:AE19"/>
    <mergeCell ref="Z20:AB20"/>
    <mergeCell ref="AC20:AE20"/>
    <mergeCell ref="Z21:AB21"/>
    <mergeCell ref="AC21:AE21"/>
    <mergeCell ref="AC16:AE16"/>
    <mergeCell ref="Z17:AB17"/>
    <mergeCell ref="AC17:AE17"/>
    <mergeCell ref="Z18:AB18"/>
    <mergeCell ref="AC18:AE18"/>
    <mergeCell ref="AF15:AH15"/>
    <mergeCell ref="AI15:AK15"/>
    <mergeCell ref="AC13:AE13"/>
    <mergeCell ref="Z14:AB14"/>
    <mergeCell ref="AC14:AE14"/>
    <mergeCell ref="Z15:AB15"/>
    <mergeCell ref="AC15:AE15"/>
    <mergeCell ref="AC10:AE10"/>
    <mergeCell ref="Z11:AB11"/>
    <mergeCell ref="AC11:AE11"/>
    <mergeCell ref="Z12:AB12"/>
    <mergeCell ref="AC12:AE12"/>
    <mergeCell ref="AF19:AH19"/>
    <mergeCell ref="AI19:AK19"/>
    <mergeCell ref="AF20:AH20"/>
    <mergeCell ref="AI20:AK20"/>
    <mergeCell ref="AF21:AH21"/>
    <mergeCell ref="AI21:AK21"/>
    <mergeCell ref="AL13:AN13"/>
    <mergeCell ref="AO13:AQ13"/>
    <mergeCell ref="AL14:AN14"/>
    <mergeCell ref="AO14:AQ14"/>
    <mergeCell ref="AL15:AN15"/>
    <mergeCell ref="AO15:AQ15"/>
    <mergeCell ref="AL21:AN21"/>
    <mergeCell ref="AO21:AQ21"/>
    <mergeCell ref="AF16:AH16"/>
    <mergeCell ref="AI16:AK16"/>
    <mergeCell ref="AF17:AH17"/>
    <mergeCell ref="AI17:AK17"/>
    <mergeCell ref="AF18:AH18"/>
    <mergeCell ref="AI18:AK18"/>
    <mergeCell ref="AF13:AH13"/>
    <mergeCell ref="AI13:AK13"/>
    <mergeCell ref="AF14:AH14"/>
    <mergeCell ref="AI14:AK14"/>
    <mergeCell ref="AL10:AN10"/>
    <mergeCell ref="AO10:AQ10"/>
    <mergeCell ref="AL11:AN11"/>
    <mergeCell ref="AO11:AQ11"/>
    <mergeCell ref="AL12:AN12"/>
    <mergeCell ref="AO12:AQ12"/>
    <mergeCell ref="AL19:AN19"/>
    <mergeCell ref="AO19:AQ19"/>
    <mergeCell ref="AL20:AN20"/>
    <mergeCell ref="AO20:AQ20"/>
    <mergeCell ref="AL16:AN16"/>
    <mergeCell ref="AO16:AQ16"/>
    <mergeCell ref="AL17:AN17"/>
    <mergeCell ref="AO17:AQ17"/>
    <mergeCell ref="AL18:AN18"/>
    <mergeCell ref="AO18:AQ18"/>
    <mergeCell ref="AR13:AT13"/>
    <mergeCell ref="AU13:AW13"/>
    <mergeCell ref="AR14:AT14"/>
    <mergeCell ref="AU14:AW14"/>
    <mergeCell ref="AR15:AT15"/>
    <mergeCell ref="AU15:AW15"/>
    <mergeCell ref="AR10:AT10"/>
    <mergeCell ref="AU10:AW10"/>
    <mergeCell ref="AR11:AT11"/>
    <mergeCell ref="AU11:AW11"/>
    <mergeCell ref="AR12:AT12"/>
    <mergeCell ref="AU12:AW12"/>
    <mergeCell ref="AR19:AT19"/>
    <mergeCell ref="AU19:AW19"/>
    <mergeCell ref="AR20:AT20"/>
    <mergeCell ref="AU20:AW20"/>
    <mergeCell ref="AR21:AT21"/>
    <mergeCell ref="AU21:AW21"/>
    <mergeCell ref="AR16:AT16"/>
    <mergeCell ref="AU16:AW16"/>
    <mergeCell ref="AR17:AT17"/>
    <mergeCell ref="AU17:AW17"/>
    <mergeCell ref="AR18:AT18"/>
    <mergeCell ref="AU18:AW18"/>
    <mergeCell ref="AX13:AZ13"/>
    <mergeCell ref="BA13:BC13"/>
    <mergeCell ref="AX14:AZ14"/>
    <mergeCell ref="BA14:BC14"/>
    <mergeCell ref="AX15:AZ15"/>
    <mergeCell ref="BA15:BC15"/>
    <mergeCell ref="AX10:AZ10"/>
    <mergeCell ref="BA10:BC10"/>
    <mergeCell ref="AX11:AZ11"/>
    <mergeCell ref="BA11:BC11"/>
    <mergeCell ref="AX12:AZ12"/>
    <mergeCell ref="BA12:BC12"/>
    <mergeCell ref="AX19:AZ19"/>
    <mergeCell ref="BA19:BC19"/>
    <mergeCell ref="AX20:AZ20"/>
    <mergeCell ref="BA20:BC20"/>
    <mergeCell ref="AX21:AZ21"/>
    <mergeCell ref="BA21:BC21"/>
    <mergeCell ref="AX16:AZ16"/>
    <mergeCell ref="BA16:BC16"/>
    <mergeCell ref="AX17:AZ17"/>
    <mergeCell ref="BA17:BC17"/>
    <mergeCell ref="AX18:AZ18"/>
    <mergeCell ref="BA18:BC18"/>
    <mergeCell ref="AX22:AZ22"/>
    <mergeCell ref="BA22:BC22"/>
    <mergeCell ref="AX23:AZ23"/>
    <mergeCell ref="BA23:BC23"/>
    <mergeCell ref="AX24:AZ24"/>
    <mergeCell ref="BA24:BC24"/>
    <mergeCell ref="AR22:AT22"/>
    <mergeCell ref="AU22:AW22"/>
    <mergeCell ref="AR23:AT23"/>
    <mergeCell ref="AU23:AW23"/>
    <mergeCell ref="AR24:AT24"/>
    <mergeCell ref="AU24:AW24"/>
    <mergeCell ref="AL22:AN22"/>
    <mergeCell ref="AO22:AQ22"/>
    <mergeCell ref="AL23:AN23"/>
    <mergeCell ref="AO23:AQ23"/>
    <mergeCell ref="AL24:AN24"/>
    <mergeCell ref="AO24:AQ24"/>
    <mergeCell ref="H25:BC25"/>
    <mergeCell ref="Z33:AB33"/>
    <mergeCell ref="AC33:AE33"/>
    <mergeCell ref="BA31:BC31"/>
    <mergeCell ref="H29:P30"/>
    <mergeCell ref="H32:P32"/>
    <mergeCell ref="T32:V32"/>
    <mergeCell ref="W32:Y32"/>
    <mergeCell ref="Z32:AB32"/>
    <mergeCell ref="AC32:AE32"/>
    <mergeCell ref="AF32:AH32"/>
    <mergeCell ref="AI32:AK32"/>
    <mergeCell ref="AL32:AN32"/>
    <mergeCell ref="AO32:AQ32"/>
    <mergeCell ref="AR32:AT32"/>
    <mergeCell ref="AU32:AW32"/>
    <mergeCell ref="AX32:AZ32"/>
    <mergeCell ref="BA32:BC32"/>
    <mergeCell ref="H31:P31"/>
    <mergeCell ref="T31:V31"/>
    <mergeCell ref="W31:Y31"/>
    <mergeCell ref="Z31:AB31"/>
    <mergeCell ref="AC31:AE31"/>
    <mergeCell ref="AF31:AH31"/>
    <mergeCell ref="AI31:AK31"/>
    <mergeCell ref="AU33:AW33"/>
    <mergeCell ref="AX33:AZ33"/>
    <mergeCell ref="AX31:AZ31"/>
    <mergeCell ref="BA33:BC33"/>
    <mergeCell ref="H34:P34"/>
    <mergeCell ref="T34:V34"/>
    <mergeCell ref="W34:Y34"/>
    <mergeCell ref="Z34:AB34"/>
    <mergeCell ref="AC34:AE34"/>
    <mergeCell ref="AF34:AH34"/>
    <mergeCell ref="AI34:AK34"/>
    <mergeCell ref="AL34:AN34"/>
    <mergeCell ref="AO34:AQ34"/>
    <mergeCell ref="AR34:AT34"/>
    <mergeCell ref="AU34:AW34"/>
    <mergeCell ref="AX34:AZ34"/>
    <mergeCell ref="BA34:BC34"/>
    <mergeCell ref="AF33:AH33"/>
    <mergeCell ref="AI33:AK33"/>
    <mergeCell ref="AL33:AN33"/>
    <mergeCell ref="AO33:AQ33"/>
    <mergeCell ref="AR33:AT33"/>
    <mergeCell ref="H33:P33"/>
    <mergeCell ref="T33:V33"/>
    <mergeCell ref="W33:Y33"/>
    <mergeCell ref="AX35:AZ35"/>
    <mergeCell ref="BA35:BC35"/>
    <mergeCell ref="H36:P36"/>
    <mergeCell ref="T36:V36"/>
    <mergeCell ref="W36:Y36"/>
    <mergeCell ref="Z36:AB36"/>
    <mergeCell ref="AC36:AE36"/>
    <mergeCell ref="AF36:AH36"/>
    <mergeCell ref="AI36:AK36"/>
    <mergeCell ref="AL36:AN36"/>
    <mergeCell ref="AO36:AQ36"/>
    <mergeCell ref="AR36:AT36"/>
    <mergeCell ref="AU36:AW36"/>
    <mergeCell ref="AX36:AZ36"/>
    <mergeCell ref="BA36:BC36"/>
    <mergeCell ref="AF35:AH35"/>
    <mergeCell ref="AI35:AK35"/>
    <mergeCell ref="AL35:AN35"/>
    <mergeCell ref="AO35:AQ35"/>
    <mergeCell ref="AR35:AT35"/>
    <mergeCell ref="H35:P35"/>
    <mergeCell ref="T35:V35"/>
    <mergeCell ref="W35:Y35"/>
    <mergeCell ref="Z35:AB35"/>
    <mergeCell ref="AO37:AQ37"/>
    <mergeCell ref="AR37:AT37"/>
    <mergeCell ref="H37:P37"/>
    <mergeCell ref="T37:V37"/>
    <mergeCell ref="W37:Y37"/>
    <mergeCell ref="Z37:AB37"/>
    <mergeCell ref="AC37:AE37"/>
    <mergeCell ref="AU35:AW35"/>
    <mergeCell ref="AC35:AE35"/>
    <mergeCell ref="Q37:S37"/>
    <mergeCell ref="H39:P39"/>
    <mergeCell ref="T39:V39"/>
    <mergeCell ref="W39:Y39"/>
    <mergeCell ref="Z39:AB39"/>
    <mergeCell ref="AC39:AE39"/>
    <mergeCell ref="AU37:AW37"/>
    <mergeCell ref="AX37:AZ37"/>
    <mergeCell ref="BA37:BC37"/>
    <mergeCell ref="H38:P38"/>
    <mergeCell ref="T38:V38"/>
    <mergeCell ref="W38:Y38"/>
    <mergeCell ref="Z38:AB38"/>
    <mergeCell ref="AC38:AE38"/>
    <mergeCell ref="AF38:AH38"/>
    <mergeCell ref="AI38:AK38"/>
    <mergeCell ref="AL38:AN38"/>
    <mergeCell ref="AO38:AQ38"/>
    <mergeCell ref="AR38:AT38"/>
    <mergeCell ref="AU38:AW38"/>
    <mergeCell ref="AX38:AZ38"/>
    <mergeCell ref="BA38:BC38"/>
    <mergeCell ref="AF37:AH37"/>
    <mergeCell ref="AI37:AK37"/>
    <mergeCell ref="AL37:AN37"/>
    <mergeCell ref="AU39:AW39"/>
    <mergeCell ref="AX39:AZ39"/>
    <mergeCell ref="BA39:BC39"/>
    <mergeCell ref="AF39:AH39"/>
    <mergeCell ref="AI39:AK39"/>
    <mergeCell ref="AL39:AN39"/>
    <mergeCell ref="AO39:AQ39"/>
    <mergeCell ref="AL40:AN40"/>
    <mergeCell ref="AO40:AQ40"/>
    <mergeCell ref="AR40:AT40"/>
    <mergeCell ref="AU40:AW40"/>
    <mergeCell ref="AR39:AT39"/>
    <mergeCell ref="AC40:AE40"/>
    <mergeCell ref="AF40:AH40"/>
    <mergeCell ref="AR48:AT48"/>
    <mergeCell ref="H48:P48"/>
    <mergeCell ref="T48:V48"/>
    <mergeCell ref="W48:Y48"/>
    <mergeCell ref="Z48:AB48"/>
    <mergeCell ref="AC48:AE48"/>
    <mergeCell ref="H45:P46"/>
    <mergeCell ref="H47:P47"/>
    <mergeCell ref="T47:V47"/>
    <mergeCell ref="W47:Y47"/>
    <mergeCell ref="Z47:AB47"/>
    <mergeCell ref="AC47:AE47"/>
    <mergeCell ref="AF47:AH47"/>
    <mergeCell ref="AI47:AK47"/>
    <mergeCell ref="AL47:AN47"/>
    <mergeCell ref="AO47:AQ47"/>
    <mergeCell ref="AR47:AT47"/>
    <mergeCell ref="Q40:S40"/>
    <mergeCell ref="AU47:AW47"/>
    <mergeCell ref="AX47:AZ47"/>
    <mergeCell ref="BA47:BC47"/>
    <mergeCell ref="AX40:AZ40"/>
    <mergeCell ref="BA40:BC40"/>
    <mergeCell ref="AI40:AK40"/>
    <mergeCell ref="T50:V50"/>
    <mergeCell ref="W50:Y50"/>
    <mergeCell ref="Z50:AB50"/>
    <mergeCell ref="AC50:AE50"/>
    <mergeCell ref="AU48:AW48"/>
    <mergeCell ref="AX48:AZ48"/>
    <mergeCell ref="BA48:BC48"/>
    <mergeCell ref="AR49:AT49"/>
    <mergeCell ref="AU49:AW49"/>
    <mergeCell ref="AX49:AZ49"/>
    <mergeCell ref="BA49:BC49"/>
    <mergeCell ref="AF48:AH48"/>
    <mergeCell ref="AI48:AK48"/>
    <mergeCell ref="AL48:AN48"/>
    <mergeCell ref="AO48:AQ48"/>
    <mergeCell ref="T40:V40"/>
    <mergeCell ref="W40:Y40"/>
    <mergeCell ref="Z40:AB40"/>
    <mergeCell ref="AL50:AN50"/>
    <mergeCell ref="AO50:AQ50"/>
    <mergeCell ref="AR50:AT50"/>
    <mergeCell ref="H50:P50"/>
    <mergeCell ref="H49:P49"/>
    <mergeCell ref="T49:V49"/>
    <mergeCell ref="W49:Y49"/>
    <mergeCell ref="Z49:AB49"/>
    <mergeCell ref="AC49:AE49"/>
    <mergeCell ref="AF49:AH49"/>
    <mergeCell ref="AI49:AK49"/>
    <mergeCell ref="AL49:AN49"/>
    <mergeCell ref="AO49:AQ49"/>
    <mergeCell ref="AR52:AT52"/>
    <mergeCell ref="H52:P52"/>
    <mergeCell ref="T52:V52"/>
    <mergeCell ref="W52:Y52"/>
    <mergeCell ref="Z52:AB52"/>
    <mergeCell ref="AC52:AE52"/>
    <mergeCell ref="AU50:AW50"/>
    <mergeCell ref="AX50:AZ50"/>
    <mergeCell ref="BA50:BC50"/>
    <mergeCell ref="H51:P51"/>
    <mergeCell ref="T51:V51"/>
    <mergeCell ref="W51:Y51"/>
    <mergeCell ref="Z51:AB51"/>
    <mergeCell ref="AC51:AE51"/>
    <mergeCell ref="AF51:AH51"/>
    <mergeCell ref="AI51:AK51"/>
    <mergeCell ref="AL51:AN51"/>
    <mergeCell ref="AO51:AQ51"/>
    <mergeCell ref="AR51:AT51"/>
    <mergeCell ref="AU51:AW51"/>
    <mergeCell ref="AX51:AZ51"/>
    <mergeCell ref="BA51:BC51"/>
    <mergeCell ref="AF50:AH50"/>
    <mergeCell ref="AI50:AK50"/>
    <mergeCell ref="T77:V77"/>
    <mergeCell ref="W77:Y77"/>
    <mergeCell ref="Z77:AB77"/>
    <mergeCell ref="AC77:AE77"/>
    <mergeCell ref="AU52:AW52"/>
    <mergeCell ref="AX52:AZ52"/>
    <mergeCell ref="BA52:BC52"/>
    <mergeCell ref="H76:P76"/>
    <mergeCell ref="T76:V76"/>
    <mergeCell ref="W76:Y76"/>
    <mergeCell ref="Z76:AB76"/>
    <mergeCell ref="AC76:AE76"/>
    <mergeCell ref="AF76:AH76"/>
    <mergeCell ref="AI76:AK76"/>
    <mergeCell ref="AL76:AN76"/>
    <mergeCell ref="AO76:AQ76"/>
    <mergeCell ref="AR76:AT76"/>
    <mergeCell ref="AU76:AW76"/>
    <mergeCell ref="AX76:AZ76"/>
    <mergeCell ref="BA76:BC76"/>
    <mergeCell ref="AF52:AH52"/>
    <mergeCell ref="AI52:AK52"/>
    <mergeCell ref="AL52:AN52"/>
    <mergeCell ref="AO52:AQ52"/>
    <mergeCell ref="Z79:AB79"/>
    <mergeCell ref="AC79:AE79"/>
    <mergeCell ref="AU77:AW77"/>
    <mergeCell ref="AX77:AZ77"/>
    <mergeCell ref="BA77:BC77"/>
    <mergeCell ref="H78:P78"/>
    <mergeCell ref="T78:V78"/>
    <mergeCell ref="W78:Y78"/>
    <mergeCell ref="Z78:AB78"/>
    <mergeCell ref="AC78:AE78"/>
    <mergeCell ref="AF78:AH78"/>
    <mergeCell ref="AI78:AK78"/>
    <mergeCell ref="AL78:AN78"/>
    <mergeCell ref="AO78:AQ78"/>
    <mergeCell ref="AR78:AT78"/>
    <mergeCell ref="AU78:AW78"/>
    <mergeCell ref="AX78:AZ78"/>
    <mergeCell ref="BA78:BC78"/>
    <mergeCell ref="AF77:AH77"/>
    <mergeCell ref="AI77:AK77"/>
    <mergeCell ref="AL77:AN77"/>
    <mergeCell ref="AO77:AQ77"/>
    <mergeCell ref="AR77:AT77"/>
    <mergeCell ref="H77:P77"/>
    <mergeCell ref="AU79:AW79"/>
    <mergeCell ref="AX79:AZ79"/>
    <mergeCell ref="BA79:BC79"/>
    <mergeCell ref="H80:P80"/>
    <mergeCell ref="T80:V80"/>
    <mergeCell ref="W80:Y80"/>
    <mergeCell ref="Z80:AB80"/>
    <mergeCell ref="AC80:AE80"/>
    <mergeCell ref="AF80:AH80"/>
    <mergeCell ref="AI80:AK80"/>
    <mergeCell ref="AL80:AN80"/>
    <mergeCell ref="AO80:AQ80"/>
    <mergeCell ref="AR80:AT80"/>
    <mergeCell ref="AU80:AW80"/>
    <mergeCell ref="AX80:AZ80"/>
    <mergeCell ref="BA80:BC80"/>
    <mergeCell ref="AF79:AH79"/>
    <mergeCell ref="AI79:AK79"/>
    <mergeCell ref="AL79:AN79"/>
    <mergeCell ref="AO79:AQ79"/>
    <mergeCell ref="AR79:AT79"/>
    <mergeCell ref="H79:P79"/>
    <mergeCell ref="T79:V79"/>
    <mergeCell ref="W79:Y79"/>
    <mergeCell ref="BA82:BC82"/>
    <mergeCell ref="AF81:AH81"/>
    <mergeCell ref="AI81:AK81"/>
    <mergeCell ref="AL81:AN81"/>
    <mergeCell ref="H81:P81"/>
    <mergeCell ref="T81:V81"/>
    <mergeCell ref="W81:Y81"/>
    <mergeCell ref="Z81:AB81"/>
    <mergeCell ref="AC81:AE81"/>
    <mergeCell ref="Q81:S81"/>
    <mergeCell ref="Q82:S82"/>
    <mergeCell ref="Z82:AB82"/>
    <mergeCell ref="AC82:AE82"/>
    <mergeCell ref="AF82:AH82"/>
    <mergeCell ref="AI82:AK82"/>
    <mergeCell ref="AL82:AN82"/>
    <mergeCell ref="AO82:AQ82"/>
    <mergeCell ref="AR82:AT82"/>
    <mergeCell ref="AU82:AW82"/>
    <mergeCell ref="AX82:AZ82"/>
    <mergeCell ref="AX60:AZ60"/>
    <mergeCell ref="Z53:AB53"/>
    <mergeCell ref="AC53:AE53"/>
    <mergeCell ref="T83:V83"/>
    <mergeCell ref="W83:Y83"/>
    <mergeCell ref="Z83:AB83"/>
    <mergeCell ref="AC83:AE83"/>
    <mergeCell ref="AF83:AH83"/>
    <mergeCell ref="AI83:AK83"/>
    <mergeCell ref="AL83:AN83"/>
    <mergeCell ref="AF53:AH53"/>
    <mergeCell ref="AI53:AK53"/>
    <mergeCell ref="AL53:AN53"/>
    <mergeCell ref="T55:V55"/>
    <mergeCell ref="W55:Y55"/>
    <mergeCell ref="Z55:AB55"/>
    <mergeCell ref="AL57:AN57"/>
    <mergeCell ref="T61:V61"/>
    <mergeCell ref="W61:Y61"/>
    <mergeCell ref="Z61:AB61"/>
    <mergeCell ref="AC61:AE61"/>
    <mergeCell ref="W63:Y63"/>
    <mergeCell ref="AI74:AK74"/>
    <mergeCell ref="AL74:AN74"/>
    <mergeCell ref="AU53:AW53"/>
    <mergeCell ref="AX53:AZ53"/>
    <mergeCell ref="BA53:BC53"/>
    <mergeCell ref="AR54:AT54"/>
    <mergeCell ref="AU54:AW54"/>
    <mergeCell ref="AX54:AZ54"/>
    <mergeCell ref="BA54:BC54"/>
    <mergeCell ref="AO53:AQ53"/>
    <mergeCell ref="AR53:AT53"/>
    <mergeCell ref="H54:P54"/>
    <mergeCell ref="T54:V54"/>
    <mergeCell ref="W54:Y54"/>
    <mergeCell ref="Z54:AB54"/>
    <mergeCell ref="AC54:AE54"/>
    <mergeCell ref="AF54:AH54"/>
    <mergeCell ref="AI54:AK54"/>
    <mergeCell ref="AL54:AN54"/>
    <mergeCell ref="AO54:AQ54"/>
    <mergeCell ref="H53:P53"/>
    <mergeCell ref="T53:V53"/>
    <mergeCell ref="W53:Y53"/>
    <mergeCell ref="AX55:AZ55"/>
    <mergeCell ref="BA55:BC55"/>
    <mergeCell ref="H56:P56"/>
    <mergeCell ref="T56:V56"/>
    <mergeCell ref="W56:Y56"/>
    <mergeCell ref="Z56:AB56"/>
    <mergeCell ref="AC56:AE56"/>
    <mergeCell ref="AF56:AH56"/>
    <mergeCell ref="AI56:AK56"/>
    <mergeCell ref="AL56:AN56"/>
    <mergeCell ref="AO56:AQ56"/>
    <mergeCell ref="AR56:AT56"/>
    <mergeCell ref="AU56:AW56"/>
    <mergeCell ref="AX56:AZ56"/>
    <mergeCell ref="BA56:BC56"/>
    <mergeCell ref="AF55:AH55"/>
    <mergeCell ref="AI55:AK55"/>
    <mergeCell ref="AL55:AN55"/>
    <mergeCell ref="AO55:AQ55"/>
    <mergeCell ref="AR55:AT55"/>
    <mergeCell ref="H55:P55"/>
    <mergeCell ref="H57:P57"/>
    <mergeCell ref="T57:V57"/>
    <mergeCell ref="W57:Y57"/>
    <mergeCell ref="Z57:AB57"/>
    <mergeCell ref="AC57:AE57"/>
    <mergeCell ref="AU55:AW55"/>
    <mergeCell ref="AC55:AE55"/>
    <mergeCell ref="Q56:S56"/>
    <mergeCell ref="Q57:S57"/>
    <mergeCell ref="AO57:AQ57"/>
    <mergeCell ref="AR57:AT57"/>
    <mergeCell ref="Q55:S55"/>
    <mergeCell ref="H59:P59"/>
    <mergeCell ref="T59:V59"/>
    <mergeCell ref="W59:Y59"/>
    <mergeCell ref="Z59:AB59"/>
    <mergeCell ref="AC59:AE59"/>
    <mergeCell ref="AU57:AW57"/>
    <mergeCell ref="AX57:AZ57"/>
    <mergeCell ref="BA57:BC57"/>
    <mergeCell ref="H58:P58"/>
    <mergeCell ref="T58:V58"/>
    <mergeCell ref="W58:Y58"/>
    <mergeCell ref="Z58:AB58"/>
    <mergeCell ref="AC58:AE58"/>
    <mergeCell ref="AF58:AH58"/>
    <mergeCell ref="AI58:AK58"/>
    <mergeCell ref="AL58:AN58"/>
    <mergeCell ref="AO58:AQ58"/>
    <mergeCell ref="AR58:AT58"/>
    <mergeCell ref="AU58:AW58"/>
    <mergeCell ref="AX58:AZ58"/>
    <mergeCell ref="BA58:BC58"/>
    <mergeCell ref="AF57:AH57"/>
    <mergeCell ref="AI57:AK57"/>
    <mergeCell ref="AU59:AW59"/>
    <mergeCell ref="H60:P60"/>
    <mergeCell ref="T60:V60"/>
    <mergeCell ref="W60:Y60"/>
    <mergeCell ref="Z60:AB60"/>
    <mergeCell ref="AC60:AE60"/>
    <mergeCell ref="AF60:AH60"/>
    <mergeCell ref="AI60:AK60"/>
    <mergeCell ref="AL60:AN60"/>
    <mergeCell ref="AO60:AQ60"/>
    <mergeCell ref="BA60:BC60"/>
    <mergeCell ref="AF59:AH59"/>
    <mergeCell ref="AI59:AK59"/>
    <mergeCell ref="AL59:AN59"/>
    <mergeCell ref="AO59:AQ59"/>
    <mergeCell ref="Z63:AB63"/>
    <mergeCell ref="AC63:AE63"/>
    <mergeCell ref="AU61:AW61"/>
    <mergeCell ref="AX61:AZ61"/>
    <mergeCell ref="BA61:BC61"/>
    <mergeCell ref="AR62:AT62"/>
    <mergeCell ref="AU62:AW62"/>
    <mergeCell ref="AX62:AZ62"/>
    <mergeCell ref="BA62:BC62"/>
    <mergeCell ref="AF61:AH61"/>
    <mergeCell ref="AI61:AK61"/>
    <mergeCell ref="AL61:AN61"/>
    <mergeCell ref="AO61:AQ61"/>
    <mergeCell ref="AR61:AT61"/>
    <mergeCell ref="AR59:AT59"/>
    <mergeCell ref="AX59:AZ59"/>
    <mergeCell ref="BA59:BC59"/>
    <mergeCell ref="AR60:AT60"/>
    <mergeCell ref="AU60:AW60"/>
    <mergeCell ref="H62:P62"/>
    <mergeCell ref="T62:V62"/>
    <mergeCell ref="W62:Y62"/>
    <mergeCell ref="Z62:AB62"/>
    <mergeCell ref="AC62:AE62"/>
    <mergeCell ref="AF62:AH62"/>
    <mergeCell ref="AI62:AK62"/>
    <mergeCell ref="AL62:AN62"/>
    <mergeCell ref="AO62:AQ62"/>
    <mergeCell ref="H61:P61"/>
    <mergeCell ref="AU63:AW63"/>
    <mergeCell ref="AX63:AZ63"/>
    <mergeCell ref="BA63:BC63"/>
    <mergeCell ref="H64:P64"/>
    <mergeCell ref="T64:V64"/>
    <mergeCell ref="W64:Y64"/>
    <mergeCell ref="Z64:AB64"/>
    <mergeCell ref="AC64:AE64"/>
    <mergeCell ref="AF64:AH64"/>
    <mergeCell ref="AI64:AK64"/>
    <mergeCell ref="AL64:AN64"/>
    <mergeCell ref="AO64:AQ64"/>
    <mergeCell ref="AR64:AT64"/>
    <mergeCell ref="AU64:AW64"/>
    <mergeCell ref="AX64:AZ64"/>
    <mergeCell ref="BA64:BC64"/>
    <mergeCell ref="AF63:AH63"/>
    <mergeCell ref="AI63:AK63"/>
    <mergeCell ref="AL63:AN63"/>
    <mergeCell ref="AO63:AQ63"/>
    <mergeCell ref="AR63:AT63"/>
    <mergeCell ref="H63:P63"/>
    <mergeCell ref="T63:V63"/>
    <mergeCell ref="BA66:BC66"/>
    <mergeCell ref="H67:P67"/>
    <mergeCell ref="T67:V67"/>
    <mergeCell ref="W67:Y67"/>
    <mergeCell ref="Z67:AB67"/>
    <mergeCell ref="AC67:AE67"/>
    <mergeCell ref="AF67:AH67"/>
    <mergeCell ref="AI67:AK67"/>
    <mergeCell ref="AL67:AN67"/>
    <mergeCell ref="AO67:AQ67"/>
    <mergeCell ref="AR67:AT67"/>
    <mergeCell ref="AU67:AW67"/>
    <mergeCell ref="AX67:AZ67"/>
    <mergeCell ref="BA67:BC67"/>
    <mergeCell ref="AF66:AH66"/>
    <mergeCell ref="AI66:AK66"/>
    <mergeCell ref="AL66:AN66"/>
    <mergeCell ref="AO66:AQ66"/>
    <mergeCell ref="AR66:AT66"/>
    <mergeCell ref="H66:P66"/>
    <mergeCell ref="T66:V66"/>
    <mergeCell ref="W66:Y66"/>
    <mergeCell ref="Z66:AB66"/>
    <mergeCell ref="AC66:AE66"/>
    <mergeCell ref="BA68:BC68"/>
    <mergeCell ref="H69:P69"/>
    <mergeCell ref="T69:V69"/>
    <mergeCell ref="W69:Y69"/>
    <mergeCell ref="Z69:AB69"/>
    <mergeCell ref="AC69:AE69"/>
    <mergeCell ref="AF69:AH69"/>
    <mergeCell ref="AI69:AK69"/>
    <mergeCell ref="AL69:AN69"/>
    <mergeCell ref="AO69:AQ69"/>
    <mergeCell ref="AR69:AT69"/>
    <mergeCell ref="AU69:AW69"/>
    <mergeCell ref="AX69:AZ69"/>
    <mergeCell ref="BA69:BC69"/>
    <mergeCell ref="AF68:AH68"/>
    <mergeCell ref="AI68:AK68"/>
    <mergeCell ref="AL68:AN68"/>
    <mergeCell ref="AO68:AQ68"/>
    <mergeCell ref="AR68:AT68"/>
    <mergeCell ref="H68:P68"/>
    <mergeCell ref="T68:V68"/>
    <mergeCell ref="W68:Y68"/>
    <mergeCell ref="Z68:AB68"/>
    <mergeCell ref="AC68:AE68"/>
    <mergeCell ref="BA65:BC65"/>
    <mergeCell ref="H70:P70"/>
    <mergeCell ref="T70:V70"/>
    <mergeCell ref="W70:Y70"/>
    <mergeCell ref="Z70:AB70"/>
    <mergeCell ref="AC70:AE70"/>
    <mergeCell ref="AF70:AH70"/>
    <mergeCell ref="AI70:AK70"/>
    <mergeCell ref="AL70:AN70"/>
    <mergeCell ref="AO70:AQ70"/>
    <mergeCell ref="AR70:AT70"/>
    <mergeCell ref="AU70:AW70"/>
    <mergeCell ref="AX70:AZ70"/>
    <mergeCell ref="BA70:BC70"/>
    <mergeCell ref="AF65:AH65"/>
    <mergeCell ref="AI65:AK65"/>
    <mergeCell ref="AL65:AN65"/>
    <mergeCell ref="AO65:AQ65"/>
    <mergeCell ref="AR65:AT65"/>
    <mergeCell ref="H65:P65"/>
    <mergeCell ref="T65:V65"/>
    <mergeCell ref="W65:Y65"/>
    <mergeCell ref="Z65:AB65"/>
    <mergeCell ref="AC65:AE65"/>
    <mergeCell ref="AO71:AQ71"/>
    <mergeCell ref="AR71:AT71"/>
    <mergeCell ref="H71:P71"/>
    <mergeCell ref="T71:V71"/>
    <mergeCell ref="W71:Y71"/>
    <mergeCell ref="Z71:AB71"/>
    <mergeCell ref="AC71:AE71"/>
    <mergeCell ref="AU65:AW65"/>
    <mergeCell ref="AX65:AZ65"/>
    <mergeCell ref="AU68:AW68"/>
    <mergeCell ref="AX68:AZ68"/>
    <mergeCell ref="AU66:AW66"/>
    <mergeCell ref="AX66:AZ66"/>
    <mergeCell ref="Q67:S67"/>
    <mergeCell ref="Q68:S68"/>
    <mergeCell ref="Q69:S69"/>
    <mergeCell ref="Q70:S70"/>
    <mergeCell ref="Q71:S71"/>
    <mergeCell ref="H73:P73"/>
    <mergeCell ref="T73:V73"/>
    <mergeCell ref="W73:Y73"/>
    <mergeCell ref="Z73:AB73"/>
    <mergeCell ref="AC73:AE73"/>
    <mergeCell ref="AU71:AW71"/>
    <mergeCell ref="AX71:AZ71"/>
    <mergeCell ref="BA71:BC71"/>
    <mergeCell ref="H72:P72"/>
    <mergeCell ref="T72:V72"/>
    <mergeCell ref="W72:Y72"/>
    <mergeCell ref="Z72:AB72"/>
    <mergeCell ref="AC72:AE72"/>
    <mergeCell ref="AF72:AH72"/>
    <mergeCell ref="AI72:AK72"/>
    <mergeCell ref="AL72:AN72"/>
    <mergeCell ref="AO72:AQ72"/>
    <mergeCell ref="AR72:AT72"/>
    <mergeCell ref="AU72:AW72"/>
    <mergeCell ref="AX72:AZ72"/>
    <mergeCell ref="BA72:BC72"/>
    <mergeCell ref="AF71:AH71"/>
    <mergeCell ref="AI71:AK71"/>
    <mergeCell ref="AL71:AN71"/>
    <mergeCell ref="AR74:AT74"/>
    <mergeCell ref="AU74:AW74"/>
    <mergeCell ref="AX74:AZ74"/>
    <mergeCell ref="BA74:BC74"/>
    <mergeCell ref="AF73:AH73"/>
    <mergeCell ref="AI73:AK73"/>
    <mergeCell ref="AL73:AN73"/>
    <mergeCell ref="AO73:AQ73"/>
    <mergeCell ref="AR73:AT73"/>
    <mergeCell ref="H84:BC84"/>
    <mergeCell ref="AF75:AH75"/>
    <mergeCell ref="AI75:AK75"/>
    <mergeCell ref="AL75:AN75"/>
    <mergeCell ref="AO75:AQ75"/>
    <mergeCell ref="AR75:AT75"/>
    <mergeCell ref="H75:P75"/>
    <mergeCell ref="T75:V75"/>
    <mergeCell ref="W75:Y75"/>
    <mergeCell ref="Z75:AB75"/>
    <mergeCell ref="AC75:AE75"/>
    <mergeCell ref="AO83:AQ83"/>
    <mergeCell ref="AR83:AT83"/>
    <mergeCell ref="AU83:AW83"/>
    <mergeCell ref="AX83:AZ83"/>
    <mergeCell ref="BA83:BC83"/>
    <mergeCell ref="AO81:AQ81"/>
    <mergeCell ref="AR81:AT81"/>
    <mergeCell ref="AU81:AW81"/>
    <mergeCell ref="AX81:AZ81"/>
    <mergeCell ref="BA81:BC81"/>
    <mergeCell ref="H82:P82"/>
    <mergeCell ref="T82:V82"/>
    <mergeCell ref="W82:Y82"/>
    <mergeCell ref="H24:P24"/>
    <mergeCell ref="H40:P40"/>
    <mergeCell ref="H83:P83"/>
    <mergeCell ref="H6:BC6"/>
    <mergeCell ref="H27:BC27"/>
    <mergeCell ref="H43:BC43"/>
    <mergeCell ref="H3:BC3"/>
    <mergeCell ref="H1:BC2"/>
    <mergeCell ref="H4:BC4"/>
    <mergeCell ref="H5:BC5"/>
    <mergeCell ref="AU75:AW75"/>
    <mergeCell ref="AX75:AZ75"/>
    <mergeCell ref="BA75:BC75"/>
    <mergeCell ref="H41:BC41"/>
    <mergeCell ref="AU73:AW73"/>
    <mergeCell ref="AX73:AZ73"/>
    <mergeCell ref="BA73:BC73"/>
    <mergeCell ref="H74:P74"/>
    <mergeCell ref="T74:V74"/>
    <mergeCell ref="W74:Y74"/>
    <mergeCell ref="Z74:AB74"/>
    <mergeCell ref="AC74:AE74"/>
    <mergeCell ref="AF74:AH74"/>
    <mergeCell ref="AO74:AQ7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Table of Contents</vt:lpstr>
      <vt:lpstr>Contact Information</vt:lpstr>
      <vt:lpstr>Definitions</vt:lpstr>
      <vt:lpstr>Fund Group Detail</vt:lpstr>
      <vt:lpstr>Summary (by Institution)</vt:lpstr>
      <vt:lpstr>Summary (by System)</vt:lpstr>
      <vt:lpstr>Summary (by Institution Type)</vt:lpstr>
      <vt:lpstr>Comparison (by Institution)</vt:lpstr>
      <vt:lpstr>Sources (Revenue)</vt:lpstr>
      <vt:lpstr>Uses (Expenditures)</vt:lpstr>
      <vt:lpstr>Academic Cost Study</vt:lpstr>
      <vt:lpstr>Tuition &amp; Fees</vt:lpstr>
      <vt:lpstr>FTSE | FTFE</vt:lpstr>
      <vt:lpstr>Inst_Type</vt:lpstr>
      <vt:lpstr>Peer_Groups</vt:lpstr>
      <vt:lpstr>ResearchAll</vt:lpstr>
      <vt:lpstr>System</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Sources and Uses Detail All Sectors - FY 2025</dc:title>
  <dc:subject>Sources and Uses of Funds</dc:subject>
  <dc:creator>Funding and Resource Planning</dc:creator>
  <cp:keywords>Sources and Uses, Universities, Health-Related Institutions, State Colleges, Technical Colleges</cp:keywords>
  <cp:lastModifiedBy>King, Clifford</cp:lastModifiedBy>
  <cp:lastPrinted>2025-12-19T19:55:29Z</cp:lastPrinted>
  <dcterms:created xsi:type="dcterms:W3CDTF">2015-06-05T18:17:20Z</dcterms:created>
  <dcterms:modified xsi:type="dcterms:W3CDTF">2026-04-23T21:14:10Z</dcterms:modified>
</cp:coreProperties>
</file>